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1250" windowWidth="26300" windowHeight="10596" activeTab="10"/>
  </bookViews>
  <sheets>
    <sheet name="прил 1" sheetId="3" r:id="rId1"/>
    <sheet name="прил 2 " sheetId="12" r:id="rId2"/>
    <sheet name="прил 3 " sheetId="32" r:id="rId3"/>
    <sheet name="прил 4" sheetId="15" r:id="rId4"/>
    <sheet name="прил 5 " sheetId="43" r:id="rId5"/>
    <sheet name="прил 6 " sheetId="13" r:id="rId6"/>
    <sheet name="прил 7 " sheetId="22" r:id="rId7"/>
    <sheet name="прил 12" sheetId="25" state="hidden" r:id="rId8"/>
    <sheet name="прил 8" sheetId="42" r:id="rId9"/>
    <sheet name="прил 9 " sheetId="23" r:id="rId10"/>
    <sheet name="прил 10 " sheetId="17" r:id="rId11"/>
    <sheet name="прил 11" sheetId="24" r:id="rId12"/>
    <sheet name="прил 12 " sheetId="18" r:id="rId13"/>
    <sheet name="потребность 2023 (5)" sheetId="36" state="hidden" r:id="rId14"/>
    <sheet name="потребность 2024 1 (МБ)" sheetId="44" state="hidden" r:id="rId15"/>
    <sheet name="потребность 2024 проект (МБ)" sheetId="47" state="hidden" r:id="rId16"/>
    <sheet name="потребность 2024 проект весь" sheetId="48" state="hidden" r:id="rId17"/>
    <sheet name="Лист2" sheetId="37" state="hidden" r:id="rId18"/>
  </sheets>
  <externalReferences>
    <externalReference r:id="rId19"/>
    <externalReference r:id="rId20"/>
  </externalReferences>
  <definedNames>
    <definedName name="_xlnm._FilterDatabase" localSheetId="13" hidden="1">'потребность 2023 (5)'!$A$6:$WVH$767</definedName>
    <definedName name="_xlnm._FilterDatabase" localSheetId="14" hidden="1">'потребность 2024 1 (МБ)'!$A$7:$N$747</definedName>
    <definedName name="_xlnm._FilterDatabase" localSheetId="15" hidden="1">'потребность 2024 проект (МБ)'!$A$7:$N$744</definedName>
    <definedName name="_xlnm._FilterDatabase" localSheetId="16" hidden="1">'потребность 2024 проект весь'!$A$7:$N$725</definedName>
    <definedName name="_xlnm._FilterDatabase" localSheetId="10" hidden="1">'прил 10 '!$A$11:$I$542</definedName>
    <definedName name="_xlnm._FilterDatabase" localSheetId="11" hidden="1">'прил 11'!$A$8:$K$75</definedName>
    <definedName name="_xlnm._FilterDatabase" localSheetId="7" hidden="1">'прил 12'!$A$13:$WVG$690</definedName>
    <definedName name="_xlnm._FilterDatabase" localSheetId="4" hidden="1">'прил 5 '!$A$9:$B$66</definedName>
    <definedName name="_xlnm._FilterDatabase" localSheetId="5" hidden="1">'прил 6 '!$A$8:$F$8</definedName>
    <definedName name="_xlnm._FilterDatabase" localSheetId="6" hidden="1">'прил 7 '!$A$9:$WVG$693</definedName>
    <definedName name="_xlnm._FilterDatabase" localSheetId="8" hidden="1">'прил 8'!$A$9:$WVG$641</definedName>
    <definedName name="_xlnm._FilterDatabase" localSheetId="9" hidden="1">'прил 9 '!$A$15:$I$628</definedName>
    <definedName name="_xlnm.Print_Area" localSheetId="13">'потребность 2023 (5)'!$A$1:$N$762</definedName>
    <definedName name="_xlnm.Print_Area" localSheetId="14">'потребность 2024 1 (МБ)'!$A$1:$N$749</definedName>
    <definedName name="_xlnm.Print_Area" localSheetId="15">'потребность 2024 проект (МБ)'!$A$1:$N$746</definedName>
    <definedName name="_xlnm.Print_Area" localSheetId="16">'потребность 2024 проект весь'!$A$1:$N$727</definedName>
    <definedName name="_xlnm.Print_Area" localSheetId="10">'прил 10 '!$A$1:$F$542</definedName>
    <definedName name="_xlnm.Print_Area" localSheetId="11">'прил 11'!$A$1:$C$76</definedName>
    <definedName name="_xlnm.Print_Area" localSheetId="7">'прил 12'!$A$1:$G$684</definedName>
    <definedName name="_xlnm.Print_Area" localSheetId="12">'прил 12 '!$A$1:$D$78</definedName>
    <definedName name="_xlnm.Print_Area" localSheetId="1">'прил 2 '!$A$1:$D$13</definedName>
    <definedName name="_xlnm.Print_Area" localSheetId="2">'прил 3 '!$A$1:$C$78</definedName>
    <definedName name="_xlnm.Print_Area" localSheetId="3">'прил 4'!$A$1:$D$65</definedName>
    <definedName name="_xlnm.Print_Area" localSheetId="4">'прил 5 '!$A$1:$B$66</definedName>
    <definedName name="_xlnm.Print_Area" localSheetId="5">'прил 6 '!$A$1:$C$46</definedName>
    <definedName name="_xlnm.Print_Area" localSheetId="6">'прил 7 '!$A$1:$F$693</definedName>
    <definedName name="_xlnm.Print_Area" localSheetId="8">'прил 8'!$A$1:$G$632</definedName>
    <definedName name="_xlnm.Print_Area" localSheetId="9">'прил 9 '!$A$1:$E$628</definedName>
  </definedNames>
  <calcPr calcId="145621"/>
</workbook>
</file>

<file path=xl/calcChain.xml><?xml version="1.0" encoding="utf-8"?>
<calcChain xmlns="http://schemas.openxmlformats.org/spreadsheetml/2006/main">
  <c r="F674" i="22" l="1"/>
  <c r="F677" i="22"/>
  <c r="F470" i="22"/>
  <c r="F467" i="22"/>
  <c r="F460" i="22"/>
  <c r="F385" i="22"/>
  <c r="F356" i="22"/>
  <c r="F285" i="22"/>
  <c r="F77" i="22"/>
  <c r="F118" i="22"/>
  <c r="F61" i="22"/>
  <c r="F56" i="22"/>
  <c r="F43" i="22"/>
  <c r="F38" i="22"/>
  <c r="F16" i="22"/>
  <c r="G542" i="17" l="1"/>
  <c r="E305" i="23" l="1"/>
  <c r="E304" i="23" s="1"/>
  <c r="E303" i="23" s="1"/>
  <c r="E308" i="23"/>
  <c r="E307" i="23" s="1"/>
  <c r="E306" i="23" s="1"/>
  <c r="F290" i="22"/>
  <c r="F289" i="22" s="1"/>
  <c r="F293" i="22"/>
  <c r="F292" i="22" s="1"/>
  <c r="G451" i="42" l="1"/>
  <c r="F451" i="42"/>
  <c r="D12" i="15"/>
  <c r="C12" i="15"/>
  <c r="G635" i="42" l="1"/>
  <c r="F635" i="42"/>
  <c r="G571" i="42" l="1"/>
  <c r="F571" i="42"/>
  <c r="G564" i="42"/>
  <c r="F564" i="42"/>
  <c r="G573" i="42"/>
  <c r="F573" i="42"/>
  <c r="G578" i="42"/>
  <c r="F578" i="42"/>
  <c r="G530" i="42"/>
  <c r="F530" i="42"/>
  <c r="G486" i="42"/>
  <c r="F486" i="42"/>
  <c r="G342" i="42"/>
  <c r="F342" i="42"/>
  <c r="G332" i="42"/>
  <c r="F332" i="42"/>
  <c r="G325" i="42"/>
  <c r="F325" i="42"/>
  <c r="G116" i="42"/>
  <c r="F116" i="42"/>
  <c r="G79" i="42"/>
  <c r="F79" i="42"/>
  <c r="G77" i="42"/>
  <c r="F77" i="42"/>
  <c r="G43" i="42"/>
  <c r="F43" i="42"/>
  <c r="F16" i="42"/>
  <c r="F273" i="42" l="1"/>
  <c r="G16" i="42"/>
  <c r="G267" i="42"/>
  <c r="F267" i="42"/>
  <c r="G97" i="42"/>
  <c r="F97" i="42"/>
  <c r="G547" i="42" l="1"/>
  <c r="F547" i="42"/>
  <c r="F237" i="42"/>
  <c r="G203" i="42"/>
  <c r="F203" i="42"/>
  <c r="G185" i="42"/>
  <c r="F185" i="42"/>
  <c r="F468" i="17"/>
  <c r="E468" i="17"/>
  <c r="F541" i="17"/>
  <c r="E541" i="17"/>
  <c r="F521" i="17"/>
  <c r="E521" i="17"/>
  <c r="F523" i="17"/>
  <c r="E523" i="17"/>
  <c r="F526" i="17"/>
  <c r="E526" i="17"/>
  <c r="F534" i="17"/>
  <c r="E534" i="17"/>
  <c r="F514" i="17"/>
  <c r="F513" i="17" s="1"/>
  <c r="F512" i="17" s="1"/>
  <c r="F511" i="17" s="1"/>
  <c r="F510" i="17" s="1"/>
  <c r="F509" i="17" s="1"/>
  <c r="E514" i="17"/>
  <c r="E513" i="17" s="1"/>
  <c r="E512" i="17" s="1"/>
  <c r="E511" i="17" s="1"/>
  <c r="E510" i="17" s="1"/>
  <c r="E509" i="17" s="1"/>
  <c r="F508" i="17"/>
  <c r="E508" i="17"/>
  <c r="F502" i="17"/>
  <c r="E502" i="17"/>
  <c r="F505" i="17"/>
  <c r="E505" i="17"/>
  <c r="F495" i="17"/>
  <c r="F494" i="17" s="1"/>
  <c r="E495" i="17"/>
  <c r="E494" i="17" s="1"/>
  <c r="F497" i="17"/>
  <c r="E497" i="17"/>
  <c r="F488" i="17"/>
  <c r="E488" i="17"/>
  <c r="F484" i="17"/>
  <c r="E484" i="17"/>
  <c r="F479" i="17"/>
  <c r="E479" i="17"/>
  <c r="F474" i="17"/>
  <c r="E474" i="17"/>
  <c r="F462" i="17"/>
  <c r="E462" i="17"/>
  <c r="E461" i="17" s="1"/>
  <c r="E460" i="17" s="1"/>
  <c r="F459" i="17"/>
  <c r="F458" i="17" s="1"/>
  <c r="E459" i="17"/>
  <c r="E458" i="17" s="1"/>
  <c r="F455" i="17"/>
  <c r="E455" i="17"/>
  <c r="F448" i="17"/>
  <c r="F447" i="17" s="1"/>
  <c r="F446" i="17" s="1"/>
  <c r="E448" i="17"/>
  <c r="E447" i="17" s="1"/>
  <c r="E446" i="17" s="1"/>
  <c r="F445" i="17"/>
  <c r="E445" i="17"/>
  <c r="F385" i="17"/>
  <c r="E385" i="17"/>
  <c r="F389" i="17"/>
  <c r="E389" i="17"/>
  <c r="F393" i="17"/>
  <c r="E393" i="17"/>
  <c r="F398" i="17"/>
  <c r="E398" i="17"/>
  <c r="F415" i="17"/>
  <c r="E415" i="17"/>
  <c r="F417" i="17"/>
  <c r="E417" i="17"/>
  <c r="F422" i="17"/>
  <c r="E422" i="17"/>
  <c r="F424" i="17"/>
  <c r="E424" i="17"/>
  <c r="F426" i="17"/>
  <c r="E426" i="17"/>
  <c r="F429" i="17"/>
  <c r="F434" i="17"/>
  <c r="F433" i="17" s="1"/>
  <c r="E434" i="17"/>
  <c r="E433" i="17" s="1"/>
  <c r="F436" i="17"/>
  <c r="E436" i="17"/>
  <c r="F438" i="17"/>
  <c r="F437" i="17" s="1"/>
  <c r="E438" i="17"/>
  <c r="E437" i="17" s="1"/>
  <c r="F409" i="17"/>
  <c r="E409" i="17"/>
  <c r="F405" i="17"/>
  <c r="E405" i="17"/>
  <c r="F378" i="17" l="1"/>
  <c r="E378" i="17"/>
  <c r="F374" i="17"/>
  <c r="E374" i="17"/>
  <c r="F370" i="17"/>
  <c r="F369" i="17" s="1"/>
  <c r="F368" i="17" s="1"/>
  <c r="E370" i="17"/>
  <c r="E369" i="17" s="1"/>
  <c r="E368" i="17" s="1"/>
  <c r="F367" i="17"/>
  <c r="E367" i="17"/>
  <c r="F363" i="17"/>
  <c r="E363" i="17"/>
  <c r="F354" i="17"/>
  <c r="E354" i="17"/>
  <c r="F350" i="17"/>
  <c r="E350" i="17"/>
  <c r="F347" i="17"/>
  <c r="E347" i="17"/>
  <c r="F341" i="17"/>
  <c r="E341" i="17"/>
  <c r="F334" i="17"/>
  <c r="E334" i="17"/>
  <c r="F331" i="17"/>
  <c r="E331" i="17"/>
  <c r="F325" i="17"/>
  <c r="E325" i="17"/>
  <c r="F322" i="17"/>
  <c r="E322" i="17"/>
  <c r="F318" i="17"/>
  <c r="E318" i="17"/>
  <c r="F307" i="17"/>
  <c r="E307" i="17"/>
  <c r="F302" i="17"/>
  <c r="E302" i="17"/>
  <c r="F298" i="17"/>
  <c r="E298" i="17"/>
  <c r="F291" i="17"/>
  <c r="E291" i="17"/>
  <c r="F288" i="17"/>
  <c r="F287" i="17" s="1"/>
  <c r="F286" i="17" s="1"/>
  <c r="E288" i="17"/>
  <c r="E287" i="17" s="1"/>
  <c r="E286" i="17" s="1"/>
  <c r="F279" i="17"/>
  <c r="E279" i="17"/>
  <c r="E274" i="17"/>
  <c r="E262" i="17"/>
  <c r="F257" i="17"/>
  <c r="E257" i="17"/>
  <c r="E254" i="17"/>
  <c r="E253" i="17" s="1"/>
  <c r="F248" i="17"/>
  <c r="E247" i="17"/>
  <c r="F245" i="17"/>
  <c r="E245" i="17"/>
  <c r="F238" i="17"/>
  <c r="E238" i="17"/>
  <c r="F225" i="17"/>
  <c r="E225" i="17"/>
  <c r="F221" i="17"/>
  <c r="E221" i="17"/>
  <c r="E216" i="17"/>
  <c r="F207" i="17"/>
  <c r="E207" i="17"/>
  <c r="F196" i="17"/>
  <c r="E196" i="17"/>
  <c r="F190" i="17"/>
  <c r="E190" i="17"/>
  <c r="F183" i="17"/>
  <c r="E183" i="17"/>
  <c r="F178" i="17"/>
  <c r="E178" i="17"/>
  <c r="F172" i="17"/>
  <c r="E172" i="17"/>
  <c r="F169" i="17"/>
  <c r="E169" i="17"/>
  <c r="F162" i="17"/>
  <c r="E162" i="17"/>
  <c r="F160" i="17"/>
  <c r="E160" i="17"/>
  <c r="F157" i="17"/>
  <c r="E157" i="17"/>
  <c r="F155" i="17"/>
  <c r="E155" i="17"/>
  <c r="F152" i="17"/>
  <c r="E152" i="17"/>
  <c r="F150" i="17"/>
  <c r="E150" i="17"/>
  <c r="F147" i="17"/>
  <c r="E147" i="17"/>
  <c r="F144" i="17"/>
  <c r="E144" i="17"/>
  <c r="F142" i="17"/>
  <c r="E142" i="17"/>
  <c r="F139" i="17"/>
  <c r="E139" i="17"/>
  <c r="F136" i="17"/>
  <c r="E136" i="17"/>
  <c r="F134" i="17"/>
  <c r="E134" i="17"/>
  <c r="F130" i="17"/>
  <c r="E130" i="17"/>
  <c r="F127" i="17"/>
  <c r="E127" i="17"/>
  <c r="F120" i="17"/>
  <c r="E120" i="17"/>
  <c r="F114" i="17"/>
  <c r="E114" i="17"/>
  <c r="F107" i="17"/>
  <c r="E107" i="17"/>
  <c r="F109" i="17"/>
  <c r="E109" i="17"/>
  <c r="F102" i="17"/>
  <c r="E102" i="17"/>
  <c r="F94" i="17"/>
  <c r="E94" i="17"/>
  <c r="F89" i="17"/>
  <c r="E89" i="17"/>
  <c r="F87" i="17"/>
  <c r="E87" i="17"/>
  <c r="F80" i="17" l="1"/>
  <c r="E80" i="17"/>
  <c r="F72" i="17"/>
  <c r="F71" i="17" s="1"/>
  <c r="F70" i="17" s="1"/>
  <c r="E72" i="17"/>
  <c r="E71" i="17" s="1"/>
  <c r="E70" i="17" s="1"/>
  <c r="F69" i="17"/>
  <c r="E69" i="17"/>
  <c r="F66" i="17"/>
  <c r="E66" i="17"/>
  <c r="F57" i="17"/>
  <c r="F60" i="17"/>
  <c r="E60" i="17"/>
  <c r="F54" i="17"/>
  <c r="E54" i="17"/>
  <c r="F52" i="17"/>
  <c r="E52" i="17"/>
  <c r="F50" i="17"/>
  <c r="E50" i="17"/>
  <c r="E57" i="17"/>
  <c r="F45" i="17"/>
  <c r="E45" i="17"/>
  <c r="F39" i="17"/>
  <c r="E39" i="17"/>
  <c r="F32" i="17"/>
  <c r="E32" i="17"/>
  <c r="F29" i="17"/>
  <c r="E29" i="17"/>
  <c r="F27" i="17"/>
  <c r="E27" i="17"/>
  <c r="F25" i="17"/>
  <c r="E25" i="17"/>
  <c r="F22" i="17"/>
  <c r="E22" i="17"/>
  <c r="F17" i="17"/>
  <c r="E17" i="17"/>
  <c r="F105" i="22" l="1"/>
  <c r="C27" i="32"/>
  <c r="C26" i="32"/>
  <c r="F344" i="17" l="1"/>
  <c r="E344" i="17"/>
  <c r="F37" i="17"/>
  <c r="E76" i="17" l="1"/>
  <c r="E315" i="17"/>
  <c r="F315" i="17"/>
  <c r="G270" i="42"/>
  <c r="F265" i="17" s="1"/>
  <c r="F270" i="42"/>
  <c r="E265" i="17" s="1"/>
  <c r="G237" i="42"/>
  <c r="F232" i="17" s="1"/>
  <c r="E232" i="17"/>
  <c r="F201" i="17"/>
  <c r="E201" i="17"/>
  <c r="F99" i="17"/>
  <c r="E99" i="17"/>
  <c r="F76" i="17"/>
  <c r="E37" i="17" l="1"/>
  <c r="F262" i="17"/>
  <c r="G273" i="42"/>
  <c r="F268" i="17" s="1"/>
  <c r="E268" i="17"/>
  <c r="F118" i="17"/>
  <c r="E118" i="17"/>
  <c r="F499" i="42"/>
  <c r="G464" i="42"/>
  <c r="F328" i="17" s="1"/>
  <c r="F464" i="42"/>
  <c r="E328" i="17" s="1"/>
  <c r="F78" i="17"/>
  <c r="E78" i="17"/>
  <c r="G387" i="42" l="1"/>
  <c r="G385" i="42" s="1"/>
  <c r="G384" i="42" s="1"/>
  <c r="G383" i="42" s="1"/>
  <c r="F387" i="42"/>
  <c r="F386" i="42" s="1"/>
  <c r="G345" i="42"/>
  <c r="F345" i="42"/>
  <c r="F385" i="42" l="1"/>
  <c r="F384" i="42" s="1"/>
  <c r="F383" i="42" s="1"/>
  <c r="G386" i="42"/>
  <c r="G120" i="42"/>
  <c r="F120" i="42"/>
  <c r="G72" i="42"/>
  <c r="G71" i="42" s="1"/>
  <c r="F72" i="42"/>
  <c r="F71" i="42" s="1"/>
  <c r="G600" i="42"/>
  <c r="F600" i="42"/>
  <c r="G582" i="42"/>
  <c r="F582" i="42"/>
  <c r="G586" i="42"/>
  <c r="F586" i="42"/>
  <c r="G403" i="42"/>
  <c r="F529" i="17" s="1"/>
  <c r="F403" i="42"/>
  <c r="E529" i="17" s="1"/>
  <c r="G366" i="42"/>
  <c r="F366" i="42"/>
  <c r="F348" i="42"/>
  <c r="F347" i="42" s="1"/>
  <c r="G338" i="42"/>
  <c r="F451" i="17" s="1"/>
  <c r="F450" i="17" s="1"/>
  <c r="F449" i="17" s="1"/>
  <c r="F338" i="42"/>
  <c r="E451" i="17" s="1"/>
  <c r="E450" i="17" s="1"/>
  <c r="E449" i="17" s="1"/>
  <c r="G290" i="42"/>
  <c r="F282" i="17" s="1"/>
  <c r="F290" i="42"/>
  <c r="E282" i="17" s="1"/>
  <c r="C70" i="32" l="1"/>
  <c r="F661" i="22"/>
  <c r="F645" i="22"/>
  <c r="F615" i="22"/>
  <c r="F617" i="22"/>
  <c r="F622" i="22"/>
  <c r="F624" i="22"/>
  <c r="F626" i="22"/>
  <c r="F629" i="22"/>
  <c r="F584" i="22"/>
  <c r="F588" i="22"/>
  <c r="F534" i="22"/>
  <c r="F537" i="22"/>
  <c r="F540" i="22"/>
  <c r="F543" i="22"/>
  <c r="F547" i="22"/>
  <c r="F566" i="22"/>
  <c r="F569" i="22"/>
  <c r="F573" i="22"/>
  <c r="E435" i="23" s="1"/>
  <c r="E434" i="23" s="1"/>
  <c r="E433" i="23" s="1"/>
  <c r="E432" i="23" s="1"/>
  <c r="C18" i="24" s="1"/>
  <c r="F577" i="22"/>
  <c r="F496" i="22"/>
  <c r="F499" i="22"/>
  <c r="F506" i="22"/>
  <c r="F434" i="22"/>
  <c r="F436" i="22"/>
  <c r="F439" i="22"/>
  <c r="F442" i="22"/>
  <c r="F445" i="22"/>
  <c r="F448" i="22"/>
  <c r="F453" i="22"/>
  <c r="F391" i="22"/>
  <c r="F396" i="22"/>
  <c r="F400" i="22"/>
  <c r="F409" i="22"/>
  <c r="F412" i="22"/>
  <c r="F415" i="22"/>
  <c r="F427" i="22"/>
  <c r="F370" i="22"/>
  <c r="F366" i="22"/>
  <c r="F359" i="22"/>
  <c r="F349" i="22"/>
  <c r="F333" i="22"/>
  <c r="F337" i="22"/>
  <c r="F342" i="22"/>
  <c r="F253" i="22"/>
  <c r="F323" i="22"/>
  <c r="F311" i="22"/>
  <c r="F288" i="22"/>
  <c r="F282" i="22"/>
  <c r="F274" i="22"/>
  <c r="F271" i="22"/>
  <c r="F262" i="22"/>
  <c r="F246" i="22"/>
  <c r="F240" i="22"/>
  <c r="F195" i="22"/>
  <c r="F206" i="22"/>
  <c r="F200" i="22"/>
  <c r="F224" i="22"/>
  <c r="F229" i="22"/>
  <c r="F233" i="22"/>
  <c r="F177" i="22"/>
  <c r="F182" i="22"/>
  <c r="F168" i="22"/>
  <c r="F171" i="22"/>
  <c r="F67" i="22"/>
  <c r="F70" i="22"/>
  <c r="F73" i="22"/>
  <c r="F79" i="22"/>
  <c r="F81" i="22"/>
  <c r="F85" i="22"/>
  <c r="F87" i="22"/>
  <c r="F92" i="22"/>
  <c r="F97" i="22"/>
  <c r="F100" i="22"/>
  <c r="F107" i="22"/>
  <c r="F114" i="22"/>
  <c r="F120" i="22"/>
  <c r="F129" i="22"/>
  <c r="F133" i="22"/>
  <c r="F135" i="22"/>
  <c r="F138" i="22"/>
  <c r="F141" i="22"/>
  <c r="F143" i="22"/>
  <c r="F146" i="22"/>
  <c r="F149" i="22"/>
  <c r="F151" i="22"/>
  <c r="F154" i="22"/>
  <c r="F156" i="22"/>
  <c r="F159" i="22"/>
  <c r="F161" i="22"/>
  <c r="F375" i="22" l="1"/>
  <c r="F374" i="22" s="1"/>
  <c r="F199" i="22"/>
  <c r="F198" i="22" s="1"/>
  <c r="E214" i="23"/>
  <c r="E213" i="23" s="1"/>
  <c r="E212" i="23" s="1"/>
  <c r="F51" i="22"/>
  <c r="F45" i="22"/>
  <c r="F679" i="22"/>
  <c r="F681" i="22"/>
  <c r="F687" i="22"/>
  <c r="F692" i="22"/>
  <c r="F472" i="22"/>
  <c r="F474" i="22"/>
  <c r="F477" i="22"/>
  <c r="F483" i="22"/>
  <c r="F487" i="22"/>
  <c r="F18" i="22"/>
  <c r="F20" i="22"/>
  <c r="F26" i="22"/>
  <c r="F31" i="22"/>
  <c r="M249" i="48" l="1"/>
  <c r="M290" i="48"/>
  <c r="M589" i="48"/>
  <c r="M285" i="48"/>
  <c r="M199" i="48"/>
  <c r="M384" i="48"/>
  <c r="M380" i="48"/>
  <c r="M379" i="48" s="1"/>
  <c r="M383" i="48" l="1"/>
  <c r="M382" i="48" s="1"/>
  <c r="M284" i="48"/>
  <c r="M283" i="48" s="1"/>
  <c r="F277" i="22"/>
  <c r="M198" i="48"/>
  <c r="M197" i="48" s="1"/>
  <c r="F203" i="22"/>
  <c r="C43" i="13"/>
  <c r="B43" i="13"/>
  <c r="F378" i="22" l="1"/>
  <c r="F377" i="22" s="1"/>
  <c r="F202" i="22"/>
  <c r="F201" i="22" s="1"/>
  <c r="E217" i="23"/>
  <c r="E216" i="23" s="1"/>
  <c r="E215" i="23" s="1"/>
  <c r="F276" i="22"/>
  <c r="F275" i="22" s="1"/>
  <c r="E291" i="23"/>
  <c r="E290" i="23" s="1"/>
  <c r="E289" i="23" s="1"/>
  <c r="C37" i="32"/>
  <c r="C33" i="32"/>
  <c r="C30" i="32"/>
  <c r="C28" i="32"/>
  <c r="C24" i="32"/>
  <c r="C22" i="32"/>
  <c r="C19" i="32"/>
  <c r="C14" i="32"/>
  <c r="C12" i="32"/>
  <c r="C10" i="32"/>
  <c r="M316" i="48" l="1"/>
  <c r="F314" i="22" s="1"/>
  <c r="J316" i="48"/>
  <c r="M328" i="48"/>
  <c r="F326" i="22" s="1"/>
  <c r="J328" i="48"/>
  <c r="M367" i="48"/>
  <c r="F362" i="22" s="1"/>
  <c r="J367" i="48"/>
  <c r="J459" i="48"/>
  <c r="M446" i="48"/>
  <c r="M445" i="48" s="1"/>
  <c r="J446" i="48"/>
  <c r="J445" i="48" s="1"/>
  <c r="J450" i="48"/>
  <c r="J401" i="48"/>
  <c r="M401" i="48"/>
  <c r="G378" i="42"/>
  <c r="F378" i="42"/>
  <c r="M416" i="48"/>
  <c r="F411" i="22" s="1"/>
  <c r="J416" i="48"/>
  <c r="J422" i="48"/>
  <c r="J421" i="48" s="1"/>
  <c r="M422" i="48"/>
  <c r="M421" i="48" s="1"/>
  <c r="J156" i="48"/>
  <c r="J154" i="48"/>
  <c r="M156" i="48"/>
  <c r="M154" i="48"/>
  <c r="G154" i="48"/>
  <c r="G156" i="48"/>
  <c r="G648" i="42" l="1"/>
  <c r="F504" i="17"/>
  <c r="F648" i="42"/>
  <c r="E504" i="17"/>
  <c r="J153" i="48"/>
  <c r="M153" i="48"/>
  <c r="G153" i="48"/>
  <c r="G724" i="48" l="1"/>
  <c r="N722" i="48"/>
  <c r="G722" i="48"/>
  <c r="K722" i="48" s="1"/>
  <c r="M721" i="48"/>
  <c r="M720" i="48" s="1"/>
  <c r="M719" i="48" s="1"/>
  <c r="J721" i="48"/>
  <c r="J720" i="48" s="1"/>
  <c r="I721" i="48"/>
  <c r="I720" i="48" s="1"/>
  <c r="I719" i="48" s="1"/>
  <c r="I718" i="48" s="1"/>
  <c r="N717" i="48"/>
  <c r="G717" i="48"/>
  <c r="K717" i="48" s="1"/>
  <c r="M716" i="48"/>
  <c r="M715" i="48" s="1"/>
  <c r="M714" i="48" s="1"/>
  <c r="J716" i="48"/>
  <c r="J715" i="48" s="1"/>
  <c r="I716" i="48"/>
  <c r="I715" i="48" s="1"/>
  <c r="I714" i="48" s="1"/>
  <c r="I713" i="48" s="1"/>
  <c r="N711" i="48"/>
  <c r="G711" i="48"/>
  <c r="K711" i="48" s="1"/>
  <c r="M710" i="48"/>
  <c r="J710" i="48"/>
  <c r="I710" i="48"/>
  <c r="N709" i="48"/>
  <c r="G709" i="48"/>
  <c r="K709" i="48" s="1"/>
  <c r="M708" i="48"/>
  <c r="J708" i="48"/>
  <c r="I708" i="48"/>
  <c r="G708" i="48"/>
  <c r="F708" i="48"/>
  <c r="N707" i="48"/>
  <c r="G707" i="48"/>
  <c r="L707" i="48" s="1"/>
  <c r="M706" i="48"/>
  <c r="J706" i="48"/>
  <c r="I706" i="48"/>
  <c r="G706" i="48"/>
  <c r="F706" i="48"/>
  <c r="N704" i="48"/>
  <c r="G704" i="48"/>
  <c r="L704" i="48" s="1"/>
  <c r="M703" i="48"/>
  <c r="M702" i="48" s="1"/>
  <c r="J703" i="48"/>
  <c r="I703" i="48"/>
  <c r="I702" i="48" s="1"/>
  <c r="F703" i="48"/>
  <c r="F702" i="48" s="1"/>
  <c r="N697" i="48"/>
  <c r="L697" i="48"/>
  <c r="K697" i="48"/>
  <c r="M696" i="48"/>
  <c r="J696" i="48"/>
  <c r="J695" i="48" s="1"/>
  <c r="I696" i="48"/>
  <c r="I695" i="48" s="1"/>
  <c r="G696" i="48"/>
  <c r="G695" i="48" s="1"/>
  <c r="N694" i="48"/>
  <c r="L694" i="48"/>
  <c r="K694" i="48"/>
  <c r="M693" i="48"/>
  <c r="J693" i="48"/>
  <c r="I693" i="48"/>
  <c r="G693" i="48"/>
  <c r="M692" i="48"/>
  <c r="J692" i="48"/>
  <c r="I692" i="48"/>
  <c r="G692" i="48"/>
  <c r="N691" i="48"/>
  <c r="L691" i="48"/>
  <c r="K691" i="48"/>
  <c r="N690" i="48"/>
  <c r="L690" i="48"/>
  <c r="K690" i="48"/>
  <c r="F690" i="48"/>
  <c r="N689" i="48"/>
  <c r="L689" i="48"/>
  <c r="K689" i="48"/>
  <c r="F689" i="48"/>
  <c r="N688" i="48"/>
  <c r="L688" i="48"/>
  <c r="K688" i="48"/>
  <c r="M687" i="48"/>
  <c r="J687" i="48"/>
  <c r="I687" i="48"/>
  <c r="I686" i="48" s="1"/>
  <c r="G687" i="48"/>
  <c r="F687" i="48"/>
  <c r="F686" i="48" s="1"/>
  <c r="J686" i="48"/>
  <c r="N681" i="48"/>
  <c r="L681" i="48"/>
  <c r="K681" i="48"/>
  <c r="M680" i="48"/>
  <c r="J680" i="48"/>
  <c r="I680" i="48"/>
  <c r="G680" i="48"/>
  <c r="F680" i="48"/>
  <c r="N679" i="48"/>
  <c r="L679" i="48"/>
  <c r="K679" i="48"/>
  <c r="M678" i="48"/>
  <c r="J678" i="48"/>
  <c r="I678" i="48"/>
  <c r="G678" i="48"/>
  <c r="F678" i="48"/>
  <c r="J677" i="48"/>
  <c r="N672" i="48"/>
  <c r="L672" i="48"/>
  <c r="K672" i="48"/>
  <c r="M671" i="48"/>
  <c r="J671" i="48"/>
  <c r="I671" i="48"/>
  <c r="I670" i="48" s="1"/>
  <c r="I669" i="48" s="1"/>
  <c r="I668" i="48" s="1"/>
  <c r="I667" i="48" s="1"/>
  <c r="G671" i="48"/>
  <c r="G670" i="48" s="1"/>
  <c r="G669" i="48" s="1"/>
  <c r="G668" i="48" s="1"/>
  <c r="G667" i="48" s="1"/>
  <c r="F671" i="48"/>
  <c r="F670" i="48" s="1"/>
  <c r="F669" i="48" s="1"/>
  <c r="F668" i="48" s="1"/>
  <c r="F667" i="48" s="1"/>
  <c r="J670" i="48"/>
  <c r="N665" i="48"/>
  <c r="L665" i="48"/>
  <c r="K665" i="48"/>
  <c r="M664" i="48"/>
  <c r="J664" i="48"/>
  <c r="I664" i="48"/>
  <c r="G664" i="48"/>
  <c r="F664" i="48"/>
  <c r="N663" i="48"/>
  <c r="L663" i="48"/>
  <c r="K663" i="48"/>
  <c r="M662" i="48"/>
  <c r="J662" i="48"/>
  <c r="I662" i="48"/>
  <c r="G662" i="48"/>
  <c r="F662" i="48"/>
  <c r="N661" i="48"/>
  <c r="L661" i="48"/>
  <c r="K661" i="48"/>
  <c r="M660" i="48"/>
  <c r="J660" i="48"/>
  <c r="I660" i="48"/>
  <c r="G660" i="48"/>
  <c r="F660" i="48"/>
  <c r="J659" i="48"/>
  <c r="J658" i="48" s="1"/>
  <c r="J657" i="48" s="1"/>
  <c r="I658" i="48"/>
  <c r="I657" i="48" s="1"/>
  <c r="G658" i="48"/>
  <c r="G657" i="48" s="1"/>
  <c r="F658" i="48"/>
  <c r="F657" i="48" s="1"/>
  <c r="N656" i="48"/>
  <c r="G656" i="48"/>
  <c r="L656" i="48" s="1"/>
  <c r="M655" i="48"/>
  <c r="M654" i="48" s="1"/>
  <c r="J655" i="48"/>
  <c r="J654" i="48" s="1"/>
  <c r="I655" i="48"/>
  <c r="I654" i="48" s="1"/>
  <c r="G655" i="48"/>
  <c r="F655" i="48"/>
  <c r="F654" i="48" s="1"/>
  <c r="N653" i="48"/>
  <c r="G653" i="48"/>
  <c r="L653" i="48" s="1"/>
  <c r="M652" i="48"/>
  <c r="J652" i="48"/>
  <c r="I652" i="48"/>
  <c r="M651" i="48"/>
  <c r="M650" i="48" s="1"/>
  <c r="G651" i="48"/>
  <c r="L651" i="48" s="1"/>
  <c r="J650" i="48"/>
  <c r="I650" i="48"/>
  <c r="F650" i="48"/>
  <c r="N649" i="48"/>
  <c r="G649" i="48"/>
  <c r="K649" i="48" s="1"/>
  <c r="M648" i="48"/>
  <c r="J648" i="48"/>
  <c r="I648" i="48"/>
  <c r="F648" i="48"/>
  <c r="N646" i="48"/>
  <c r="I646" i="48"/>
  <c r="G646" i="48"/>
  <c r="L646" i="48" s="1"/>
  <c r="M645" i="48"/>
  <c r="J645" i="48"/>
  <c r="I645" i="48"/>
  <c r="G645" i="48"/>
  <c r="N644" i="48"/>
  <c r="G644" i="48"/>
  <c r="K644" i="48" s="1"/>
  <c r="M643" i="48"/>
  <c r="J643" i="48"/>
  <c r="I643" i="48"/>
  <c r="G643" i="48"/>
  <c r="F643" i="48"/>
  <c r="N642" i="48"/>
  <c r="G642" i="48"/>
  <c r="L642" i="48" s="1"/>
  <c r="M641" i="48"/>
  <c r="J641" i="48"/>
  <c r="I641" i="48"/>
  <c r="G641" i="48"/>
  <c r="F641" i="48"/>
  <c r="N636" i="48"/>
  <c r="G636" i="48"/>
  <c r="L636" i="48" s="1"/>
  <c r="M635" i="48"/>
  <c r="M634" i="48" s="1"/>
  <c r="M633" i="48" s="1"/>
  <c r="J635" i="48"/>
  <c r="J634" i="48" s="1"/>
  <c r="J633" i="48" s="1"/>
  <c r="I635" i="48"/>
  <c r="I634" i="48" s="1"/>
  <c r="I633" i="48" s="1"/>
  <c r="G635" i="48"/>
  <c r="G634" i="48" s="1"/>
  <c r="G633" i="48" s="1"/>
  <c r="F635" i="48"/>
  <c r="F634" i="48" s="1"/>
  <c r="F633" i="48" s="1"/>
  <c r="N632" i="48"/>
  <c r="L632" i="48"/>
  <c r="K632" i="48"/>
  <c r="N631" i="48"/>
  <c r="L631" i="48"/>
  <c r="K631" i="48"/>
  <c r="N630" i="48"/>
  <c r="L630" i="48"/>
  <c r="K630" i="48"/>
  <c r="N629" i="48"/>
  <c r="L629" i="48"/>
  <c r="K629" i="48"/>
  <c r="N628" i="48"/>
  <c r="L628" i="48"/>
  <c r="K628" i="48"/>
  <c r="N627" i="48"/>
  <c r="L627" i="48"/>
  <c r="K627" i="48"/>
  <c r="N626" i="48"/>
  <c r="I626" i="48"/>
  <c r="I625" i="48" s="1"/>
  <c r="G626" i="48"/>
  <c r="K626" i="48" s="1"/>
  <c r="N625" i="48"/>
  <c r="N624" i="48"/>
  <c r="L624" i="48"/>
  <c r="K624" i="48"/>
  <c r="N623" i="48"/>
  <c r="L623" i="48"/>
  <c r="K623" i="48"/>
  <c r="F623" i="48"/>
  <c r="N622" i="48"/>
  <c r="L622" i="48"/>
  <c r="K622" i="48"/>
  <c r="F622" i="48"/>
  <c r="N621" i="48"/>
  <c r="G621" i="48"/>
  <c r="L621" i="48" s="1"/>
  <c r="M620" i="48"/>
  <c r="J620" i="48"/>
  <c r="I620" i="48"/>
  <c r="I619" i="48" s="1"/>
  <c r="I618" i="48" s="1"/>
  <c r="F620" i="48"/>
  <c r="F619" i="48" s="1"/>
  <c r="F618" i="48" s="1"/>
  <c r="F617" i="48" s="1"/>
  <c r="M619" i="48"/>
  <c r="J619" i="48"/>
  <c r="J618" i="48" s="1"/>
  <c r="J617" i="48" s="1"/>
  <c r="M614" i="48"/>
  <c r="N614" i="48" s="1"/>
  <c r="L614" i="48"/>
  <c r="K614" i="48"/>
  <c r="J613" i="48"/>
  <c r="I613" i="48"/>
  <c r="I612" i="48" s="1"/>
  <c r="I611" i="48" s="1"/>
  <c r="G613" i="48"/>
  <c r="G612" i="48" s="1"/>
  <c r="G611" i="48" s="1"/>
  <c r="N610" i="48"/>
  <c r="L610" i="48"/>
  <c r="K610" i="48"/>
  <c r="N609" i="48"/>
  <c r="L609" i="48"/>
  <c r="K609" i="48"/>
  <c r="F609" i="48"/>
  <c r="N608" i="48"/>
  <c r="L608" i="48"/>
  <c r="K608" i="48"/>
  <c r="F608" i="48"/>
  <c r="M607" i="48"/>
  <c r="M606" i="48" s="1"/>
  <c r="G607" i="48"/>
  <c r="L607" i="48" s="1"/>
  <c r="J606" i="48"/>
  <c r="I606" i="48"/>
  <c r="I605" i="48" s="1"/>
  <c r="M605" i="48"/>
  <c r="N604" i="48"/>
  <c r="G604" i="48"/>
  <c r="L604" i="48" s="1"/>
  <c r="M603" i="48"/>
  <c r="M602" i="48" s="1"/>
  <c r="J603" i="48"/>
  <c r="I603" i="48"/>
  <c r="I602" i="48" s="1"/>
  <c r="G603" i="48"/>
  <c r="G602" i="48" s="1"/>
  <c r="F603" i="48"/>
  <c r="F602" i="48" s="1"/>
  <c r="J602" i="48"/>
  <c r="M600" i="48"/>
  <c r="N600" i="48" s="1"/>
  <c r="G600" i="48"/>
  <c r="L600" i="48" s="1"/>
  <c r="J599" i="48"/>
  <c r="J598" i="48" s="1"/>
  <c r="J597" i="48" s="1"/>
  <c r="I599" i="48"/>
  <c r="I598" i="48" s="1"/>
  <c r="I597" i="48" s="1"/>
  <c r="F599" i="48"/>
  <c r="F598" i="48" s="1"/>
  <c r="F597" i="48" s="1"/>
  <c r="N593" i="48"/>
  <c r="L593" i="48"/>
  <c r="K593" i="48"/>
  <c r="M592" i="48"/>
  <c r="M591" i="48" s="1"/>
  <c r="J592" i="48"/>
  <c r="I592" i="48"/>
  <c r="I591" i="48" s="1"/>
  <c r="I590" i="48" s="1"/>
  <c r="G592" i="48"/>
  <c r="N589" i="48"/>
  <c r="L589" i="48"/>
  <c r="I589" i="48"/>
  <c r="I588" i="48" s="1"/>
  <c r="I587" i="48" s="1"/>
  <c r="I586" i="48" s="1"/>
  <c r="M588" i="48"/>
  <c r="J588" i="48"/>
  <c r="J587" i="48" s="1"/>
  <c r="G588" i="48"/>
  <c r="N585" i="48"/>
  <c r="L585" i="48"/>
  <c r="K585" i="48"/>
  <c r="M584" i="48"/>
  <c r="J584" i="48"/>
  <c r="I584" i="48"/>
  <c r="I583" i="48" s="1"/>
  <c r="G584" i="48"/>
  <c r="F584" i="48"/>
  <c r="F583" i="48" s="1"/>
  <c r="J583" i="48"/>
  <c r="N582" i="48"/>
  <c r="L582" i="48"/>
  <c r="K582" i="48"/>
  <c r="M581" i="48"/>
  <c r="J581" i="48"/>
  <c r="I581" i="48"/>
  <c r="I580" i="48" s="1"/>
  <c r="G581" i="48"/>
  <c r="G580" i="48" s="1"/>
  <c r="F581" i="48"/>
  <c r="F580" i="48" s="1"/>
  <c r="N578" i="48"/>
  <c r="L578" i="48"/>
  <c r="K578" i="48"/>
  <c r="M577" i="48"/>
  <c r="J577" i="48"/>
  <c r="I577" i="48"/>
  <c r="I576" i="48" s="1"/>
  <c r="G577" i="48"/>
  <c r="G576" i="48" s="1"/>
  <c r="F577" i="48"/>
  <c r="F576" i="48" s="1"/>
  <c r="J576" i="48"/>
  <c r="M575" i="48"/>
  <c r="N575" i="48" s="1"/>
  <c r="G575" i="48"/>
  <c r="G574" i="48" s="1"/>
  <c r="J574" i="48"/>
  <c r="J573" i="48" s="1"/>
  <c r="I574" i="48"/>
  <c r="I573" i="48" s="1"/>
  <c r="F574" i="48"/>
  <c r="F573" i="48" s="1"/>
  <c r="N572" i="48"/>
  <c r="I572" i="48"/>
  <c r="I571" i="48" s="1"/>
  <c r="I570" i="48" s="1"/>
  <c r="G572" i="48"/>
  <c r="K572" i="48" s="1"/>
  <c r="M571" i="48"/>
  <c r="J571" i="48"/>
  <c r="G571" i="48"/>
  <c r="G570" i="48" s="1"/>
  <c r="F571" i="48"/>
  <c r="F570" i="48" s="1"/>
  <c r="M570" i="48"/>
  <c r="N569" i="48"/>
  <c r="L569" i="48"/>
  <c r="K569" i="48"/>
  <c r="M568" i="48"/>
  <c r="J568" i="48"/>
  <c r="I568" i="48"/>
  <c r="I567" i="48" s="1"/>
  <c r="G568" i="48"/>
  <c r="G567" i="48" s="1"/>
  <c r="F568" i="48"/>
  <c r="F567" i="48" s="1"/>
  <c r="M566" i="48"/>
  <c r="M565" i="48" s="1"/>
  <c r="M564" i="48" s="1"/>
  <c r="G566" i="48"/>
  <c r="L566" i="48" s="1"/>
  <c r="J565" i="48"/>
  <c r="I565" i="48"/>
  <c r="I564" i="48" s="1"/>
  <c r="F565" i="48"/>
  <c r="F564" i="48" s="1"/>
  <c r="N563" i="48"/>
  <c r="G563" i="48"/>
  <c r="L563" i="48" s="1"/>
  <c r="M562" i="48"/>
  <c r="M561" i="48" s="1"/>
  <c r="J562" i="48"/>
  <c r="J561" i="48" s="1"/>
  <c r="I562" i="48"/>
  <c r="I561" i="48" s="1"/>
  <c r="G562" i="48"/>
  <c r="G561" i="48" s="1"/>
  <c r="F562" i="48"/>
  <c r="F561" i="48" s="1"/>
  <c r="N559" i="48"/>
  <c r="L559" i="48"/>
  <c r="K559" i="48"/>
  <c r="M558" i="48"/>
  <c r="J558" i="48"/>
  <c r="I558" i="48"/>
  <c r="I557" i="48" s="1"/>
  <c r="G558" i="48"/>
  <c r="G557" i="48" s="1"/>
  <c r="F558" i="48"/>
  <c r="F557" i="48" s="1"/>
  <c r="N556" i="48"/>
  <c r="L556" i="48"/>
  <c r="K556" i="48"/>
  <c r="M555" i="48"/>
  <c r="M554" i="48" s="1"/>
  <c r="J555" i="48"/>
  <c r="I555" i="48"/>
  <c r="I554" i="48" s="1"/>
  <c r="G555" i="48"/>
  <c r="G554" i="48" s="1"/>
  <c r="F555" i="48"/>
  <c r="F554" i="48" s="1"/>
  <c r="M553" i="48"/>
  <c r="N553" i="48" s="1"/>
  <c r="G553" i="48"/>
  <c r="L553" i="48" s="1"/>
  <c r="J552" i="48"/>
  <c r="J551" i="48" s="1"/>
  <c r="I552" i="48"/>
  <c r="I551" i="48" s="1"/>
  <c r="F552" i="48"/>
  <c r="F551" i="48" s="1"/>
  <c r="N550" i="48"/>
  <c r="L550" i="48"/>
  <c r="K550" i="48"/>
  <c r="M549" i="48"/>
  <c r="J549" i="48"/>
  <c r="I549" i="48"/>
  <c r="I548" i="48" s="1"/>
  <c r="G549" i="48"/>
  <c r="G548" i="48" s="1"/>
  <c r="F549" i="48"/>
  <c r="F548" i="48" s="1"/>
  <c r="M543" i="48"/>
  <c r="N543" i="48" s="1"/>
  <c r="G543" i="48"/>
  <c r="L543" i="48" s="1"/>
  <c r="J542" i="48"/>
  <c r="J541" i="48" s="1"/>
  <c r="I542" i="48"/>
  <c r="I541" i="48" s="1"/>
  <c r="N540" i="48"/>
  <c r="I540" i="48"/>
  <c r="G540" i="48"/>
  <c r="G539" i="48" s="1"/>
  <c r="M539" i="48"/>
  <c r="M538" i="48" s="1"/>
  <c r="J539" i="48"/>
  <c r="J538" i="48" s="1"/>
  <c r="I539" i="48"/>
  <c r="I538" i="48" s="1"/>
  <c r="N537" i="48"/>
  <c r="L537" i="48"/>
  <c r="K537" i="48"/>
  <c r="M536" i="48"/>
  <c r="M535" i="48" s="1"/>
  <c r="J536" i="48"/>
  <c r="I536" i="48"/>
  <c r="I535" i="48" s="1"/>
  <c r="G536" i="48"/>
  <c r="F536" i="48"/>
  <c r="F535" i="48" s="1"/>
  <c r="J535" i="48"/>
  <c r="N534" i="48"/>
  <c r="G534" i="48"/>
  <c r="L534" i="48" s="1"/>
  <c r="M533" i="48"/>
  <c r="J533" i="48"/>
  <c r="I533" i="48"/>
  <c r="I532" i="48" s="1"/>
  <c r="F533" i="48"/>
  <c r="F532" i="48" s="1"/>
  <c r="M532" i="48"/>
  <c r="J532" i="48"/>
  <c r="N531" i="48"/>
  <c r="G531" i="48"/>
  <c r="L531" i="48" s="1"/>
  <c r="M530" i="48"/>
  <c r="M529" i="48" s="1"/>
  <c r="J530" i="48"/>
  <c r="I530" i="48"/>
  <c r="I529" i="48" s="1"/>
  <c r="N528" i="48"/>
  <c r="L528" i="48"/>
  <c r="K528" i="48"/>
  <c r="M527" i="48"/>
  <c r="J527" i="48"/>
  <c r="J526" i="48" s="1"/>
  <c r="I527" i="48"/>
  <c r="I526" i="48" s="1"/>
  <c r="G527" i="48"/>
  <c r="N525" i="48"/>
  <c r="G525" i="48"/>
  <c r="M524" i="48"/>
  <c r="J524" i="48"/>
  <c r="I524" i="48"/>
  <c r="I523" i="48" s="1"/>
  <c r="F524" i="48"/>
  <c r="F523" i="48" s="1"/>
  <c r="M523" i="48"/>
  <c r="N522" i="48"/>
  <c r="G522" i="48"/>
  <c r="L522" i="48" s="1"/>
  <c r="M521" i="48"/>
  <c r="M520" i="48" s="1"/>
  <c r="J521" i="48"/>
  <c r="J520" i="48" s="1"/>
  <c r="I521" i="48"/>
  <c r="I520" i="48" s="1"/>
  <c r="F521" i="48"/>
  <c r="F520" i="48" s="1"/>
  <c r="N519" i="48"/>
  <c r="G519" i="48"/>
  <c r="M518" i="48"/>
  <c r="J518" i="48"/>
  <c r="J517" i="48" s="1"/>
  <c r="I518" i="48"/>
  <c r="I517" i="48" s="1"/>
  <c r="N515" i="48"/>
  <c r="L515" i="48"/>
  <c r="K515" i="48"/>
  <c r="M514" i="48"/>
  <c r="J514" i="48"/>
  <c r="I514" i="48"/>
  <c r="I513" i="48" s="1"/>
  <c r="G514" i="48"/>
  <c r="G513" i="48" s="1"/>
  <c r="F514" i="48"/>
  <c r="F513" i="48" s="1"/>
  <c r="M512" i="48"/>
  <c r="N512" i="48" s="1"/>
  <c r="G512" i="48"/>
  <c r="L512" i="48" s="1"/>
  <c r="J511" i="48"/>
  <c r="I511" i="48"/>
  <c r="I510" i="48" s="1"/>
  <c r="F511" i="48"/>
  <c r="F510" i="48" s="1"/>
  <c r="N503" i="48"/>
  <c r="G503" i="48"/>
  <c r="L503" i="48" s="1"/>
  <c r="M502" i="48"/>
  <c r="J502" i="48"/>
  <c r="I502" i="48"/>
  <c r="I501" i="48" s="1"/>
  <c r="I500" i="48" s="1"/>
  <c r="F502" i="48"/>
  <c r="F501" i="48" s="1"/>
  <c r="F500" i="48" s="1"/>
  <c r="N499" i="48"/>
  <c r="G499" i="48"/>
  <c r="L499" i="48" s="1"/>
  <c r="M498" i="48"/>
  <c r="M497" i="48" s="1"/>
  <c r="M496" i="48" s="1"/>
  <c r="J498" i="48"/>
  <c r="I498" i="48"/>
  <c r="I497" i="48" s="1"/>
  <c r="I496" i="48" s="1"/>
  <c r="I495" i="48" s="1"/>
  <c r="G498" i="48"/>
  <c r="G497" i="48" s="1"/>
  <c r="G496" i="48" s="1"/>
  <c r="G495" i="48" s="1"/>
  <c r="F498" i="48"/>
  <c r="F497" i="48" s="1"/>
  <c r="F496" i="48" s="1"/>
  <c r="F495" i="48" s="1"/>
  <c r="N493" i="48"/>
  <c r="G493" i="48"/>
  <c r="K493" i="48" s="1"/>
  <c r="M492" i="48"/>
  <c r="M491" i="48" s="1"/>
  <c r="J492" i="48"/>
  <c r="I492" i="48"/>
  <c r="I491" i="48" s="1"/>
  <c r="G492" i="48"/>
  <c r="G491" i="48" s="1"/>
  <c r="F492" i="48"/>
  <c r="F491" i="48" s="1"/>
  <c r="N490" i="48"/>
  <c r="G490" i="48"/>
  <c r="L490" i="48" s="1"/>
  <c r="M489" i="48"/>
  <c r="J489" i="48"/>
  <c r="I489" i="48"/>
  <c r="G489" i="48"/>
  <c r="F489" i="48"/>
  <c r="N488" i="48"/>
  <c r="G488" i="48"/>
  <c r="G487" i="48" s="1"/>
  <c r="M487" i="48"/>
  <c r="J487" i="48"/>
  <c r="I487" i="48"/>
  <c r="F487" i="48"/>
  <c r="N486" i="48"/>
  <c r="G486" i="48"/>
  <c r="L486" i="48" s="1"/>
  <c r="M485" i="48"/>
  <c r="J485" i="48"/>
  <c r="I485" i="48"/>
  <c r="G485" i="48"/>
  <c r="F485" i="48"/>
  <c r="N483" i="48"/>
  <c r="G483" i="48"/>
  <c r="K483" i="48" s="1"/>
  <c r="M482" i="48"/>
  <c r="J482" i="48"/>
  <c r="J481" i="48" s="1"/>
  <c r="I482" i="48"/>
  <c r="G482" i="48"/>
  <c r="G481" i="48" s="1"/>
  <c r="F482" i="48"/>
  <c r="F481" i="48" s="1"/>
  <c r="I481" i="48"/>
  <c r="N476" i="48"/>
  <c r="G476" i="48"/>
  <c r="L476" i="48" s="1"/>
  <c r="M475" i="48"/>
  <c r="M474" i="48" s="1"/>
  <c r="J475" i="48"/>
  <c r="I475" i="48"/>
  <c r="I474" i="48" s="1"/>
  <c r="I473" i="48" s="1"/>
  <c r="I472" i="48" s="1"/>
  <c r="I471" i="48" s="1"/>
  <c r="I470" i="48" s="1"/>
  <c r="G475" i="48"/>
  <c r="G474" i="48" s="1"/>
  <c r="G473" i="48" s="1"/>
  <c r="G472" i="48" s="1"/>
  <c r="G471" i="48" s="1"/>
  <c r="G470" i="48" s="1"/>
  <c r="F475" i="48"/>
  <c r="F474" i="48" s="1"/>
  <c r="F473" i="48" s="1"/>
  <c r="F472" i="48" s="1"/>
  <c r="F471" i="48" s="1"/>
  <c r="F470" i="48" s="1"/>
  <c r="N469" i="48"/>
  <c r="G469" i="48"/>
  <c r="K469" i="48" s="1"/>
  <c r="M468" i="48"/>
  <c r="J468" i="48"/>
  <c r="J467" i="48" s="1"/>
  <c r="I468" i="48"/>
  <c r="I467" i="48" s="1"/>
  <c r="I466" i="48" s="1"/>
  <c r="I465" i="48" s="1"/>
  <c r="G468" i="48"/>
  <c r="G467" i="48" s="1"/>
  <c r="G466" i="48" s="1"/>
  <c r="G465" i="48" s="1"/>
  <c r="F468" i="48"/>
  <c r="F467" i="48" s="1"/>
  <c r="F466" i="48" s="1"/>
  <c r="F465" i="48" s="1"/>
  <c r="N464" i="48"/>
  <c r="G464" i="48"/>
  <c r="L464" i="48" s="1"/>
  <c r="M463" i="48"/>
  <c r="J463" i="48"/>
  <c r="I463" i="48"/>
  <c r="G463" i="48"/>
  <c r="N462" i="48"/>
  <c r="L462" i="48"/>
  <c r="K462" i="48"/>
  <c r="M461" i="48"/>
  <c r="J461" i="48"/>
  <c r="I461" i="48"/>
  <c r="G461" i="48"/>
  <c r="F461" i="48"/>
  <c r="F460" i="48" s="1"/>
  <c r="N459" i="48"/>
  <c r="G459" i="48"/>
  <c r="L459" i="48" s="1"/>
  <c r="M458" i="48"/>
  <c r="J458" i="48"/>
  <c r="I458" i="48"/>
  <c r="F458" i="48"/>
  <c r="M457" i="48"/>
  <c r="J457" i="48"/>
  <c r="I457" i="48"/>
  <c r="F457" i="48"/>
  <c r="N456" i="48"/>
  <c r="L456" i="48"/>
  <c r="K456" i="48"/>
  <c r="M455" i="48"/>
  <c r="J455" i="48"/>
  <c r="J454" i="48" s="1"/>
  <c r="I455" i="48"/>
  <c r="I454" i="48" s="1"/>
  <c r="G455" i="48"/>
  <c r="G454" i="48" s="1"/>
  <c r="F455" i="48"/>
  <c r="F454" i="48" s="1"/>
  <c r="N453" i="48"/>
  <c r="G453" i="48"/>
  <c r="L453" i="48" s="1"/>
  <c r="M452" i="48"/>
  <c r="J452" i="48"/>
  <c r="J451" i="48" s="1"/>
  <c r="I452" i="48"/>
  <c r="I451" i="48" s="1"/>
  <c r="M450" i="48"/>
  <c r="N450" i="48" s="1"/>
  <c r="G450" i="48"/>
  <c r="L450" i="48" s="1"/>
  <c r="J449" i="48"/>
  <c r="J448" i="48" s="1"/>
  <c r="I449" i="48"/>
  <c r="I448" i="48" s="1"/>
  <c r="F449" i="48"/>
  <c r="F448" i="48" s="1"/>
  <c r="N447" i="48"/>
  <c r="L447" i="48"/>
  <c r="K447" i="48"/>
  <c r="N446" i="48"/>
  <c r="L446" i="48"/>
  <c r="K446" i="48"/>
  <c r="N445" i="48"/>
  <c r="L445" i="48"/>
  <c r="K445" i="48"/>
  <c r="N444" i="48"/>
  <c r="G444" i="48"/>
  <c r="M443" i="48"/>
  <c r="J443" i="48"/>
  <c r="I443" i="48"/>
  <c r="F443" i="48"/>
  <c r="N442" i="48"/>
  <c r="G442" i="48"/>
  <c r="L442" i="48" s="1"/>
  <c r="M441" i="48"/>
  <c r="J441" i="48"/>
  <c r="I441" i="48"/>
  <c r="F441" i="48"/>
  <c r="N435" i="48"/>
  <c r="L435" i="48"/>
  <c r="K435" i="48"/>
  <c r="M434" i="48"/>
  <c r="J434" i="48"/>
  <c r="I434" i="48"/>
  <c r="I433" i="48" s="1"/>
  <c r="G434" i="48"/>
  <c r="G433" i="48" s="1"/>
  <c r="M433" i="48"/>
  <c r="N432" i="48"/>
  <c r="L432" i="48"/>
  <c r="K432" i="48"/>
  <c r="M431" i="48"/>
  <c r="J431" i="48"/>
  <c r="I431" i="48"/>
  <c r="I430" i="48" s="1"/>
  <c r="G431" i="48"/>
  <c r="G430" i="48" s="1"/>
  <c r="N429" i="48"/>
  <c r="L429" i="48"/>
  <c r="K429" i="48"/>
  <c r="M428" i="48"/>
  <c r="J428" i="48"/>
  <c r="I428" i="48"/>
  <c r="I427" i="48" s="1"/>
  <c r="G428" i="48"/>
  <c r="G427" i="48" s="1"/>
  <c r="M427" i="48"/>
  <c r="N423" i="48"/>
  <c r="L423" i="48"/>
  <c r="K423" i="48"/>
  <c r="I422" i="48"/>
  <c r="I421" i="48" s="1"/>
  <c r="F422" i="48"/>
  <c r="F421" i="48" s="1"/>
  <c r="N420" i="48"/>
  <c r="L420" i="48"/>
  <c r="K420" i="48"/>
  <c r="M419" i="48"/>
  <c r="M418" i="48" s="1"/>
  <c r="J419" i="48"/>
  <c r="J418" i="48" s="1"/>
  <c r="I419" i="48"/>
  <c r="I418" i="48" s="1"/>
  <c r="G419" i="48"/>
  <c r="G418" i="48" s="1"/>
  <c r="F419" i="48"/>
  <c r="F418" i="48" s="1"/>
  <c r="N417" i="48"/>
  <c r="L417" i="48"/>
  <c r="K417" i="48"/>
  <c r="N416" i="48"/>
  <c r="L416" i="48"/>
  <c r="K416" i="48"/>
  <c r="I416" i="48"/>
  <c r="I415" i="48" s="1"/>
  <c r="M415" i="48"/>
  <c r="J415" i="48"/>
  <c r="G415" i="48"/>
  <c r="F415" i="48"/>
  <c r="N414" i="48"/>
  <c r="L414" i="48"/>
  <c r="K414" i="48"/>
  <c r="M413" i="48"/>
  <c r="J413" i="48"/>
  <c r="I413" i="48"/>
  <c r="G413" i="48"/>
  <c r="G412" i="48" s="1"/>
  <c r="F413" i="48"/>
  <c r="I410" i="48"/>
  <c r="I409" i="48" s="1"/>
  <c r="G410" i="48"/>
  <c r="G409" i="48" s="1"/>
  <c r="F410" i="48"/>
  <c r="F409" i="48" s="1"/>
  <c r="N408" i="48"/>
  <c r="G408" i="48"/>
  <c r="M407" i="48"/>
  <c r="J407" i="48"/>
  <c r="J406" i="48" s="1"/>
  <c r="I407" i="48"/>
  <c r="I406" i="48" s="1"/>
  <c r="F407" i="48"/>
  <c r="F406" i="48" s="1"/>
  <c r="M406" i="48"/>
  <c r="N405" i="48"/>
  <c r="G405" i="48"/>
  <c r="M404" i="48"/>
  <c r="J404" i="48"/>
  <c r="I404" i="48"/>
  <c r="I403" i="48" s="1"/>
  <c r="F404" i="48"/>
  <c r="F403" i="48" s="1"/>
  <c r="F402" i="48" s="1"/>
  <c r="M403" i="48"/>
  <c r="N401" i="48"/>
  <c r="L401" i="48"/>
  <c r="K401" i="48"/>
  <c r="M400" i="48"/>
  <c r="J400" i="48"/>
  <c r="J399" i="48" s="1"/>
  <c r="I400" i="48"/>
  <c r="I399" i="48" s="1"/>
  <c r="I398" i="48" s="1"/>
  <c r="I397" i="48" s="1"/>
  <c r="G400" i="48"/>
  <c r="G399" i="48" s="1"/>
  <c r="G398" i="48" s="1"/>
  <c r="G397" i="48" s="1"/>
  <c r="F400" i="48"/>
  <c r="F399" i="48" s="1"/>
  <c r="F398" i="48" s="1"/>
  <c r="F397" i="48" s="1"/>
  <c r="F392" i="48" s="1"/>
  <c r="F391" i="48" s="1"/>
  <c r="N396" i="48"/>
  <c r="G396" i="48"/>
  <c r="L396" i="48" s="1"/>
  <c r="M395" i="48"/>
  <c r="J395" i="48"/>
  <c r="I395" i="48"/>
  <c r="I394" i="48" s="1"/>
  <c r="I393" i="48" s="1"/>
  <c r="I392" i="48" s="1"/>
  <c r="G395" i="48"/>
  <c r="G394" i="48" s="1"/>
  <c r="G393" i="48" s="1"/>
  <c r="G392" i="48" s="1"/>
  <c r="N390" i="48"/>
  <c r="G390" i="48"/>
  <c r="M389" i="48"/>
  <c r="M388" i="48" s="1"/>
  <c r="J389" i="48"/>
  <c r="I389" i="48"/>
  <c r="I388" i="48" s="1"/>
  <c r="I387" i="48" s="1"/>
  <c r="I386" i="48" s="1"/>
  <c r="F389" i="48"/>
  <c r="F388" i="48" s="1"/>
  <c r="F387" i="48" s="1"/>
  <c r="F386" i="48" s="1"/>
  <c r="N378" i="48"/>
  <c r="G378" i="48"/>
  <c r="L378" i="48" s="1"/>
  <c r="F378" i="48"/>
  <c r="M377" i="48"/>
  <c r="J377" i="48"/>
  <c r="J376" i="48" s="1"/>
  <c r="I377" i="48"/>
  <c r="I376" i="48" s="1"/>
  <c r="F377" i="48"/>
  <c r="F376" i="48" s="1"/>
  <c r="N375" i="48"/>
  <c r="G375" i="48"/>
  <c r="K375" i="48" s="1"/>
  <c r="M374" i="48"/>
  <c r="J374" i="48"/>
  <c r="J373" i="48" s="1"/>
  <c r="I374" i="48"/>
  <c r="I373" i="48" s="1"/>
  <c r="G374" i="48"/>
  <c r="F374" i="48"/>
  <c r="F373" i="48" s="1"/>
  <c r="F372" i="48" s="1"/>
  <c r="M371" i="48"/>
  <c r="N371" i="48" s="1"/>
  <c r="G371" i="48"/>
  <c r="K371" i="48" s="1"/>
  <c r="M370" i="48"/>
  <c r="J370" i="48"/>
  <c r="J369" i="48" s="1"/>
  <c r="I370" i="48"/>
  <c r="I369" i="48" s="1"/>
  <c r="I368" i="48" s="1"/>
  <c r="G370" i="48"/>
  <c r="G369" i="48" s="1"/>
  <c r="G368" i="48" s="1"/>
  <c r="F370" i="48"/>
  <c r="F369" i="48" s="1"/>
  <c r="F368" i="48" s="1"/>
  <c r="N367" i="48"/>
  <c r="G367" i="48"/>
  <c r="L367" i="48" s="1"/>
  <c r="J366" i="48"/>
  <c r="J365" i="48" s="1"/>
  <c r="I366" i="48"/>
  <c r="I365" i="48" s="1"/>
  <c r="N364" i="48"/>
  <c r="L364" i="48"/>
  <c r="K364" i="48"/>
  <c r="M363" i="48"/>
  <c r="M362" i="48" s="1"/>
  <c r="J363" i="48"/>
  <c r="I363" i="48"/>
  <c r="I362" i="48" s="1"/>
  <c r="G363" i="48"/>
  <c r="F363" i="48"/>
  <c r="F362" i="48" s="1"/>
  <c r="J362" i="48"/>
  <c r="M361" i="48"/>
  <c r="N361" i="48" s="1"/>
  <c r="G361" i="48"/>
  <c r="L361" i="48" s="1"/>
  <c r="J360" i="48"/>
  <c r="J359" i="48" s="1"/>
  <c r="I360" i="48"/>
  <c r="I359" i="48" s="1"/>
  <c r="F360" i="48"/>
  <c r="F359" i="48" s="1"/>
  <c r="F358" i="48" s="1"/>
  <c r="N354" i="48"/>
  <c r="G354" i="48"/>
  <c r="K354" i="48" s="1"/>
  <c r="M353" i="48"/>
  <c r="J353" i="48"/>
  <c r="J352" i="48" s="1"/>
  <c r="I353" i="48"/>
  <c r="I352" i="48" s="1"/>
  <c r="G353" i="48"/>
  <c r="G352" i="48" s="1"/>
  <c r="F353" i="48"/>
  <c r="F352" i="48" s="1"/>
  <c r="M351" i="48"/>
  <c r="M350" i="48" s="1"/>
  <c r="M349" i="48" s="1"/>
  <c r="G351" i="48"/>
  <c r="K351" i="48" s="1"/>
  <c r="J350" i="48"/>
  <c r="J349" i="48" s="1"/>
  <c r="I350" i="48"/>
  <c r="I349" i="48" s="1"/>
  <c r="F350" i="48"/>
  <c r="F349" i="48" s="1"/>
  <c r="M344" i="48"/>
  <c r="G344" i="48"/>
  <c r="L344" i="48" s="1"/>
  <c r="J343" i="48"/>
  <c r="J341" i="48" s="1"/>
  <c r="J340" i="48" s="1"/>
  <c r="I343" i="48"/>
  <c r="I342" i="48" s="1"/>
  <c r="F343" i="48"/>
  <c r="F342" i="48" s="1"/>
  <c r="N339" i="48"/>
  <c r="G339" i="48"/>
  <c r="L339" i="48" s="1"/>
  <c r="M338" i="48"/>
  <c r="J338" i="48"/>
  <c r="J337" i="48" s="1"/>
  <c r="I338" i="48"/>
  <c r="I337" i="48" s="1"/>
  <c r="I336" i="48" s="1"/>
  <c r="F338" i="48"/>
  <c r="F337" i="48" s="1"/>
  <c r="F336" i="48" s="1"/>
  <c r="M337" i="48"/>
  <c r="M336" i="48" s="1"/>
  <c r="N335" i="48"/>
  <c r="G335" i="48"/>
  <c r="M334" i="48"/>
  <c r="J334" i="48"/>
  <c r="J333" i="48" s="1"/>
  <c r="I334" i="48"/>
  <c r="I333" i="48" s="1"/>
  <c r="I332" i="48" s="1"/>
  <c r="F334" i="48"/>
  <c r="F333" i="48" s="1"/>
  <c r="F332" i="48" s="1"/>
  <c r="M333" i="48"/>
  <c r="M332" i="48" s="1"/>
  <c r="M327" i="48"/>
  <c r="M326" i="48" s="1"/>
  <c r="G328" i="48"/>
  <c r="L328" i="48" s="1"/>
  <c r="J327" i="48"/>
  <c r="I327" i="48"/>
  <c r="I326" i="48" s="1"/>
  <c r="F327" i="48"/>
  <c r="F326" i="48" s="1"/>
  <c r="N325" i="48"/>
  <c r="G325" i="48"/>
  <c r="L325" i="48" s="1"/>
  <c r="F325" i="48"/>
  <c r="F324" i="48" s="1"/>
  <c r="F323" i="48" s="1"/>
  <c r="M324" i="48"/>
  <c r="M323" i="48" s="1"/>
  <c r="J324" i="48"/>
  <c r="J323" i="48" s="1"/>
  <c r="I324" i="48"/>
  <c r="I323" i="48" s="1"/>
  <c r="H320" i="48"/>
  <c r="N319" i="48"/>
  <c r="G319" i="48"/>
  <c r="K319" i="48" s="1"/>
  <c r="M318" i="48"/>
  <c r="J318" i="48"/>
  <c r="I318" i="48"/>
  <c r="I317" i="48" s="1"/>
  <c r="G318" i="48"/>
  <c r="G317" i="48" s="1"/>
  <c r="F318" i="48"/>
  <c r="F317" i="48" s="1"/>
  <c r="N316" i="48"/>
  <c r="G316" i="48"/>
  <c r="L316" i="48" s="1"/>
  <c r="J315" i="48"/>
  <c r="J314" i="48" s="1"/>
  <c r="I315" i="48"/>
  <c r="I314" i="48" s="1"/>
  <c r="F315" i="48"/>
  <c r="F314" i="48" s="1"/>
  <c r="N313" i="48"/>
  <c r="L313" i="48"/>
  <c r="K313" i="48"/>
  <c r="I313" i="48"/>
  <c r="I312" i="48" s="1"/>
  <c r="I311" i="48" s="1"/>
  <c r="M312" i="48"/>
  <c r="J312" i="48"/>
  <c r="G312" i="48"/>
  <c r="G311" i="48" s="1"/>
  <c r="F312" i="48"/>
  <c r="F311" i="48" s="1"/>
  <c r="H310" i="48"/>
  <c r="H309" i="48" s="1"/>
  <c r="N308" i="48"/>
  <c r="L308" i="48"/>
  <c r="K308" i="48"/>
  <c r="M307" i="48"/>
  <c r="M306" i="48" s="1"/>
  <c r="J307" i="48"/>
  <c r="I307" i="48"/>
  <c r="I306" i="48" s="1"/>
  <c r="G307" i="48"/>
  <c r="G306" i="48" s="1"/>
  <c r="M305" i="48"/>
  <c r="N305" i="48" s="1"/>
  <c r="J305" i="48"/>
  <c r="I305" i="48"/>
  <c r="I304" i="48" s="1"/>
  <c r="I303" i="48" s="1"/>
  <c r="I302" i="48" s="1"/>
  <c r="G305" i="48"/>
  <c r="G304" i="48" s="1"/>
  <c r="G303" i="48" s="1"/>
  <c r="G302" i="48" s="1"/>
  <c r="F305" i="48"/>
  <c r="F304" i="48" s="1"/>
  <c r="F303" i="48" s="1"/>
  <c r="F302" i="48" s="1"/>
  <c r="F301" i="48" s="1"/>
  <c r="N299" i="48"/>
  <c r="G299" i="48"/>
  <c r="K299" i="48" s="1"/>
  <c r="M298" i="48"/>
  <c r="J298" i="48"/>
  <c r="I298" i="48"/>
  <c r="I297" i="48" s="1"/>
  <c r="G298" i="48"/>
  <c r="G297" i="48" s="1"/>
  <c r="M297" i="48"/>
  <c r="M296" i="48"/>
  <c r="N296" i="48" s="1"/>
  <c r="G296" i="48"/>
  <c r="L296" i="48" s="1"/>
  <c r="J295" i="48"/>
  <c r="J294" i="48" s="1"/>
  <c r="I295" i="48"/>
  <c r="I294" i="48" s="1"/>
  <c r="F295" i="48"/>
  <c r="F294" i="48" s="1"/>
  <c r="N293" i="48"/>
  <c r="G293" i="48"/>
  <c r="L293" i="48" s="1"/>
  <c r="M292" i="48"/>
  <c r="J292" i="48"/>
  <c r="I292" i="48"/>
  <c r="I291" i="48" s="1"/>
  <c r="G292" i="48"/>
  <c r="G291" i="48" s="1"/>
  <c r="F292" i="48"/>
  <c r="F291" i="48" s="1"/>
  <c r="J291" i="48"/>
  <c r="N290" i="48"/>
  <c r="G290" i="48"/>
  <c r="L290" i="48" s="1"/>
  <c r="M289" i="48"/>
  <c r="J289" i="48"/>
  <c r="J288" i="48" s="1"/>
  <c r="I289" i="48"/>
  <c r="I288" i="48" s="1"/>
  <c r="F289" i="48"/>
  <c r="F288" i="48" s="1"/>
  <c r="N282" i="48"/>
  <c r="L282" i="48"/>
  <c r="K282" i="48"/>
  <c r="M281" i="48"/>
  <c r="M280" i="48" s="1"/>
  <c r="J281" i="48"/>
  <c r="J280" i="48" s="1"/>
  <c r="I281" i="48"/>
  <c r="I280" i="48" s="1"/>
  <c r="G281" i="48"/>
  <c r="G280" i="48" s="1"/>
  <c r="M279" i="48"/>
  <c r="N279" i="48" s="1"/>
  <c r="G279" i="48"/>
  <c r="M278" i="48"/>
  <c r="J278" i="48"/>
  <c r="I278" i="48"/>
  <c r="I277" i="48" s="1"/>
  <c r="F278" i="48"/>
  <c r="F277" i="48" s="1"/>
  <c r="M277" i="48"/>
  <c r="N276" i="48"/>
  <c r="G276" i="48"/>
  <c r="L276" i="48" s="1"/>
  <c r="M275" i="48"/>
  <c r="J275" i="48"/>
  <c r="J274" i="48" s="1"/>
  <c r="I275" i="48"/>
  <c r="I274" i="48" s="1"/>
  <c r="N273" i="48"/>
  <c r="L273" i="48"/>
  <c r="K273" i="48"/>
  <c r="M272" i="48"/>
  <c r="M271" i="48" s="1"/>
  <c r="J272" i="48"/>
  <c r="J271" i="48" s="1"/>
  <c r="I272" i="48"/>
  <c r="I271" i="48" s="1"/>
  <c r="G272" i="48"/>
  <c r="G271" i="48" s="1"/>
  <c r="F272" i="48"/>
  <c r="F271" i="48" s="1"/>
  <c r="F270" i="48" s="1"/>
  <c r="F269" i="48" s="1"/>
  <c r="N267" i="48"/>
  <c r="L267" i="48"/>
  <c r="K267" i="48"/>
  <c r="M266" i="48"/>
  <c r="M265" i="48" s="1"/>
  <c r="J266" i="48"/>
  <c r="J265" i="48" s="1"/>
  <c r="I266" i="48"/>
  <c r="I265" i="48" s="1"/>
  <c r="G266" i="48"/>
  <c r="G265" i="48" s="1"/>
  <c r="N264" i="48"/>
  <c r="L264" i="48"/>
  <c r="K264" i="48"/>
  <c r="M263" i="48"/>
  <c r="J263" i="48"/>
  <c r="J262" i="48" s="1"/>
  <c r="I263" i="48"/>
  <c r="I262" i="48" s="1"/>
  <c r="G263" i="48"/>
  <c r="G262" i="48" s="1"/>
  <c r="M262" i="48"/>
  <c r="N261" i="48"/>
  <c r="G261" i="48"/>
  <c r="G260" i="48" s="1"/>
  <c r="G259" i="48" s="1"/>
  <c r="M260" i="48"/>
  <c r="J260" i="48"/>
  <c r="I260" i="48"/>
  <c r="I259" i="48" s="1"/>
  <c r="N258" i="48"/>
  <c r="G258" i="48"/>
  <c r="L258" i="48" s="1"/>
  <c r="M257" i="48"/>
  <c r="J257" i="48"/>
  <c r="I257" i="48"/>
  <c r="I256" i="48" s="1"/>
  <c r="G257" i="48"/>
  <c r="G256" i="48" s="1"/>
  <c r="M256" i="48"/>
  <c r="N255" i="48"/>
  <c r="G255" i="48"/>
  <c r="L255" i="48" s="1"/>
  <c r="M254" i="48"/>
  <c r="J254" i="48"/>
  <c r="I254" i="48"/>
  <c r="I253" i="48" s="1"/>
  <c r="N252" i="48"/>
  <c r="G252" i="48"/>
  <c r="L252" i="48" s="1"/>
  <c r="M251" i="48"/>
  <c r="M250" i="48" s="1"/>
  <c r="J251" i="48"/>
  <c r="J250" i="48" s="1"/>
  <c r="I251" i="48"/>
  <c r="I250" i="48" s="1"/>
  <c r="G251" i="48"/>
  <c r="G250" i="48" s="1"/>
  <c r="N249" i="48"/>
  <c r="G249" i="48"/>
  <c r="L249" i="48" s="1"/>
  <c r="J248" i="48"/>
  <c r="I248" i="48"/>
  <c r="I247" i="48" s="1"/>
  <c r="N246" i="48"/>
  <c r="G246" i="48"/>
  <c r="L246" i="48" s="1"/>
  <c r="M245" i="48"/>
  <c r="J245" i="48"/>
  <c r="I245" i="48"/>
  <c r="N244" i="48"/>
  <c r="G244" i="48"/>
  <c r="L244" i="48" s="1"/>
  <c r="M243" i="48"/>
  <c r="J243" i="48"/>
  <c r="I243" i="48"/>
  <c r="G243" i="48"/>
  <c r="F243" i="48"/>
  <c r="M242" i="48"/>
  <c r="N242" i="48" s="1"/>
  <c r="G242" i="48"/>
  <c r="K242" i="48" s="1"/>
  <c r="J241" i="48"/>
  <c r="I241" i="48"/>
  <c r="F241" i="48"/>
  <c r="M236" i="48"/>
  <c r="J236" i="48"/>
  <c r="J235" i="48" s="1"/>
  <c r="G236" i="48"/>
  <c r="G235" i="48" s="1"/>
  <c r="G234" i="48" s="1"/>
  <c r="G233" i="48" s="1"/>
  <c r="G232" i="48" s="1"/>
  <c r="G231" i="48" s="1"/>
  <c r="I235" i="48"/>
  <c r="I234" i="48" s="1"/>
  <c r="I233" i="48" s="1"/>
  <c r="I232" i="48" s="1"/>
  <c r="I231" i="48" s="1"/>
  <c r="F235" i="48"/>
  <c r="F234" i="48" s="1"/>
  <c r="F233" i="48" s="1"/>
  <c r="F232" i="48" s="1"/>
  <c r="F231" i="48" s="1"/>
  <c r="M229" i="48"/>
  <c r="M228" i="48" s="1"/>
  <c r="G229" i="48"/>
  <c r="L229" i="48" s="1"/>
  <c r="J228" i="48"/>
  <c r="J227" i="48" s="1"/>
  <c r="J226" i="48" s="1"/>
  <c r="I228" i="48"/>
  <c r="I227" i="48" s="1"/>
  <c r="I226" i="48" s="1"/>
  <c r="F228" i="48"/>
  <c r="F227" i="48" s="1"/>
  <c r="F226" i="48" s="1"/>
  <c r="N225" i="48"/>
  <c r="G225" i="48"/>
  <c r="L225" i="48" s="1"/>
  <c r="M224" i="48"/>
  <c r="M223" i="48" s="1"/>
  <c r="M222" i="48" s="1"/>
  <c r="J224" i="48"/>
  <c r="J223" i="48" s="1"/>
  <c r="I224" i="48"/>
  <c r="I223" i="48" s="1"/>
  <c r="I222" i="48" s="1"/>
  <c r="G224" i="48"/>
  <c r="G223" i="48" s="1"/>
  <c r="G222" i="48" s="1"/>
  <c r="F224" i="48"/>
  <c r="F223" i="48" s="1"/>
  <c r="F222" i="48" s="1"/>
  <c r="N220" i="48"/>
  <c r="G220" i="48"/>
  <c r="L220" i="48" s="1"/>
  <c r="M219" i="48"/>
  <c r="M218" i="48" s="1"/>
  <c r="M217" i="48" s="1"/>
  <c r="M216" i="48" s="1"/>
  <c r="J219" i="48"/>
  <c r="I219" i="48"/>
  <c r="I218" i="48" s="1"/>
  <c r="I217" i="48" s="1"/>
  <c r="I216" i="48" s="1"/>
  <c r="G219" i="48"/>
  <c r="G218" i="48" s="1"/>
  <c r="G217" i="48" s="1"/>
  <c r="G216" i="48" s="1"/>
  <c r="F219" i="48"/>
  <c r="F218" i="48" s="1"/>
  <c r="F217" i="48" s="1"/>
  <c r="F216" i="48" s="1"/>
  <c r="N214" i="48"/>
  <c r="L214" i="48"/>
  <c r="K214" i="48"/>
  <c r="M213" i="48"/>
  <c r="J213" i="48"/>
  <c r="I213" i="48"/>
  <c r="I212" i="48" s="1"/>
  <c r="G213" i="48"/>
  <c r="G212" i="48" s="1"/>
  <c r="N211" i="48"/>
  <c r="L211" i="48"/>
  <c r="K211" i="48"/>
  <c r="M210" i="48"/>
  <c r="M209" i="48" s="1"/>
  <c r="J210" i="48"/>
  <c r="I210" i="48"/>
  <c r="I209" i="48" s="1"/>
  <c r="G210" i="48"/>
  <c r="G209" i="48" s="1"/>
  <c r="N208" i="48"/>
  <c r="G208" i="48"/>
  <c r="L208" i="48" s="1"/>
  <c r="M207" i="48"/>
  <c r="M206" i="48" s="1"/>
  <c r="J207" i="48"/>
  <c r="J206" i="48" s="1"/>
  <c r="I207" i="48"/>
  <c r="I206" i="48" s="1"/>
  <c r="G207" i="48"/>
  <c r="G206" i="48" s="1"/>
  <c r="F207" i="48"/>
  <c r="F206" i="48" s="1"/>
  <c r="F205" i="48" s="1"/>
  <c r="F204" i="48" s="1"/>
  <c r="F203" i="48" s="1"/>
  <c r="M202" i="48"/>
  <c r="N202" i="48" s="1"/>
  <c r="L202" i="48"/>
  <c r="K202" i="48"/>
  <c r="J201" i="48"/>
  <c r="I201" i="48"/>
  <c r="I200" i="48" s="1"/>
  <c r="H201" i="48"/>
  <c r="H200" i="48" s="1"/>
  <c r="G201" i="48"/>
  <c r="G200" i="48" s="1"/>
  <c r="N196" i="48"/>
  <c r="G196" i="48"/>
  <c r="K196" i="48" s="1"/>
  <c r="M195" i="48"/>
  <c r="M194" i="48" s="1"/>
  <c r="J195" i="48"/>
  <c r="J194" i="48" s="1"/>
  <c r="I195" i="48"/>
  <c r="I194" i="48" s="1"/>
  <c r="N191" i="48"/>
  <c r="L191" i="48"/>
  <c r="K191" i="48"/>
  <c r="F191" i="48"/>
  <c r="F190" i="48" s="1"/>
  <c r="M190" i="48"/>
  <c r="M189" i="48" s="1"/>
  <c r="M188" i="48" s="1"/>
  <c r="J190" i="48"/>
  <c r="I190" i="48"/>
  <c r="I189" i="48" s="1"/>
  <c r="G190" i="48"/>
  <c r="G189" i="48" s="1"/>
  <c r="N185" i="48"/>
  <c r="L185" i="48"/>
  <c r="K185" i="48"/>
  <c r="M184" i="48"/>
  <c r="J184" i="48"/>
  <c r="I184" i="48"/>
  <c r="I183" i="48" s="1"/>
  <c r="I182" i="48" s="1"/>
  <c r="G184" i="48"/>
  <c r="G183" i="48" s="1"/>
  <c r="G182" i="48" s="1"/>
  <c r="F184" i="48"/>
  <c r="F183" i="48" s="1"/>
  <c r="F181" i="48" s="1"/>
  <c r="F180" i="48" s="1"/>
  <c r="J183" i="48"/>
  <c r="M178" i="48"/>
  <c r="N178" i="48" s="1"/>
  <c r="I178" i="48"/>
  <c r="I177" i="48" s="1"/>
  <c r="I176" i="48" s="1"/>
  <c r="I175" i="48" s="1"/>
  <c r="I174" i="48" s="1"/>
  <c r="G178" i="48"/>
  <c r="K178" i="48" s="1"/>
  <c r="J177" i="48"/>
  <c r="J176" i="48" s="1"/>
  <c r="J175" i="48" s="1"/>
  <c r="J174" i="48" s="1"/>
  <c r="F177" i="48"/>
  <c r="F176" i="48" s="1"/>
  <c r="F175" i="48" s="1"/>
  <c r="F174" i="48" s="1"/>
  <c r="N173" i="48"/>
  <c r="G173" i="48"/>
  <c r="L173" i="48" s="1"/>
  <c r="M172" i="48"/>
  <c r="M171" i="48" s="1"/>
  <c r="M170" i="48" s="1"/>
  <c r="M169" i="48" s="1"/>
  <c r="J172" i="48"/>
  <c r="J171" i="48" s="1"/>
  <c r="J170" i="48" s="1"/>
  <c r="J169" i="48" s="1"/>
  <c r="I172" i="48"/>
  <c r="I171" i="48" s="1"/>
  <c r="I170" i="48" s="1"/>
  <c r="I169" i="48" s="1"/>
  <c r="G172" i="48"/>
  <c r="F172" i="48"/>
  <c r="F171" i="48" s="1"/>
  <c r="F170" i="48" s="1"/>
  <c r="F169" i="48" s="1"/>
  <c r="N167" i="48"/>
  <c r="G167" i="48"/>
  <c r="L167" i="48" s="1"/>
  <c r="M166" i="48"/>
  <c r="J166" i="48"/>
  <c r="J165" i="48" s="1"/>
  <c r="I166" i="48"/>
  <c r="I165" i="48" s="1"/>
  <c r="G166" i="48"/>
  <c r="G165" i="48" s="1"/>
  <c r="F166" i="48"/>
  <c r="F165" i="48" s="1"/>
  <c r="N164" i="48"/>
  <c r="L164" i="48"/>
  <c r="K164" i="48"/>
  <c r="M163" i="48"/>
  <c r="M162" i="48" s="1"/>
  <c r="M161" i="48" s="1"/>
  <c r="J163" i="48"/>
  <c r="I163" i="48"/>
  <c r="I162" i="48" s="1"/>
  <c r="I161" i="48" s="1"/>
  <c r="G163" i="48"/>
  <c r="G162" i="48" s="1"/>
  <c r="G161" i="48" s="1"/>
  <c r="F163" i="48"/>
  <c r="F161" i="48"/>
  <c r="F160" i="48" s="1"/>
  <c r="F159" i="48" s="1"/>
  <c r="F158" i="48" s="1"/>
  <c r="N157" i="48"/>
  <c r="L157" i="48"/>
  <c r="K157" i="48"/>
  <c r="K156" i="48"/>
  <c r="N155" i="48"/>
  <c r="L155" i="48"/>
  <c r="K155" i="48"/>
  <c r="K154" i="48"/>
  <c r="N152" i="48"/>
  <c r="L152" i="48"/>
  <c r="K152" i="48"/>
  <c r="M151" i="48"/>
  <c r="J151" i="48"/>
  <c r="K151" i="48" s="1"/>
  <c r="N150" i="48"/>
  <c r="L150" i="48"/>
  <c r="K150" i="48"/>
  <c r="M149" i="48"/>
  <c r="J149" i="48"/>
  <c r="K149" i="48" s="1"/>
  <c r="N147" i="48"/>
  <c r="L147" i="48"/>
  <c r="K147" i="48"/>
  <c r="M146" i="48"/>
  <c r="J146" i="48"/>
  <c r="L146" i="48" s="1"/>
  <c r="N145" i="48"/>
  <c r="L145" i="48"/>
  <c r="K145" i="48"/>
  <c r="M144" i="48"/>
  <c r="J144" i="48"/>
  <c r="N142" i="48"/>
  <c r="L142" i="48"/>
  <c r="K142" i="48"/>
  <c r="M141" i="48"/>
  <c r="J141" i="48"/>
  <c r="L141" i="48" s="1"/>
  <c r="N139" i="48"/>
  <c r="L139" i="48"/>
  <c r="K139" i="48"/>
  <c r="M138" i="48"/>
  <c r="J138" i="48"/>
  <c r="K138" i="48" s="1"/>
  <c r="N137" i="48"/>
  <c r="L137" i="48"/>
  <c r="K137" i="48"/>
  <c r="M136" i="48"/>
  <c r="J136" i="48"/>
  <c r="K136" i="48" s="1"/>
  <c r="N134" i="48"/>
  <c r="L134" i="48"/>
  <c r="K134" i="48"/>
  <c r="M133" i="48"/>
  <c r="M132" i="48" s="1"/>
  <c r="J133" i="48"/>
  <c r="K133" i="48" s="1"/>
  <c r="N131" i="48"/>
  <c r="L131" i="48"/>
  <c r="K131" i="48"/>
  <c r="M130" i="48"/>
  <c r="J130" i="48"/>
  <c r="I130" i="48"/>
  <c r="G130" i="48"/>
  <c r="N129" i="48"/>
  <c r="L129" i="48"/>
  <c r="K129" i="48"/>
  <c r="M128" i="48"/>
  <c r="J128" i="48"/>
  <c r="I128" i="48"/>
  <c r="G128" i="48"/>
  <c r="N125" i="48"/>
  <c r="G125" i="48"/>
  <c r="L125" i="48" s="1"/>
  <c r="M124" i="48"/>
  <c r="J124" i="48"/>
  <c r="J123" i="48" s="1"/>
  <c r="I124" i="48"/>
  <c r="I123" i="48" s="1"/>
  <c r="N122" i="48"/>
  <c r="I122" i="48"/>
  <c r="I120" i="48" s="1"/>
  <c r="G122" i="48"/>
  <c r="N121" i="48"/>
  <c r="G121" i="48"/>
  <c r="M120" i="48"/>
  <c r="J120" i="48"/>
  <c r="N119" i="48"/>
  <c r="G119" i="48"/>
  <c r="K119" i="48" s="1"/>
  <c r="M118" i="48"/>
  <c r="J118" i="48"/>
  <c r="I118" i="48"/>
  <c r="F118" i="48"/>
  <c r="F117" i="48" s="1"/>
  <c r="N116" i="48"/>
  <c r="G116" i="48"/>
  <c r="L116" i="48" s="1"/>
  <c r="M115" i="48"/>
  <c r="J115" i="48"/>
  <c r="I115" i="48"/>
  <c r="N114" i="48"/>
  <c r="G114" i="48"/>
  <c r="L114" i="48" s="1"/>
  <c r="M113" i="48"/>
  <c r="J113" i="48"/>
  <c r="I113" i="48"/>
  <c r="G113" i="48"/>
  <c r="F113" i="48"/>
  <c r="F112" i="48" s="1"/>
  <c r="N110" i="48"/>
  <c r="G110" i="48"/>
  <c r="L110" i="48" s="1"/>
  <c r="M109" i="48"/>
  <c r="M108" i="48" s="1"/>
  <c r="J109" i="48"/>
  <c r="I109" i="48"/>
  <c r="I108" i="48" s="1"/>
  <c r="I107" i="48" s="1"/>
  <c r="I106" i="48" s="1"/>
  <c r="G109" i="48"/>
  <c r="G108" i="48" s="1"/>
  <c r="G107" i="48" s="1"/>
  <c r="G106" i="48" s="1"/>
  <c r="F109" i="48"/>
  <c r="F108" i="48" s="1"/>
  <c r="F107" i="48" s="1"/>
  <c r="F106" i="48" s="1"/>
  <c r="N105" i="48"/>
  <c r="G105" i="48"/>
  <c r="L105" i="48" s="1"/>
  <c r="M104" i="48"/>
  <c r="J104" i="48"/>
  <c r="I104" i="48"/>
  <c r="G104" i="48"/>
  <c r="M103" i="48"/>
  <c r="N103" i="48" s="1"/>
  <c r="G103" i="48"/>
  <c r="L103" i="48" s="1"/>
  <c r="J102" i="48"/>
  <c r="I102" i="48"/>
  <c r="F102" i="48"/>
  <c r="F101" i="48" s="1"/>
  <c r="F100" i="48" s="1"/>
  <c r="F99" i="48" s="1"/>
  <c r="N98" i="48"/>
  <c r="G98" i="48"/>
  <c r="L98" i="48" s="1"/>
  <c r="M97" i="48"/>
  <c r="M96" i="48" s="1"/>
  <c r="J97" i="48"/>
  <c r="I97" i="48"/>
  <c r="I96" i="48" s="1"/>
  <c r="G97" i="48"/>
  <c r="G96" i="48" s="1"/>
  <c r="F97" i="48"/>
  <c r="F96" i="48" s="1"/>
  <c r="M95" i="48"/>
  <c r="N95" i="48" s="1"/>
  <c r="G95" i="48"/>
  <c r="L95" i="48" s="1"/>
  <c r="J94" i="48"/>
  <c r="J93" i="48" s="1"/>
  <c r="I94" i="48"/>
  <c r="I93" i="48" s="1"/>
  <c r="F94" i="48"/>
  <c r="F93" i="48" s="1"/>
  <c r="N90" i="48"/>
  <c r="G90" i="48"/>
  <c r="M89" i="48"/>
  <c r="J89" i="48"/>
  <c r="I89" i="48"/>
  <c r="I88" i="48" s="1"/>
  <c r="I87" i="48" s="1"/>
  <c r="I86" i="48" s="1"/>
  <c r="N85" i="48"/>
  <c r="G85" i="48"/>
  <c r="M84" i="48"/>
  <c r="J84" i="48"/>
  <c r="I84" i="48"/>
  <c r="F84" i="48"/>
  <c r="N83" i="48"/>
  <c r="G83" i="48"/>
  <c r="L83" i="48" s="1"/>
  <c r="M82" i="48"/>
  <c r="J82" i="48"/>
  <c r="I82" i="48"/>
  <c r="F82" i="48"/>
  <c r="N79" i="48"/>
  <c r="G79" i="48"/>
  <c r="M78" i="48"/>
  <c r="J78" i="48"/>
  <c r="I78" i="48"/>
  <c r="M77" i="48"/>
  <c r="N77" i="48" s="1"/>
  <c r="G77" i="48"/>
  <c r="L77" i="48" s="1"/>
  <c r="J76" i="48"/>
  <c r="I76" i="48"/>
  <c r="F76" i="48"/>
  <c r="N75" i="48"/>
  <c r="G75" i="48"/>
  <c r="M74" i="48"/>
  <c r="J74" i="48"/>
  <c r="I74" i="48"/>
  <c r="F74" i="48"/>
  <c r="N71" i="48"/>
  <c r="L71" i="48"/>
  <c r="K71" i="48"/>
  <c r="M70" i="48"/>
  <c r="M69" i="48" s="1"/>
  <c r="J70" i="48"/>
  <c r="I70" i="48"/>
  <c r="I69" i="48" s="1"/>
  <c r="G70" i="48"/>
  <c r="G69" i="48" s="1"/>
  <c r="N68" i="48"/>
  <c r="G68" i="48"/>
  <c r="L68" i="48" s="1"/>
  <c r="M67" i="48"/>
  <c r="M66" i="48" s="1"/>
  <c r="J67" i="48"/>
  <c r="I67" i="48"/>
  <c r="I66" i="48" s="1"/>
  <c r="G67" i="48"/>
  <c r="F67" i="48"/>
  <c r="F66" i="48" s="1"/>
  <c r="N65" i="48"/>
  <c r="G65" i="48"/>
  <c r="L65" i="48" s="1"/>
  <c r="M64" i="48"/>
  <c r="J64" i="48"/>
  <c r="J63" i="48" s="1"/>
  <c r="I64" i="48"/>
  <c r="I63" i="48" s="1"/>
  <c r="F64" i="48"/>
  <c r="F63" i="48" s="1"/>
  <c r="M63" i="48"/>
  <c r="M59" i="48"/>
  <c r="N59" i="48" s="1"/>
  <c r="G59" i="48"/>
  <c r="L59" i="48" s="1"/>
  <c r="J58" i="48"/>
  <c r="J57" i="48" s="1"/>
  <c r="J56" i="48" s="1"/>
  <c r="J55" i="48" s="1"/>
  <c r="I58" i="48"/>
  <c r="I57" i="48" s="1"/>
  <c r="I56" i="48" s="1"/>
  <c r="I55" i="48" s="1"/>
  <c r="F58" i="48"/>
  <c r="F57" i="48" s="1"/>
  <c r="F56" i="48" s="1"/>
  <c r="F55" i="48" s="1"/>
  <c r="N54" i="48"/>
  <c r="G54" i="48"/>
  <c r="L54" i="48" s="1"/>
  <c r="M53" i="48"/>
  <c r="J53" i="48"/>
  <c r="J52" i="48" s="1"/>
  <c r="J51" i="48" s="1"/>
  <c r="J50" i="48" s="1"/>
  <c r="I53" i="48"/>
  <c r="I52" i="48" s="1"/>
  <c r="I51" i="48" s="1"/>
  <c r="I50" i="48" s="1"/>
  <c r="F53" i="48"/>
  <c r="F52" i="48" s="1"/>
  <c r="F51" i="48" s="1"/>
  <c r="F50" i="48" s="1"/>
  <c r="N49" i="48"/>
  <c r="I49" i="48"/>
  <c r="G49" i="48"/>
  <c r="L49" i="48" s="1"/>
  <c r="F49" i="48"/>
  <c r="M48" i="48"/>
  <c r="M47" i="48" s="1"/>
  <c r="M45" i="48" s="1"/>
  <c r="J48" i="48"/>
  <c r="J47" i="48" s="1"/>
  <c r="I48" i="48"/>
  <c r="I47" i="48" s="1"/>
  <c r="F48" i="48"/>
  <c r="F47" i="48" s="1"/>
  <c r="N43" i="48"/>
  <c r="G43" i="48"/>
  <c r="L43" i="48" s="1"/>
  <c r="M42" i="48"/>
  <c r="J42" i="48"/>
  <c r="I42" i="48"/>
  <c r="F42" i="48"/>
  <c r="M41" i="48"/>
  <c r="N41" i="48" s="1"/>
  <c r="I41" i="48"/>
  <c r="I40" i="48" s="1"/>
  <c r="G41" i="48"/>
  <c r="L41" i="48" s="1"/>
  <c r="M40" i="48"/>
  <c r="J40" i="48"/>
  <c r="F40" i="48"/>
  <c r="N36" i="48"/>
  <c r="G36" i="48"/>
  <c r="L36" i="48" s="1"/>
  <c r="M35" i="48"/>
  <c r="J35" i="48"/>
  <c r="J34" i="48" s="1"/>
  <c r="J33" i="48" s="1"/>
  <c r="J32" i="48" s="1"/>
  <c r="I35" i="48"/>
  <c r="I34" i="48" s="1"/>
  <c r="I33" i="48" s="1"/>
  <c r="I32" i="48" s="1"/>
  <c r="F35" i="48"/>
  <c r="F34" i="48" s="1"/>
  <c r="F33" i="48" s="1"/>
  <c r="F32" i="48" s="1"/>
  <c r="N29" i="48"/>
  <c r="G29" i="48"/>
  <c r="L29" i="48" s="1"/>
  <c r="M28" i="48"/>
  <c r="J28" i="48"/>
  <c r="J27" i="48" s="1"/>
  <c r="J26" i="48" s="1"/>
  <c r="J25" i="48" s="1"/>
  <c r="I28" i="48"/>
  <c r="I27" i="48" s="1"/>
  <c r="I26" i="48" s="1"/>
  <c r="I25" i="48" s="1"/>
  <c r="F28" i="48"/>
  <c r="F27" i="48" s="1"/>
  <c r="F26" i="48" s="1"/>
  <c r="F25" i="48" s="1"/>
  <c r="N24" i="48"/>
  <c r="G24" i="48"/>
  <c r="L24" i="48" s="1"/>
  <c r="M23" i="48"/>
  <c r="J23" i="48"/>
  <c r="J22" i="48" s="1"/>
  <c r="J21" i="48" s="1"/>
  <c r="I23" i="48"/>
  <c r="I22" i="48" s="1"/>
  <c r="I21" i="48" s="1"/>
  <c r="I20" i="48" s="1"/>
  <c r="F22" i="48"/>
  <c r="F21" i="48" s="1"/>
  <c r="F20" i="48" s="1"/>
  <c r="N18" i="48"/>
  <c r="G18" i="48"/>
  <c r="L18" i="48" s="1"/>
  <c r="M17" i="48"/>
  <c r="J17" i="48"/>
  <c r="I17" i="48"/>
  <c r="N16" i="48"/>
  <c r="G16" i="48"/>
  <c r="M15" i="48"/>
  <c r="J15" i="48"/>
  <c r="I15" i="48"/>
  <c r="F15" i="48"/>
  <c r="N14" i="48"/>
  <c r="I14" i="48"/>
  <c r="I13" i="48" s="1"/>
  <c r="G14" i="48"/>
  <c r="K14" i="48" s="1"/>
  <c r="M13" i="48"/>
  <c r="J13" i="48"/>
  <c r="F13" i="48"/>
  <c r="G743" i="47"/>
  <c r="N741" i="47"/>
  <c r="G741" i="47"/>
  <c r="K741" i="47" s="1"/>
  <c r="M740" i="47"/>
  <c r="J740" i="47"/>
  <c r="I740" i="47"/>
  <c r="I739" i="47" s="1"/>
  <c r="I738" i="47" s="1"/>
  <c r="I737" i="47" s="1"/>
  <c r="M739" i="47"/>
  <c r="N736" i="47"/>
  <c r="G736" i="47"/>
  <c r="K736" i="47" s="1"/>
  <c r="M735" i="47"/>
  <c r="M734" i="47" s="1"/>
  <c r="J735" i="47"/>
  <c r="I735" i="47"/>
  <c r="I734" i="47"/>
  <c r="I733" i="47" s="1"/>
  <c r="I732" i="47" s="1"/>
  <c r="N730" i="47"/>
  <c r="L730" i="47"/>
  <c r="G730" i="47"/>
  <c r="K730" i="47" s="1"/>
  <c r="M729" i="47"/>
  <c r="J729" i="47"/>
  <c r="I729" i="47"/>
  <c r="N728" i="47"/>
  <c r="L728" i="47"/>
  <c r="K728" i="47"/>
  <c r="G728" i="47"/>
  <c r="M727" i="47"/>
  <c r="J727" i="47"/>
  <c r="K727" i="47" s="1"/>
  <c r="I727" i="47"/>
  <c r="G727" i="47"/>
  <c r="F727" i="47"/>
  <c r="N726" i="47"/>
  <c r="L726" i="47"/>
  <c r="K726" i="47"/>
  <c r="G726" i="47"/>
  <c r="M725" i="47"/>
  <c r="J725" i="47"/>
  <c r="I725" i="47"/>
  <c r="G725" i="47"/>
  <c r="F725" i="47"/>
  <c r="F724" i="47" s="1"/>
  <c r="N723" i="47"/>
  <c r="L723" i="47"/>
  <c r="K723" i="47"/>
  <c r="G723" i="47"/>
  <c r="M722" i="47"/>
  <c r="M721" i="47" s="1"/>
  <c r="J722" i="47"/>
  <c r="I722" i="47"/>
  <c r="I721" i="47" s="1"/>
  <c r="G722" i="47"/>
  <c r="F722" i="47"/>
  <c r="J721" i="47"/>
  <c r="K721" i="47" s="1"/>
  <c r="G721" i="47"/>
  <c r="F721" i="47"/>
  <c r="N716" i="47"/>
  <c r="L716" i="47"/>
  <c r="K716" i="47"/>
  <c r="M715" i="47"/>
  <c r="J715" i="47"/>
  <c r="I715" i="47"/>
  <c r="I714" i="47" s="1"/>
  <c r="G715" i="47"/>
  <c r="G714" i="47" s="1"/>
  <c r="N713" i="47"/>
  <c r="L713" i="47"/>
  <c r="K713" i="47"/>
  <c r="M712" i="47"/>
  <c r="J712" i="47"/>
  <c r="I712" i="47"/>
  <c r="G712" i="47"/>
  <c r="K712" i="47" s="1"/>
  <c r="M711" i="47"/>
  <c r="J711" i="47"/>
  <c r="I711" i="47"/>
  <c r="G711" i="47"/>
  <c r="K711" i="47" s="1"/>
  <c r="N710" i="47"/>
  <c r="L710" i="47"/>
  <c r="K710" i="47"/>
  <c r="N709" i="47"/>
  <c r="L709" i="47"/>
  <c r="K709" i="47"/>
  <c r="F709" i="47"/>
  <c r="N708" i="47"/>
  <c r="L708" i="47"/>
  <c r="K708" i="47"/>
  <c r="F708" i="47"/>
  <c r="N707" i="47"/>
  <c r="L707" i="47"/>
  <c r="K707" i="47"/>
  <c r="M706" i="47"/>
  <c r="M705" i="47" s="1"/>
  <c r="J706" i="47"/>
  <c r="I706" i="47"/>
  <c r="G706" i="47"/>
  <c r="F706" i="47"/>
  <c r="F705" i="47" s="1"/>
  <c r="F704" i="47" s="1"/>
  <c r="F703" i="47" s="1"/>
  <c r="F702" i="47" s="1"/>
  <c r="F701" i="47" s="1"/>
  <c r="J705" i="47"/>
  <c r="I705" i="47"/>
  <c r="N700" i="47"/>
  <c r="L700" i="47"/>
  <c r="K700" i="47"/>
  <c r="M699" i="47"/>
  <c r="J699" i="47"/>
  <c r="I699" i="47"/>
  <c r="G699" i="47"/>
  <c r="F699" i="47"/>
  <c r="N698" i="47"/>
  <c r="L698" i="47"/>
  <c r="K698" i="47"/>
  <c r="M697" i="47"/>
  <c r="J697" i="47"/>
  <c r="J696" i="47" s="1"/>
  <c r="I697" i="47"/>
  <c r="G697" i="47"/>
  <c r="G696" i="47" s="1"/>
  <c r="G695" i="47" s="1"/>
  <c r="G694" i="47" s="1"/>
  <c r="G693" i="47" s="1"/>
  <c r="G692" i="47" s="1"/>
  <c r="F697" i="47"/>
  <c r="M696" i="47"/>
  <c r="M695" i="47" s="1"/>
  <c r="M694" i="47" s="1"/>
  <c r="M693" i="47" s="1"/>
  <c r="M692" i="47" s="1"/>
  <c r="N691" i="47"/>
  <c r="L691" i="47"/>
  <c r="K691" i="47"/>
  <c r="M690" i="47"/>
  <c r="M689" i="47" s="1"/>
  <c r="M688" i="47" s="1"/>
  <c r="J690" i="47"/>
  <c r="I690" i="47"/>
  <c r="I689" i="47" s="1"/>
  <c r="I688" i="47" s="1"/>
  <c r="I687" i="47" s="1"/>
  <c r="I686" i="47" s="1"/>
  <c r="G690" i="47"/>
  <c r="F690" i="47"/>
  <c r="J689" i="47"/>
  <c r="G689" i="47"/>
  <c r="F689" i="47"/>
  <c r="J688" i="47"/>
  <c r="J687" i="47" s="1"/>
  <c r="J686" i="47" s="1"/>
  <c r="G688" i="47"/>
  <c r="F688" i="47"/>
  <c r="F687" i="47" s="1"/>
  <c r="F686" i="47" s="1"/>
  <c r="G687" i="47"/>
  <c r="G686" i="47" s="1"/>
  <c r="N684" i="47"/>
  <c r="L684" i="47"/>
  <c r="K684" i="47"/>
  <c r="M683" i="47"/>
  <c r="J683" i="47"/>
  <c r="I683" i="47"/>
  <c r="G683" i="47"/>
  <c r="F683" i="47"/>
  <c r="N682" i="47"/>
  <c r="L682" i="47"/>
  <c r="K682" i="47"/>
  <c r="M681" i="47"/>
  <c r="J681" i="47"/>
  <c r="I681" i="47"/>
  <c r="G681" i="47"/>
  <c r="F681" i="47"/>
  <c r="N680" i="47"/>
  <c r="L680" i="47"/>
  <c r="K680" i="47"/>
  <c r="M679" i="47"/>
  <c r="M678" i="47" s="1"/>
  <c r="M677" i="47" s="1"/>
  <c r="J679" i="47"/>
  <c r="J678" i="47" s="1"/>
  <c r="I679" i="47"/>
  <c r="G679" i="47"/>
  <c r="F679" i="47"/>
  <c r="I677" i="47"/>
  <c r="I676" i="47" s="1"/>
  <c r="G677" i="47"/>
  <c r="G676" i="47" s="1"/>
  <c r="F677" i="47"/>
  <c r="F676" i="47" s="1"/>
  <c r="N675" i="47"/>
  <c r="G675" i="47"/>
  <c r="M674" i="47"/>
  <c r="J674" i="47"/>
  <c r="I674" i="47"/>
  <c r="F674" i="47"/>
  <c r="M673" i="47"/>
  <c r="J673" i="47"/>
  <c r="I673" i="47"/>
  <c r="F673" i="47"/>
  <c r="N672" i="47"/>
  <c r="G672" i="47"/>
  <c r="M671" i="47"/>
  <c r="J671" i="47"/>
  <c r="I671" i="47"/>
  <c r="N670" i="47"/>
  <c r="M670" i="47"/>
  <c r="M669" i="47" s="1"/>
  <c r="G670" i="47"/>
  <c r="J669" i="47"/>
  <c r="I669" i="47"/>
  <c r="F669" i="47"/>
  <c r="N668" i="47"/>
  <c r="G668" i="47"/>
  <c r="M667" i="47"/>
  <c r="J667" i="47"/>
  <c r="J666" i="47" s="1"/>
  <c r="I667" i="47"/>
  <c r="F667" i="47"/>
  <c r="N665" i="47"/>
  <c r="I665" i="47"/>
  <c r="I664" i="47" s="1"/>
  <c r="G665" i="47"/>
  <c r="L665" i="47" s="1"/>
  <c r="M664" i="47"/>
  <c r="J664" i="47"/>
  <c r="G664" i="47"/>
  <c r="K664" i="47" s="1"/>
  <c r="N663" i="47"/>
  <c r="G663" i="47"/>
  <c r="M662" i="47"/>
  <c r="J662" i="47"/>
  <c r="I662" i="47"/>
  <c r="F662" i="47"/>
  <c r="N661" i="47"/>
  <c r="G661" i="47"/>
  <c r="M660" i="47"/>
  <c r="M659" i="47" s="1"/>
  <c r="J660" i="47"/>
  <c r="I660" i="47"/>
  <c r="G660" i="47"/>
  <c r="F660" i="47"/>
  <c r="N655" i="47"/>
  <c r="L655" i="47"/>
  <c r="K655" i="47"/>
  <c r="G655" i="47"/>
  <c r="M654" i="47"/>
  <c r="J654" i="47"/>
  <c r="I654" i="47"/>
  <c r="G654" i="47"/>
  <c r="G653" i="47" s="1"/>
  <c r="F654" i="47"/>
  <c r="F653" i="47" s="1"/>
  <c r="F652" i="47" s="1"/>
  <c r="J653" i="47"/>
  <c r="J652" i="47" s="1"/>
  <c r="I653" i="47"/>
  <c r="I652" i="47" s="1"/>
  <c r="N651" i="47"/>
  <c r="L651" i="47"/>
  <c r="K651" i="47"/>
  <c r="N650" i="47"/>
  <c r="L650" i="47"/>
  <c r="K650" i="47"/>
  <c r="N649" i="47"/>
  <c r="L649" i="47"/>
  <c r="K649" i="47"/>
  <c r="N648" i="47"/>
  <c r="L648" i="47"/>
  <c r="K648" i="47"/>
  <c r="N647" i="47"/>
  <c r="L647" i="47"/>
  <c r="K647" i="47"/>
  <c r="N646" i="47"/>
  <c r="L646" i="47"/>
  <c r="K646" i="47"/>
  <c r="N645" i="47"/>
  <c r="I645" i="47"/>
  <c r="I644" i="47" s="1"/>
  <c r="G645" i="47"/>
  <c r="N644" i="47"/>
  <c r="N643" i="47"/>
  <c r="L643" i="47"/>
  <c r="K643" i="47"/>
  <c r="N642" i="47"/>
  <c r="L642" i="47"/>
  <c r="K642" i="47"/>
  <c r="F642" i="47"/>
  <c r="N641" i="47"/>
  <c r="L641" i="47"/>
  <c r="K641" i="47"/>
  <c r="F641" i="47"/>
  <c r="N640" i="47"/>
  <c r="G640" i="47"/>
  <c r="L640" i="47" s="1"/>
  <c r="M639" i="47"/>
  <c r="N639" i="47" s="1"/>
  <c r="J639" i="47"/>
  <c r="I639" i="47"/>
  <c r="I638" i="47" s="1"/>
  <c r="I637" i="47" s="1"/>
  <c r="G639" i="47"/>
  <c r="F639" i="47"/>
  <c r="F638" i="47" s="1"/>
  <c r="F637" i="47" s="1"/>
  <c r="F636" i="47" s="1"/>
  <c r="J638" i="47"/>
  <c r="J637" i="47" s="1"/>
  <c r="N633" i="47"/>
  <c r="M633" i="47"/>
  <c r="L633" i="47"/>
  <c r="K633" i="47"/>
  <c r="M632" i="47"/>
  <c r="M631" i="47" s="1"/>
  <c r="J632" i="47"/>
  <c r="J631" i="47" s="1"/>
  <c r="I632" i="47"/>
  <c r="I631" i="47" s="1"/>
  <c r="I630" i="47" s="1"/>
  <c r="G632" i="47"/>
  <c r="G631" i="47" s="1"/>
  <c r="G630" i="47" s="1"/>
  <c r="N629" i="47"/>
  <c r="L629" i="47"/>
  <c r="K629" i="47"/>
  <c r="G629" i="47"/>
  <c r="G628" i="47" s="1"/>
  <c r="K628" i="47" s="1"/>
  <c r="N628" i="47"/>
  <c r="I628" i="47"/>
  <c r="I627" i="47" s="1"/>
  <c r="F628" i="47"/>
  <c r="F627" i="47" s="1"/>
  <c r="N627" i="47"/>
  <c r="N626" i="47"/>
  <c r="L626" i="47"/>
  <c r="K626" i="47"/>
  <c r="N625" i="47"/>
  <c r="L625" i="47"/>
  <c r="K625" i="47"/>
  <c r="F625" i="47"/>
  <c r="N624" i="47"/>
  <c r="L624" i="47"/>
  <c r="K624" i="47"/>
  <c r="F624" i="47"/>
  <c r="N623" i="47"/>
  <c r="M623" i="47"/>
  <c r="L623" i="47"/>
  <c r="K623" i="47"/>
  <c r="G623" i="47"/>
  <c r="M622" i="47"/>
  <c r="J622" i="47"/>
  <c r="J621" i="47" s="1"/>
  <c r="I622" i="47"/>
  <c r="I621" i="47" s="1"/>
  <c r="G622" i="47"/>
  <c r="N620" i="47"/>
  <c r="G620" i="47"/>
  <c r="M619" i="47"/>
  <c r="N619" i="47" s="1"/>
  <c r="J619" i="47"/>
  <c r="J618" i="47" s="1"/>
  <c r="I619" i="47"/>
  <c r="I618" i="47" s="1"/>
  <c r="F619" i="47"/>
  <c r="F618" i="47" s="1"/>
  <c r="M618" i="47"/>
  <c r="N616" i="47"/>
  <c r="M616" i="47"/>
  <c r="M615" i="47" s="1"/>
  <c r="K616" i="47"/>
  <c r="G616" i="47"/>
  <c r="L616" i="47" s="1"/>
  <c r="J615" i="47"/>
  <c r="I615" i="47"/>
  <c r="G615" i="47"/>
  <c r="L615" i="47" s="1"/>
  <c r="F615" i="47"/>
  <c r="F614" i="47" s="1"/>
  <c r="F613" i="47" s="1"/>
  <c r="J614" i="47"/>
  <c r="I614" i="47"/>
  <c r="I613" i="47" s="1"/>
  <c r="G614" i="47"/>
  <c r="L614" i="47" s="1"/>
  <c r="J613" i="47"/>
  <c r="N609" i="47"/>
  <c r="L609" i="47"/>
  <c r="K609" i="47"/>
  <c r="M608" i="47"/>
  <c r="J608" i="47"/>
  <c r="I608" i="47"/>
  <c r="I607" i="47" s="1"/>
  <c r="I606" i="47" s="1"/>
  <c r="G608" i="47"/>
  <c r="G607" i="47" s="1"/>
  <c r="G606" i="47" s="1"/>
  <c r="M607" i="47"/>
  <c r="M606" i="47" s="1"/>
  <c r="N605" i="47"/>
  <c r="L605" i="47"/>
  <c r="I605" i="47"/>
  <c r="M604" i="47"/>
  <c r="J604" i="47"/>
  <c r="I604" i="47"/>
  <c r="I603" i="47" s="1"/>
  <c r="I602" i="47" s="1"/>
  <c r="G604" i="47"/>
  <c r="G603" i="47" s="1"/>
  <c r="M603" i="47"/>
  <c r="N601" i="47"/>
  <c r="L601" i="47"/>
  <c r="K601" i="47"/>
  <c r="M600" i="47"/>
  <c r="M599" i="47" s="1"/>
  <c r="J600" i="47"/>
  <c r="I600" i="47"/>
  <c r="I599" i="47" s="1"/>
  <c r="G600" i="47"/>
  <c r="F600" i="47"/>
  <c r="F599" i="47" s="1"/>
  <c r="N598" i="47"/>
  <c r="L598" i="47"/>
  <c r="K598" i="47"/>
  <c r="M597" i="47"/>
  <c r="M596" i="47" s="1"/>
  <c r="J597" i="47"/>
  <c r="I597" i="47"/>
  <c r="G597" i="47"/>
  <c r="F597" i="47"/>
  <c r="F596" i="47" s="1"/>
  <c r="J596" i="47"/>
  <c r="I596" i="47"/>
  <c r="N594" i="47"/>
  <c r="L594" i="47"/>
  <c r="K594" i="47"/>
  <c r="M593" i="47"/>
  <c r="J593" i="47"/>
  <c r="I593" i="47"/>
  <c r="G593" i="47"/>
  <c r="F593" i="47"/>
  <c r="J592" i="47"/>
  <c r="I592" i="47"/>
  <c r="G592" i="47"/>
  <c r="F592" i="47"/>
  <c r="M591" i="47"/>
  <c r="G591" i="47"/>
  <c r="L591" i="47" s="1"/>
  <c r="J590" i="47"/>
  <c r="I590" i="47"/>
  <c r="I589" i="47" s="1"/>
  <c r="G590" i="47"/>
  <c r="G589" i="47" s="1"/>
  <c r="F590" i="47"/>
  <c r="F589" i="47" s="1"/>
  <c r="N588" i="47"/>
  <c r="L588" i="47"/>
  <c r="K588" i="47"/>
  <c r="I588" i="47"/>
  <c r="G588" i="47"/>
  <c r="M587" i="47"/>
  <c r="J587" i="47"/>
  <c r="L587" i="47" s="1"/>
  <c r="I587" i="47"/>
  <c r="I586" i="47" s="1"/>
  <c r="G587" i="47"/>
  <c r="F587" i="47"/>
  <c r="F586" i="47" s="1"/>
  <c r="M586" i="47"/>
  <c r="G586" i="47"/>
  <c r="N585" i="47"/>
  <c r="L585" i="47"/>
  <c r="K585" i="47"/>
  <c r="M584" i="47"/>
  <c r="J584" i="47"/>
  <c r="J583" i="47" s="1"/>
  <c r="I584" i="47"/>
  <c r="G584" i="47"/>
  <c r="F584" i="47"/>
  <c r="F583" i="47" s="1"/>
  <c r="M583" i="47"/>
  <c r="I583" i="47"/>
  <c r="M582" i="47"/>
  <c r="N582" i="47" s="1"/>
  <c r="L582" i="47"/>
  <c r="K582" i="47"/>
  <c r="G582" i="47"/>
  <c r="M581" i="47"/>
  <c r="M580" i="47" s="1"/>
  <c r="J581" i="47"/>
  <c r="I581" i="47"/>
  <c r="G581" i="47"/>
  <c r="F581" i="47"/>
  <c r="I580" i="47"/>
  <c r="G580" i="47"/>
  <c r="F580" i="47"/>
  <c r="N579" i="47"/>
  <c r="L579" i="47"/>
  <c r="K579" i="47"/>
  <c r="G579" i="47"/>
  <c r="M578" i="47"/>
  <c r="J578" i="47"/>
  <c r="I578" i="47"/>
  <c r="G578" i="47"/>
  <c r="F578" i="47"/>
  <c r="F577" i="47" s="1"/>
  <c r="J577" i="47"/>
  <c r="I577" i="47"/>
  <c r="G577" i="47"/>
  <c r="N575" i="47"/>
  <c r="L575" i="47"/>
  <c r="K575" i="47"/>
  <c r="M574" i="47"/>
  <c r="J574" i="47"/>
  <c r="N574" i="47" s="1"/>
  <c r="I574" i="47"/>
  <c r="G574" i="47"/>
  <c r="G573" i="47" s="1"/>
  <c r="F574" i="47"/>
  <c r="M573" i="47"/>
  <c r="I573" i="47"/>
  <c r="F573" i="47"/>
  <c r="N572" i="47"/>
  <c r="L572" i="47"/>
  <c r="K572" i="47"/>
  <c r="M571" i="47"/>
  <c r="M570" i="47" s="1"/>
  <c r="J571" i="47"/>
  <c r="J570" i="47" s="1"/>
  <c r="I571" i="47"/>
  <c r="I570" i="47" s="1"/>
  <c r="G571" i="47"/>
  <c r="F571" i="47"/>
  <c r="F570" i="47" s="1"/>
  <c r="N569" i="47"/>
  <c r="M569" i="47"/>
  <c r="L569" i="47"/>
  <c r="G569" i="47"/>
  <c r="K569" i="47" s="1"/>
  <c r="M568" i="47"/>
  <c r="J568" i="47"/>
  <c r="I568" i="47"/>
  <c r="F568" i="47"/>
  <c r="M567" i="47"/>
  <c r="J567" i="47"/>
  <c r="I567" i="47"/>
  <c r="F567" i="47"/>
  <c r="N566" i="47"/>
  <c r="L566" i="47"/>
  <c r="K566" i="47"/>
  <c r="M565" i="47"/>
  <c r="M564" i="47" s="1"/>
  <c r="J565" i="47"/>
  <c r="J564" i="47" s="1"/>
  <c r="I565" i="47"/>
  <c r="G565" i="47"/>
  <c r="G564" i="47" s="1"/>
  <c r="F565" i="47"/>
  <c r="F564" i="47" s="1"/>
  <c r="I564" i="47"/>
  <c r="N559" i="47"/>
  <c r="M559" i="47"/>
  <c r="L559" i="47"/>
  <c r="G559" i="47"/>
  <c r="M558" i="47"/>
  <c r="M557" i="47" s="1"/>
  <c r="J558" i="47"/>
  <c r="I558" i="47"/>
  <c r="G558" i="47"/>
  <c r="G557" i="47" s="1"/>
  <c r="N557" i="47"/>
  <c r="J557" i="47"/>
  <c r="I557" i="47"/>
  <c r="N556" i="47"/>
  <c r="K556" i="47"/>
  <c r="I556" i="47"/>
  <c r="G556" i="47"/>
  <c r="G555" i="47" s="1"/>
  <c r="M555" i="47"/>
  <c r="J555" i="47"/>
  <c r="L555" i="47" s="1"/>
  <c r="I555" i="47"/>
  <c r="I554" i="47" s="1"/>
  <c r="G554" i="47"/>
  <c r="N553" i="47"/>
  <c r="L553" i="47"/>
  <c r="K553" i="47"/>
  <c r="M552" i="47"/>
  <c r="N552" i="47" s="1"/>
  <c r="J552" i="47"/>
  <c r="I552" i="47"/>
  <c r="G552" i="47"/>
  <c r="F552" i="47"/>
  <c r="F551" i="47" s="1"/>
  <c r="J551" i="47"/>
  <c r="I551" i="47"/>
  <c r="G551" i="47"/>
  <c r="N550" i="47"/>
  <c r="K550" i="47"/>
  <c r="G550" i="47"/>
  <c r="L550" i="47" s="1"/>
  <c r="M549" i="47"/>
  <c r="J549" i="47"/>
  <c r="I549" i="47"/>
  <c r="G549" i="47"/>
  <c r="F549" i="47"/>
  <c r="M548" i="47"/>
  <c r="I548" i="47"/>
  <c r="G548" i="47"/>
  <c r="F548" i="47"/>
  <c r="N547" i="47"/>
  <c r="K547" i="47"/>
  <c r="G547" i="47"/>
  <c r="L547" i="47" s="1"/>
  <c r="M546" i="47"/>
  <c r="J546" i="47"/>
  <c r="I546" i="47"/>
  <c r="I545" i="47" s="1"/>
  <c r="G546" i="47"/>
  <c r="G545" i="47" s="1"/>
  <c r="M545" i="47"/>
  <c r="N544" i="47"/>
  <c r="L544" i="47"/>
  <c r="K544" i="47"/>
  <c r="M543" i="47"/>
  <c r="J543" i="47"/>
  <c r="I543" i="47"/>
  <c r="I542" i="47" s="1"/>
  <c r="G543" i="47"/>
  <c r="G542" i="47" s="1"/>
  <c r="N541" i="47"/>
  <c r="L541" i="47"/>
  <c r="G541" i="47"/>
  <c r="K541" i="47" s="1"/>
  <c r="M540" i="47"/>
  <c r="J540" i="47"/>
  <c r="I540" i="47"/>
  <c r="F540" i="47"/>
  <c r="M539" i="47"/>
  <c r="J539" i="47"/>
  <c r="I539" i="47"/>
  <c r="F539" i="47"/>
  <c r="N538" i="47"/>
  <c r="L538" i="47"/>
  <c r="G538" i="47"/>
  <c r="K538" i="47" s="1"/>
  <c r="M537" i="47"/>
  <c r="J537" i="47"/>
  <c r="J536" i="47" s="1"/>
  <c r="I537" i="47"/>
  <c r="I536" i="47" s="1"/>
  <c r="F537" i="47"/>
  <c r="F536" i="47" s="1"/>
  <c r="N535" i="47"/>
  <c r="G535" i="47"/>
  <c r="L535" i="47" s="1"/>
  <c r="M534" i="47"/>
  <c r="J534" i="47"/>
  <c r="J533" i="47" s="1"/>
  <c r="I534" i="47"/>
  <c r="I533" i="47" s="1"/>
  <c r="N531" i="47"/>
  <c r="L531" i="47"/>
  <c r="K531" i="47"/>
  <c r="M530" i="47"/>
  <c r="J530" i="47"/>
  <c r="L530" i="47" s="1"/>
  <c r="I530" i="47"/>
  <c r="I529" i="47" s="1"/>
  <c r="G530" i="47"/>
  <c r="F530" i="47"/>
  <c r="F529" i="47" s="1"/>
  <c r="G529" i="47"/>
  <c r="M528" i="47"/>
  <c r="K528" i="47"/>
  <c r="G528" i="47"/>
  <c r="L528" i="47" s="1"/>
  <c r="J527" i="47"/>
  <c r="I527" i="47"/>
  <c r="G527" i="47"/>
  <c r="G526" i="47" s="1"/>
  <c r="F527" i="47"/>
  <c r="F526" i="47" s="1"/>
  <c r="J526" i="47"/>
  <c r="I526" i="47"/>
  <c r="N519" i="47"/>
  <c r="K519" i="47"/>
  <c r="G519" i="47"/>
  <c r="L519" i="47" s="1"/>
  <c r="M518" i="47"/>
  <c r="J518" i="47"/>
  <c r="N518" i="47" s="1"/>
  <c r="I518" i="47"/>
  <c r="G518" i="47"/>
  <c r="G517" i="47" s="1"/>
  <c r="G516" i="47" s="1"/>
  <c r="F518" i="47"/>
  <c r="M517" i="47"/>
  <c r="M516" i="47" s="1"/>
  <c r="I517" i="47"/>
  <c r="I516" i="47" s="1"/>
  <c r="F517" i="47"/>
  <c r="F516" i="47" s="1"/>
  <c r="N515" i="47"/>
  <c r="K515" i="47"/>
  <c r="G515" i="47"/>
  <c r="L515" i="47" s="1"/>
  <c r="M514" i="47"/>
  <c r="M513" i="47" s="1"/>
  <c r="M512" i="47" s="1"/>
  <c r="M511" i="47" s="1"/>
  <c r="J514" i="47"/>
  <c r="I514" i="47"/>
  <c r="I513" i="47" s="1"/>
  <c r="I512" i="47" s="1"/>
  <c r="I511" i="47" s="1"/>
  <c r="I510" i="47" s="1"/>
  <c r="G514" i="47"/>
  <c r="G513" i="47" s="1"/>
  <c r="G512" i="47" s="1"/>
  <c r="G511" i="47" s="1"/>
  <c r="G510" i="47" s="1"/>
  <c r="F514" i="47"/>
  <c r="F513" i="47" s="1"/>
  <c r="F512" i="47" s="1"/>
  <c r="F511" i="47" s="1"/>
  <c r="F510" i="47" s="1"/>
  <c r="N509" i="47"/>
  <c r="K509" i="47"/>
  <c r="G509" i="47"/>
  <c r="L509" i="47" s="1"/>
  <c r="M508" i="47"/>
  <c r="M507" i="47" s="1"/>
  <c r="J508" i="47"/>
  <c r="I508" i="47"/>
  <c r="G508" i="47"/>
  <c r="G507" i="47" s="1"/>
  <c r="F508" i="47"/>
  <c r="F507" i="47" s="1"/>
  <c r="I507" i="47"/>
  <c r="N506" i="47"/>
  <c r="K506" i="47"/>
  <c r="G506" i="47"/>
  <c r="L506" i="47" s="1"/>
  <c r="M505" i="47"/>
  <c r="N505" i="47" s="1"/>
  <c r="J505" i="47"/>
  <c r="I505" i="47"/>
  <c r="G505" i="47"/>
  <c r="F505" i="47"/>
  <c r="N504" i="47"/>
  <c r="K504" i="47"/>
  <c r="G504" i="47"/>
  <c r="L504" i="47" s="1"/>
  <c r="M503" i="47"/>
  <c r="J503" i="47"/>
  <c r="I503" i="47"/>
  <c r="G503" i="47"/>
  <c r="F503" i="47"/>
  <c r="N502" i="47"/>
  <c r="K502" i="47"/>
  <c r="G502" i="47"/>
  <c r="L502" i="47" s="1"/>
  <c r="M501" i="47"/>
  <c r="J501" i="47"/>
  <c r="I501" i="47"/>
  <c r="I500" i="47" s="1"/>
  <c r="G501" i="47"/>
  <c r="F501" i="47"/>
  <c r="F500" i="47" s="1"/>
  <c r="J500" i="47"/>
  <c r="N499" i="47"/>
  <c r="K499" i="47"/>
  <c r="G499" i="47"/>
  <c r="L499" i="47" s="1"/>
  <c r="M498" i="47"/>
  <c r="M497" i="47" s="1"/>
  <c r="J498" i="47"/>
  <c r="I498" i="47"/>
  <c r="I497" i="47" s="1"/>
  <c r="G498" i="47"/>
  <c r="G497" i="47" s="1"/>
  <c r="F498" i="47"/>
  <c r="F497" i="47" s="1"/>
  <c r="N492" i="47"/>
  <c r="K492" i="47"/>
  <c r="G492" i="47"/>
  <c r="L492" i="47" s="1"/>
  <c r="M491" i="47"/>
  <c r="M490" i="47" s="1"/>
  <c r="M489" i="47" s="1"/>
  <c r="M488" i="47" s="1"/>
  <c r="M487" i="47" s="1"/>
  <c r="M486" i="47" s="1"/>
  <c r="J491" i="47"/>
  <c r="I491" i="47"/>
  <c r="I490" i="47" s="1"/>
  <c r="I489" i="47" s="1"/>
  <c r="I488" i="47" s="1"/>
  <c r="I487" i="47" s="1"/>
  <c r="I486" i="47" s="1"/>
  <c r="G491" i="47"/>
  <c r="G490" i="47" s="1"/>
  <c r="G489" i="47" s="1"/>
  <c r="G488" i="47" s="1"/>
  <c r="G487" i="47" s="1"/>
  <c r="G486" i="47" s="1"/>
  <c r="F491" i="47"/>
  <c r="F490" i="47" s="1"/>
  <c r="F489" i="47" s="1"/>
  <c r="F488" i="47" s="1"/>
  <c r="F487" i="47" s="1"/>
  <c r="F486" i="47" s="1"/>
  <c r="J490" i="47"/>
  <c r="N485" i="47"/>
  <c r="K485" i="47"/>
  <c r="G485" i="47"/>
  <c r="L485" i="47" s="1"/>
  <c r="M484" i="47"/>
  <c r="M483" i="47" s="1"/>
  <c r="M482" i="47" s="1"/>
  <c r="M481" i="47" s="1"/>
  <c r="J484" i="47"/>
  <c r="I484" i="47"/>
  <c r="G484" i="47"/>
  <c r="G483" i="47" s="1"/>
  <c r="G482" i="47" s="1"/>
  <c r="G481" i="47" s="1"/>
  <c r="F484" i="47"/>
  <c r="I483" i="47"/>
  <c r="I482" i="47" s="1"/>
  <c r="I481" i="47" s="1"/>
  <c r="F483" i="47"/>
  <c r="F482" i="47" s="1"/>
  <c r="F481" i="47" s="1"/>
  <c r="N480" i="47"/>
  <c r="K480" i="47"/>
  <c r="G480" i="47"/>
  <c r="L480" i="47" s="1"/>
  <c r="M479" i="47"/>
  <c r="J479" i="47"/>
  <c r="I479" i="47"/>
  <c r="G479" i="47"/>
  <c r="N478" i="47"/>
  <c r="L478" i="47"/>
  <c r="K478" i="47"/>
  <c r="M477" i="47"/>
  <c r="J477" i="47"/>
  <c r="I477" i="47"/>
  <c r="G477" i="47"/>
  <c r="F477" i="47"/>
  <c r="F476" i="47" s="1"/>
  <c r="N475" i="47"/>
  <c r="L475" i="47"/>
  <c r="K475" i="47"/>
  <c r="G475" i="47"/>
  <c r="M474" i="47"/>
  <c r="M473" i="47" s="1"/>
  <c r="J474" i="47"/>
  <c r="I474" i="47"/>
  <c r="G474" i="47"/>
  <c r="G473" i="47" s="1"/>
  <c r="F474" i="47"/>
  <c r="F473" i="47" s="1"/>
  <c r="I473" i="47"/>
  <c r="N472" i="47"/>
  <c r="L472" i="47"/>
  <c r="K472" i="47"/>
  <c r="M471" i="47"/>
  <c r="J471" i="47"/>
  <c r="J470" i="47" s="1"/>
  <c r="I471" i="47"/>
  <c r="I470" i="47" s="1"/>
  <c r="G471" i="47"/>
  <c r="G470" i="47" s="1"/>
  <c r="F471" i="47"/>
  <c r="F470" i="47" s="1"/>
  <c r="N469" i="47"/>
  <c r="G469" i="47"/>
  <c r="L469" i="47" s="1"/>
  <c r="M468" i="47"/>
  <c r="J468" i="47"/>
  <c r="J467" i="47" s="1"/>
  <c r="I468" i="47"/>
  <c r="I467" i="47" s="1"/>
  <c r="M466" i="47"/>
  <c r="K466" i="47"/>
  <c r="G466" i="47"/>
  <c r="L466" i="47" s="1"/>
  <c r="J465" i="47"/>
  <c r="I465" i="47"/>
  <c r="I464" i="47" s="1"/>
  <c r="G465" i="47"/>
  <c r="G464" i="47" s="1"/>
  <c r="F465" i="47"/>
  <c r="F464" i="47" s="1"/>
  <c r="N463" i="47"/>
  <c r="L463" i="47"/>
  <c r="K463" i="47"/>
  <c r="N462" i="47"/>
  <c r="L462" i="47"/>
  <c r="K462" i="47"/>
  <c r="N461" i="47"/>
  <c r="L461" i="47"/>
  <c r="K461" i="47"/>
  <c r="N460" i="47"/>
  <c r="L460" i="47"/>
  <c r="G460" i="47"/>
  <c r="M459" i="47"/>
  <c r="J459" i="47"/>
  <c r="I459" i="47"/>
  <c r="F459" i="47"/>
  <c r="N458" i="47"/>
  <c r="L458" i="47"/>
  <c r="G458" i="47"/>
  <c r="M457" i="47"/>
  <c r="J457" i="47"/>
  <c r="I457" i="47"/>
  <c r="F457" i="47"/>
  <c r="F456" i="47" s="1"/>
  <c r="N451" i="47"/>
  <c r="L451" i="47"/>
  <c r="K451" i="47"/>
  <c r="M450" i="47"/>
  <c r="M449" i="47" s="1"/>
  <c r="J450" i="47"/>
  <c r="I450" i="47"/>
  <c r="I449" i="47" s="1"/>
  <c r="G450" i="47"/>
  <c r="G449" i="47" s="1"/>
  <c r="N448" i="47"/>
  <c r="L448" i="47"/>
  <c r="K448" i="47"/>
  <c r="M447" i="47"/>
  <c r="J447" i="47"/>
  <c r="I447" i="47"/>
  <c r="I446" i="47" s="1"/>
  <c r="G447" i="47"/>
  <c r="G446" i="47" s="1"/>
  <c r="J446" i="47"/>
  <c r="N445" i="47"/>
  <c r="L445" i="47"/>
  <c r="K445" i="47"/>
  <c r="M444" i="47"/>
  <c r="M443" i="47" s="1"/>
  <c r="J444" i="47"/>
  <c r="I444" i="47"/>
  <c r="I443" i="47" s="1"/>
  <c r="G444" i="47"/>
  <c r="G443" i="47" s="1"/>
  <c r="N439" i="47"/>
  <c r="L439" i="47"/>
  <c r="K439" i="47"/>
  <c r="M438" i="47"/>
  <c r="M437" i="47" s="1"/>
  <c r="J438" i="47"/>
  <c r="I438" i="47"/>
  <c r="G438" i="47"/>
  <c r="G437" i="47" s="1"/>
  <c r="F438" i="47"/>
  <c r="F437" i="47" s="1"/>
  <c r="I437" i="47"/>
  <c r="N436" i="47"/>
  <c r="L436" i="47"/>
  <c r="K436" i="47"/>
  <c r="M435" i="47"/>
  <c r="J435" i="47"/>
  <c r="I435" i="47"/>
  <c r="I434" i="47" s="1"/>
  <c r="G435" i="47"/>
  <c r="G434" i="47" s="1"/>
  <c r="F435" i="47"/>
  <c r="F434" i="47" s="1"/>
  <c r="N433" i="47"/>
  <c r="L433" i="47"/>
  <c r="K433" i="47"/>
  <c r="N432" i="47"/>
  <c r="L432" i="47"/>
  <c r="K432" i="47"/>
  <c r="I432" i="47"/>
  <c r="I431" i="47" s="1"/>
  <c r="M431" i="47"/>
  <c r="J431" i="47"/>
  <c r="G431" i="47"/>
  <c r="F431" i="47"/>
  <c r="N430" i="47"/>
  <c r="L430" i="47"/>
  <c r="K430" i="47"/>
  <c r="M429" i="47"/>
  <c r="J429" i="47"/>
  <c r="I429" i="47"/>
  <c r="G429" i="47"/>
  <c r="G428" i="47" s="1"/>
  <c r="F429" i="47"/>
  <c r="F428" i="47" s="1"/>
  <c r="I426" i="47"/>
  <c r="I425" i="47" s="1"/>
  <c r="G426" i="47"/>
  <c r="G425" i="47" s="1"/>
  <c r="F426" i="47"/>
  <c r="F425" i="47" s="1"/>
  <c r="N424" i="47"/>
  <c r="L424" i="47"/>
  <c r="K424" i="47"/>
  <c r="G424" i="47"/>
  <c r="M423" i="47"/>
  <c r="M422" i="47" s="1"/>
  <c r="J423" i="47"/>
  <c r="I423" i="47"/>
  <c r="I422" i="47" s="1"/>
  <c r="G423" i="47"/>
  <c r="G422" i="47" s="1"/>
  <c r="F423" i="47"/>
  <c r="J422" i="47"/>
  <c r="F422" i="47"/>
  <c r="N421" i="47"/>
  <c r="L421" i="47"/>
  <c r="K421" i="47"/>
  <c r="G421" i="47"/>
  <c r="M420" i="47"/>
  <c r="J420" i="47"/>
  <c r="I420" i="47"/>
  <c r="I419" i="47" s="1"/>
  <c r="I418" i="47" s="1"/>
  <c r="G420" i="47"/>
  <c r="F420" i="47"/>
  <c r="J419" i="47"/>
  <c r="G419" i="47"/>
  <c r="F419" i="47"/>
  <c r="F418" i="47" s="1"/>
  <c r="N417" i="47"/>
  <c r="L417" i="47"/>
  <c r="K417" i="47"/>
  <c r="M416" i="47"/>
  <c r="J416" i="47"/>
  <c r="I416" i="47"/>
  <c r="I415" i="47" s="1"/>
  <c r="I414" i="47" s="1"/>
  <c r="I413" i="47" s="1"/>
  <c r="G416" i="47"/>
  <c r="K416" i="47" s="1"/>
  <c r="F416" i="47"/>
  <c r="F415" i="47" s="1"/>
  <c r="F414" i="47" s="1"/>
  <c r="F413" i="47" s="1"/>
  <c r="F408" i="47" s="1"/>
  <c r="F407" i="47" s="1"/>
  <c r="J415" i="47"/>
  <c r="J414" i="47"/>
  <c r="N412" i="47"/>
  <c r="G412" i="47"/>
  <c r="L412" i="47" s="1"/>
  <c r="M411" i="47"/>
  <c r="J411" i="47"/>
  <c r="J410" i="47" s="1"/>
  <c r="I411" i="47"/>
  <c r="I410" i="47" s="1"/>
  <c r="I409" i="47" s="1"/>
  <c r="I408" i="47" s="1"/>
  <c r="I407" i="47" s="1"/>
  <c r="N406" i="47"/>
  <c r="K406" i="47"/>
  <c r="G406" i="47"/>
  <c r="L406" i="47" s="1"/>
  <c r="M405" i="47"/>
  <c r="M404" i="47" s="1"/>
  <c r="M403" i="47" s="1"/>
  <c r="M402" i="47" s="1"/>
  <c r="J405" i="47"/>
  <c r="I405" i="47"/>
  <c r="I404" i="47" s="1"/>
  <c r="I403" i="47" s="1"/>
  <c r="I402" i="47" s="1"/>
  <c r="G405" i="47"/>
  <c r="G404" i="47" s="1"/>
  <c r="G403" i="47" s="1"/>
  <c r="G402" i="47" s="1"/>
  <c r="F405" i="47"/>
  <c r="F404" i="47" s="1"/>
  <c r="F403" i="47" s="1"/>
  <c r="F402" i="47" s="1"/>
  <c r="N400" i="47"/>
  <c r="L400" i="47"/>
  <c r="K400" i="47"/>
  <c r="M399" i="47"/>
  <c r="J399" i="47"/>
  <c r="I399" i="47"/>
  <c r="I398" i="47" s="1"/>
  <c r="I397" i="47" s="1"/>
  <c r="G399" i="47"/>
  <c r="G398" i="47"/>
  <c r="G397" i="47" s="1"/>
  <c r="N396" i="47"/>
  <c r="L396" i="47"/>
  <c r="K396" i="47"/>
  <c r="M395" i="47"/>
  <c r="J395" i="47"/>
  <c r="I395" i="47"/>
  <c r="I394" i="47" s="1"/>
  <c r="G395" i="47"/>
  <c r="G394" i="47"/>
  <c r="N393" i="47"/>
  <c r="L393" i="47"/>
  <c r="K393" i="47"/>
  <c r="M392" i="47"/>
  <c r="J392" i="47"/>
  <c r="I392" i="47"/>
  <c r="I391" i="47" s="1"/>
  <c r="G392" i="47"/>
  <c r="G391" i="47" s="1"/>
  <c r="M391" i="47"/>
  <c r="N390" i="47"/>
  <c r="L390" i="47"/>
  <c r="K390" i="47"/>
  <c r="G390" i="47"/>
  <c r="F390" i="47"/>
  <c r="M389" i="47"/>
  <c r="M388" i="47" s="1"/>
  <c r="J389" i="47"/>
  <c r="I389" i="47"/>
  <c r="G389" i="47"/>
  <c r="F389" i="47"/>
  <c r="F388" i="47" s="1"/>
  <c r="I388" i="47"/>
  <c r="G388" i="47"/>
  <c r="N387" i="47"/>
  <c r="L387" i="47"/>
  <c r="G387" i="47"/>
  <c r="K387" i="47" s="1"/>
  <c r="F387" i="47"/>
  <c r="M386" i="47"/>
  <c r="M385" i="47" s="1"/>
  <c r="J386" i="47"/>
  <c r="I386" i="47"/>
  <c r="I385" i="47" s="1"/>
  <c r="G386" i="47"/>
  <c r="G385" i="47" s="1"/>
  <c r="F386" i="47"/>
  <c r="F385" i="47" s="1"/>
  <c r="N384" i="47"/>
  <c r="L384" i="47"/>
  <c r="K384" i="47"/>
  <c r="M383" i="47"/>
  <c r="J383" i="47"/>
  <c r="I383" i="47"/>
  <c r="I382" i="47" s="1"/>
  <c r="G383" i="47"/>
  <c r="G382" i="47" s="1"/>
  <c r="N381" i="47"/>
  <c r="L381" i="47"/>
  <c r="K381" i="47"/>
  <c r="M380" i="47"/>
  <c r="J380" i="47"/>
  <c r="I380" i="47"/>
  <c r="I379" i="47" s="1"/>
  <c r="G380" i="47"/>
  <c r="G379" i="47" s="1"/>
  <c r="N378" i="47"/>
  <c r="L378" i="47"/>
  <c r="K378" i="47"/>
  <c r="G378" i="47"/>
  <c r="M377" i="47"/>
  <c r="M376" i="47" s="1"/>
  <c r="J377" i="47"/>
  <c r="I377" i="47"/>
  <c r="I376" i="47" s="1"/>
  <c r="G377" i="47"/>
  <c r="G376" i="47" s="1"/>
  <c r="F377" i="47"/>
  <c r="F376" i="47" s="1"/>
  <c r="F375" i="47" s="1"/>
  <c r="N374" i="47"/>
  <c r="M374" i="47"/>
  <c r="L374" i="47"/>
  <c r="G374" i="47"/>
  <c r="M373" i="47"/>
  <c r="J373" i="47"/>
  <c r="J372" i="47" s="1"/>
  <c r="J371" i="47" s="1"/>
  <c r="I373" i="47"/>
  <c r="I372" i="47" s="1"/>
  <c r="I371" i="47" s="1"/>
  <c r="F373" i="47"/>
  <c r="F372" i="47" s="1"/>
  <c r="F371" i="47" s="1"/>
  <c r="M370" i="47"/>
  <c r="K370" i="47"/>
  <c r="G370" i="47"/>
  <c r="L370" i="47" s="1"/>
  <c r="J369" i="47"/>
  <c r="I369" i="47"/>
  <c r="I368" i="47" s="1"/>
  <c r="G369" i="47"/>
  <c r="G368" i="47" s="1"/>
  <c r="N367" i="47"/>
  <c r="L367" i="47"/>
  <c r="K367" i="47"/>
  <c r="M366" i="47"/>
  <c r="J366" i="47"/>
  <c r="I366" i="47"/>
  <c r="I365" i="47" s="1"/>
  <c r="G366" i="47"/>
  <c r="G365" i="47" s="1"/>
  <c r="F366" i="47"/>
  <c r="F365" i="47" s="1"/>
  <c r="J365" i="47"/>
  <c r="M364" i="47"/>
  <c r="L364" i="47"/>
  <c r="K364" i="47"/>
  <c r="G364" i="47"/>
  <c r="J363" i="47"/>
  <c r="I363" i="47"/>
  <c r="G363" i="47"/>
  <c r="G362" i="47" s="1"/>
  <c r="F363" i="47"/>
  <c r="F362" i="47" s="1"/>
  <c r="F361" i="47" s="1"/>
  <c r="J362" i="47"/>
  <c r="I362" i="47"/>
  <c r="N357" i="47"/>
  <c r="L357" i="47"/>
  <c r="K357" i="47"/>
  <c r="M356" i="47"/>
  <c r="J356" i="47"/>
  <c r="I356" i="47"/>
  <c r="I355" i="47" s="1"/>
  <c r="G356" i="47"/>
  <c r="N354" i="47"/>
  <c r="L354" i="47"/>
  <c r="K354" i="47"/>
  <c r="M353" i="47"/>
  <c r="J353" i="47"/>
  <c r="I353" i="47"/>
  <c r="I352" i="47" s="1"/>
  <c r="G353" i="47"/>
  <c r="G352" i="47" s="1"/>
  <c r="M352" i="47"/>
  <c r="N350" i="47"/>
  <c r="G350" i="47"/>
  <c r="L350" i="47" s="1"/>
  <c r="M349" i="47"/>
  <c r="J349" i="47"/>
  <c r="I349" i="47"/>
  <c r="I348" i="47" s="1"/>
  <c r="F349" i="47"/>
  <c r="F348" i="47" s="1"/>
  <c r="M348" i="47"/>
  <c r="J348" i="47"/>
  <c r="M347" i="47"/>
  <c r="K347" i="47"/>
  <c r="G347" i="47"/>
  <c r="L347" i="47" s="1"/>
  <c r="J346" i="47"/>
  <c r="I346" i="47"/>
  <c r="I345" i="47" s="1"/>
  <c r="G346" i="47"/>
  <c r="G345" i="47" s="1"/>
  <c r="F346" i="47"/>
  <c r="F345" i="47" s="1"/>
  <c r="N340" i="47"/>
  <c r="M340" i="47"/>
  <c r="L340" i="47"/>
  <c r="G340" i="47"/>
  <c r="K340" i="47" s="1"/>
  <c r="M339" i="47"/>
  <c r="J339" i="47"/>
  <c r="I339" i="47"/>
  <c r="I337" i="47" s="1"/>
  <c r="I336" i="47" s="1"/>
  <c r="G339" i="47"/>
  <c r="L339" i="47" s="1"/>
  <c r="F339" i="47"/>
  <c r="J338" i="47"/>
  <c r="F338" i="47"/>
  <c r="J337" i="47"/>
  <c r="J336" i="47" s="1"/>
  <c r="F337" i="47"/>
  <c r="F336" i="47" s="1"/>
  <c r="N335" i="47"/>
  <c r="G335" i="47"/>
  <c r="L335" i="47" s="1"/>
  <c r="M334" i="47"/>
  <c r="J334" i="47"/>
  <c r="I334" i="47"/>
  <c r="F334" i="47"/>
  <c r="M333" i="47"/>
  <c r="J333" i="47"/>
  <c r="J332" i="47" s="1"/>
  <c r="I333" i="47"/>
  <c r="I332" i="47" s="1"/>
  <c r="F333" i="47"/>
  <c r="F332" i="47" s="1"/>
  <c r="N331" i="47"/>
  <c r="K331" i="47"/>
  <c r="G331" i="47"/>
  <c r="L331" i="47" s="1"/>
  <c r="M330" i="47"/>
  <c r="J330" i="47"/>
  <c r="I330" i="47"/>
  <c r="I329" i="47" s="1"/>
  <c r="I328" i="47" s="1"/>
  <c r="F330" i="47"/>
  <c r="F329" i="47" s="1"/>
  <c r="F328" i="47" s="1"/>
  <c r="F327" i="47" s="1"/>
  <c r="J329" i="47"/>
  <c r="J328" i="47" s="1"/>
  <c r="M324" i="47"/>
  <c r="N324" i="47" s="1"/>
  <c r="L324" i="47"/>
  <c r="K324" i="47"/>
  <c r="G324" i="47"/>
  <c r="J323" i="47"/>
  <c r="J322" i="47" s="1"/>
  <c r="I323" i="47"/>
  <c r="I322" i="47" s="1"/>
  <c r="G323" i="47"/>
  <c r="G322" i="47" s="1"/>
  <c r="F323" i="47"/>
  <c r="F322" i="47" s="1"/>
  <c r="N321" i="47"/>
  <c r="L321" i="47"/>
  <c r="G321" i="47"/>
  <c r="K321" i="47" s="1"/>
  <c r="F321" i="47"/>
  <c r="M320" i="47"/>
  <c r="J320" i="47"/>
  <c r="I320" i="47"/>
  <c r="G320" i="47"/>
  <c r="G319" i="47" s="1"/>
  <c r="F320" i="47"/>
  <c r="F319" i="47" s="1"/>
  <c r="M319" i="47"/>
  <c r="I319" i="47"/>
  <c r="H316" i="47"/>
  <c r="N315" i="47"/>
  <c r="G315" i="47"/>
  <c r="L315" i="47" s="1"/>
  <c r="M314" i="47"/>
  <c r="J314" i="47"/>
  <c r="I314" i="47"/>
  <c r="F314" i="47"/>
  <c r="M313" i="47"/>
  <c r="J313" i="47"/>
  <c r="I313" i="47"/>
  <c r="F313" i="47"/>
  <c r="M312" i="47"/>
  <c r="N312" i="47" s="1"/>
  <c r="K312" i="47"/>
  <c r="G312" i="47"/>
  <c r="L312" i="47" s="1"/>
  <c r="J311" i="47"/>
  <c r="I311" i="47"/>
  <c r="G311" i="47"/>
  <c r="F311" i="47"/>
  <c r="J310" i="47"/>
  <c r="I310" i="47"/>
  <c r="G310" i="47"/>
  <c r="F310" i="47"/>
  <c r="N309" i="47"/>
  <c r="L309" i="47"/>
  <c r="K309" i="47"/>
  <c r="I309" i="47"/>
  <c r="I308" i="47" s="1"/>
  <c r="I307" i="47" s="1"/>
  <c r="I306" i="47" s="1"/>
  <c r="I305" i="47" s="1"/>
  <c r="M308" i="47"/>
  <c r="J308" i="47"/>
  <c r="G308" i="47"/>
  <c r="F308" i="47"/>
  <c r="M307" i="47"/>
  <c r="J307" i="47"/>
  <c r="G307" i="47"/>
  <c r="L307" i="47" s="1"/>
  <c r="F307" i="47"/>
  <c r="H306" i="47"/>
  <c r="H305" i="47" s="1"/>
  <c r="N304" i="47"/>
  <c r="L304" i="47"/>
  <c r="K304" i="47"/>
  <c r="M303" i="47"/>
  <c r="J303" i="47"/>
  <c r="I303" i="47"/>
  <c r="I302" i="47" s="1"/>
  <c r="G303" i="47"/>
  <c r="L303" i="47" s="1"/>
  <c r="J302" i="47"/>
  <c r="M301" i="47"/>
  <c r="N301" i="47" s="1"/>
  <c r="K301" i="47"/>
  <c r="J301" i="47"/>
  <c r="L301" i="47" s="1"/>
  <c r="I301" i="47"/>
  <c r="G301" i="47"/>
  <c r="F301" i="47"/>
  <c r="F300" i="47" s="1"/>
  <c r="F299" i="47" s="1"/>
  <c r="F298" i="47" s="1"/>
  <c r="F297" i="47" s="1"/>
  <c r="M300" i="47"/>
  <c r="J300" i="47"/>
  <c r="I300" i="47"/>
  <c r="I299" i="47" s="1"/>
  <c r="I298" i="47" s="1"/>
  <c r="G300" i="47"/>
  <c r="G299" i="47" s="1"/>
  <c r="G298" i="47" s="1"/>
  <c r="M299" i="47"/>
  <c r="M298" i="47" s="1"/>
  <c r="J299" i="47"/>
  <c r="N295" i="47"/>
  <c r="G295" i="47"/>
  <c r="M294" i="47"/>
  <c r="J294" i="47"/>
  <c r="J293" i="47" s="1"/>
  <c r="I294" i="47"/>
  <c r="I293" i="47" s="1"/>
  <c r="M292" i="47"/>
  <c r="L292" i="47"/>
  <c r="K292" i="47"/>
  <c r="G292" i="47"/>
  <c r="J291" i="47"/>
  <c r="I291" i="47"/>
  <c r="I290" i="47" s="1"/>
  <c r="G291" i="47"/>
  <c r="G290" i="47" s="1"/>
  <c r="F291" i="47"/>
  <c r="F290" i="47" s="1"/>
  <c r="J290" i="47"/>
  <c r="N289" i="47"/>
  <c r="L289" i="47"/>
  <c r="K289" i="47"/>
  <c r="G289" i="47"/>
  <c r="M288" i="47"/>
  <c r="M287" i="47" s="1"/>
  <c r="J288" i="47"/>
  <c r="I288" i="47"/>
  <c r="I287" i="47" s="1"/>
  <c r="G288" i="47"/>
  <c r="G287" i="47" s="1"/>
  <c r="F288" i="47"/>
  <c r="F287" i="47" s="1"/>
  <c r="N286" i="47"/>
  <c r="L286" i="47"/>
  <c r="K286" i="47"/>
  <c r="G286" i="47"/>
  <c r="M285" i="47"/>
  <c r="M284" i="47" s="1"/>
  <c r="J285" i="47"/>
  <c r="I285" i="47"/>
  <c r="I284" i="47" s="1"/>
  <c r="G285" i="47"/>
  <c r="G284" i="47" s="1"/>
  <c r="F285" i="47"/>
  <c r="F284" i="47" s="1"/>
  <c r="N281" i="47"/>
  <c r="L281" i="47"/>
  <c r="K281" i="47"/>
  <c r="M280" i="47"/>
  <c r="J280" i="47"/>
  <c r="J279" i="47" s="1"/>
  <c r="I280" i="47"/>
  <c r="I279" i="47" s="1"/>
  <c r="G280" i="47"/>
  <c r="G279" i="47" s="1"/>
  <c r="M278" i="47"/>
  <c r="K278" i="47"/>
  <c r="G278" i="47"/>
  <c r="L278" i="47" s="1"/>
  <c r="J277" i="47"/>
  <c r="I277" i="47"/>
  <c r="I276" i="47" s="1"/>
  <c r="G277" i="47"/>
  <c r="G276" i="47" s="1"/>
  <c r="F277" i="47"/>
  <c r="F276" i="47" s="1"/>
  <c r="N275" i="47"/>
  <c r="K275" i="47"/>
  <c r="G275" i="47"/>
  <c r="L275" i="47" s="1"/>
  <c r="M274" i="47"/>
  <c r="J274" i="47"/>
  <c r="I274" i="47"/>
  <c r="I273" i="47" s="1"/>
  <c r="G274" i="47"/>
  <c r="G273" i="47" s="1"/>
  <c r="M273" i="47"/>
  <c r="N272" i="47"/>
  <c r="L272" i="47"/>
  <c r="K272" i="47"/>
  <c r="M271" i="47"/>
  <c r="J271" i="47"/>
  <c r="I271" i="47"/>
  <c r="I270" i="47" s="1"/>
  <c r="G271" i="47"/>
  <c r="G270" i="47" s="1"/>
  <c r="F271" i="47"/>
  <c r="F270" i="47" s="1"/>
  <c r="F269" i="47" s="1"/>
  <c r="F268" i="47" s="1"/>
  <c r="J270" i="47"/>
  <c r="N266" i="47"/>
  <c r="L266" i="47"/>
  <c r="K266" i="47"/>
  <c r="M265" i="47"/>
  <c r="J265" i="47"/>
  <c r="I265" i="47"/>
  <c r="I264" i="47" s="1"/>
  <c r="G265" i="47"/>
  <c r="G264" i="47" s="1"/>
  <c r="N263" i="47"/>
  <c r="L263" i="47"/>
  <c r="K263" i="47"/>
  <c r="M262" i="47"/>
  <c r="J262" i="47"/>
  <c r="I262" i="47"/>
  <c r="I261" i="47" s="1"/>
  <c r="G262" i="47"/>
  <c r="L262" i="47" s="1"/>
  <c r="N260" i="47"/>
  <c r="L260" i="47"/>
  <c r="G260" i="47"/>
  <c r="M259" i="47"/>
  <c r="J259" i="47"/>
  <c r="I259" i="47"/>
  <c r="I258" i="47" s="1"/>
  <c r="J258" i="47"/>
  <c r="N257" i="47"/>
  <c r="G257" i="47"/>
  <c r="L257" i="47" s="1"/>
  <c r="M256" i="47"/>
  <c r="J256" i="47"/>
  <c r="J255" i="47" s="1"/>
  <c r="I256" i="47"/>
  <c r="I255" i="47" s="1"/>
  <c r="N254" i="47"/>
  <c r="L254" i="47"/>
  <c r="G254" i="47"/>
  <c r="M253" i="47"/>
  <c r="J253" i="47"/>
  <c r="J252" i="47" s="1"/>
  <c r="I253" i="47"/>
  <c r="I252" i="47" s="1"/>
  <c r="N251" i="47"/>
  <c r="G251" i="47"/>
  <c r="M250" i="47"/>
  <c r="J250" i="47"/>
  <c r="J249" i="47" s="1"/>
  <c r="I250" i="47"/>
  <c r="I249" i="47" s="1"/>
  <c r="M248" i="47"/>
  <c r="K248" i="47"/>
  <c r="G248" i="47"/>
  <c r="L248" i="47" s="1"/>
  <c r="J247" i="47"/>
  <c r="I247" i="47"/>
  <c r="G247" i="47"/>
  <c r="G246" i="47" s="1"/>
  <c r="I246" i="47"/>
  <c r="N245" i="47"/>
  <c r="L245" i="47"/>
  <c r="K245" i="47"/>
  <c r="G245" i="47"/>
  <c r="M244" i="47"/>
  <c r="N244" i="47" s="1"/>
  <c r="J244" i="47"/>
  <c r="I244" i="47"/>
  <c r="G244" i="47"/>
  <c r="N243" i="47"/>
  <c r="G243" i="47"/>
  <c r="M242" i="47"/>
  <c r="J242" i="47"/>
  <c r="I242" i="47"/>
  <c r="F242" i="47"/>
  <c r="M241" i="47"/>
  <c r="L241" i="47"/>
  <c r="K241" i="47"/>
  <c r="G241" i="47"/>
  <c r="J240" i="47"/>
  <c r="I240" i="47"/>
  <c r="G240" i="47"/>
  <c r="F240" i="47"/>
  <c r="N235" i="47"/>
  <c r="M235" i="47"/>
  <c r="M234" i="47" s="1"/>
  <c r="M233" i="47" s="1"/>
  <c r="M232" i="47" s="1"/>
  <c r="M231" i="47" s="1"/>
  <c r="M230" i="47" s="1"/>
  <c r="L235" i="47"/>
  <c r="J235" i="47"/>
  <c r="K235" i="47" s="1"/>
  <c r="G235" i="47"/>
  <c r="J234" i="47"/>
  <c r="N234" i="47" s="1"/>
  <c r="I234" i="47"/>
  <c r="G234" i="47"/>
  <c r="G233" i="47" s="1"/>
  <c r="F234" i="47"/>
  <c r="F233" i="47" s="1"/>
  <c r="F232" i="47" s="1"/>
  <c r="F231" i="47" s="1"/>
  <c r="F230" i="47" s="1"/>
  <c r="J233" i="47"/>
  <c r="I233" i="47"/>
  <c r="I232" i="47" s="1"/>
  <c r="I231" i="47" s="1"/>
  <c r="I230" i="47" s="1"/>
  <c r="N228" i="47"/>
  <c r="M228" i="47"/>
  <c r="G228" i="47"/>
  <c r="L228" i="47" s="1"/>
  <c r="M227" i="47"/>
  <c r="J227" i="47"/>
  <c r="I227" i="47"/>
  <c r="I226" i="47" s="1"/>
  <c r="I225" i="47" s="1"/>
  <c r="F227" i="47"/>
  <c r="F226" i="47" s="1"/>
  <c r="F225" i="47" s="1"/>
  <c r="M226" i="47"/>
  <c r="J226" i="47"/>
  <c r="J225" i="47" s="1"/>
  <c r="N224" i="47"/>
  <c r="G224" i="47"/>
  <c r="M223" i="47"/>
  <c r="J223" i="47"/>
  <c r="I223" i="47"/>
  <c r="I222" i="47" s="1"/>
  <c r="I221" i="47" s="1"/>
  <c r="F223" i="47"/>
  <c r="F222" i="47" s="1"/>
  <c r="F221" i="47" s="1"/>
  <c r="M222" i="47"/>
  <c r="N222" i="47" s="1"/>
  <c r="J222" i="47"/>
  <c r="J221" i="47"/>
  <c r="N219" i="47"/>
  <c r="L219" i="47"/>
  <c r="G219" i="47"/>
  <c r="M218" i="47"/>
  <c r="J218" i="47"/>
  <c r="J217" i="47" s="1"/>
  <c r="J216" i="47" s="1"/>
  <c r="J215" i="47" s="1"/>
  <c r="I218" i="47"/>
  <c r="I217" i="47" s="1"/>
  <c r="I216" i="47" s="1"/>
  <c r="I215" i="47" s="1"/>
  <c r="F218" i="47"/>
  <c r="F217" i="47" s="1"/>
  <c r="F216" i="47" s="1"/>
  <c r="F215" i="47" s="1"/>
  <c r="N213" i="47"/>
  <c r="L213" i="47"/>
  <c r="K213" i="47"/>
  <c r="M212" i="47"/>
  <c r="J212" i="47"/>
  <c r="I212" i="47"/>
  <c r="I211" i="47" s="1"/>
  <c r="G212" i="47"/>
  <c r="G211" i="47" s="1"/>
  <c r="M211" i="47"/>
  <c r="N210" i="47"/>
  <c r="L210" i="47"/>
  <c r="K210" i="47"/>
  <c r="M209" i="47"/>
  <c r="J209" i="47"/>
  <c r="J208" i="47" s="1"/>
  <c r="I209" i="47"/>
  <c r="I208" i="47" s="1"/>
  <c r="G209" i="47"/>
  <c r="N207" i="47"/>
  <c r="L207" i="47"/>
  <c r="G207" i="47"/>
  <c r="M206" i="47"/>
  <c r="J206" i="47"/>
  <c r="J205" i="47" s="1"/>
  <c r="I206" i="47"/>
  <c r="I205" i="47" s="1"/>
  <c r="F206" i="47"/>
  <c r="F205" i="47" s="1"/>
  <c r="F204" i="47" s="1"/>
  <c r="F203" i="47" s="1"/>
  <c r="F202" i="47" s="1"/>
  <c r="M201" i="47"/>
  <c r="N201" i="47" s="1"/>
  <c r="L201" i="47"/>
  <c r="K201" i="47"/>
  <c r="J200" i="47"/>
  <c r="I200" i="47"/>
  <c r="I199" i="47" s="1"/>
  <c r="H200" i="47"/>
  <c r="H199" i="47" s="1"/>
  <c r="G200" i="47"/>
  <c r="J199" i="47"/>
  <c r="N198" i="47"/>
  <c r="L198" i="47"/>
  <c r="G198" i="47"/>
  <c r="M197" i="47"/>
  <c r="J197" i="47"/>
  <c r="J196" i="47" s="1"/>
  <c r="I197" i="47"/>
  <c r="I196" i="47" s="1"/>
  <c r="N193" i="47"/>
  <c r="L193" i="47"/>
  <c r="K193" i="47"/>
  <c r="F193" i="47"/>
  <c r="F192" i="47" s="1"/>
  <c r="F191" i="47" s="1"/>
  <c r="M192" i="47"/>
  <c r="J192" i="47"/>
  <c r="K192" i="47" s="1"/>
  <c r="I192" i="47"/>
  <c r="I191" i="47" s="1"/>
  <c r="I190" i="47" s="1"/>
  <c r="G192" i="47"/>
  <c r="G191" i="47" s="1"/>
  <c r="N187" i="47"/>
  <c r="L187" i="47"/>
  <c r="K187" i="47"/>
  <c r="M186" i="47"/>
  <c r="M185" i="47" s="1"/>
  <c r="J186" i="47"/>
  <c r="I186" i="47"/>
  <c r="G186" i="47"/>
  <c r="G185" i="47" s="1"/>
  <c r="F186" i="47"/>
  <c r="F185" i="47" s="1"/>
  <c r="J185" i="47"/>
  <c r="I185" i="47"/>
  <c r="I183" i="47" s="1"/>
  <c r="I182" i="47" s="1"/>
  <c r="M180" i="47"/>
  <c r="M179" i="47" s="1"/>
  <c r="M178" i="47" s="1"/>
  <c r="M177" i="47" s="1"/>
  <c r="M176" i="47" s="1"/>
  <c r="I180" i="47"/>
  <c r="I179" i="47" s="1"/>
  <c r="I178" i="47" s="1"/>
  <c r="I177" i="47" s="1"/>
  <c r="I176" i="47" s="1"/>
  <c r="G180" i="47"/>
  <c r="K180" i="47" s="1"/>
  <c r="J179" i="47"/>
  <c r="G179" i="47"/>
  <c r="G178" i="47" s="1"/>
  <c r="G177" i="47" s="1"/>
  <c r="G176" i="47" s="1"/>
  <c r="F179" i="47"/>
  <c r="F178" i="47" s="1"/>
  <c r="F177" i="47" s="1"/>
  <c r="F176" i="47" s="1"/>
  <c r="N175" i="47"/>
  <c r="G175" i="47"/>
  <c r="L175" i="47" s="1"/>
  <c r="M174" i="47"/>
  <c r="J174" i="47"/>
  <c r="I174" i="47"/>
  <c r="F174" i="47"/>
  <c r="M173" i="47"/>
  <c r="J173" i="47"/>
  <c r="I173" i="47"/>
  <c r="F173" i="47"/>
  <c r="M172" i="47"/>
  <c r="J172" i="47"/>
  <c r="I172" i="47"/>
  <c r="F172" i="47"/>
  <c r="M171" i="47"/>
  <c r="J171" i="47"/>
  <c r="I171" i="47"/>
  <c r="F171" i="47"/>
  <c r="M170" i="47"/>
  <c r="N169" i="47"/>
  <c r="G169" i="47"/>
  <c r="L169" i="47" s="1"/>
  <c r="M168" i="47"/>
  <c r="J168" i="47"/>
  <c r="I168" i="47"/>
  <c r="F168" i="47"/>
  <c r="M167" i="47"/>
  <c r="J167" i="47"/>
  <c r="I167" i="47"/>
  <c r="F167" i="47"/>
  <c r="N166" i="47"/>
  <c r="L166" i="47"/>
  <c r="K166" i="47"/>
  <c r="M165" i="47"/>
  <c r="M164" i="47" s="1"/>
  <c r="M163" i="47" s="1"/>
  <c r="J165" i="47"/>
  <c r="I165" i="47"/>
  <c r="I164" i="47" s="1"/>
  <c r="I163" i="47" s="1"/>
  <c r="G165" i="47"/>
  <c r="F165" i="47"/>
  <c r="G164" i="47"/>
  <c r="G163" i="47" s="1"/>
  <c r="F163" i="47"/>
  <c r="F162" i="47" s="1"/>
  <c r="F161" i="47" s="1"/>
  <c r="F160" i="47" s="1"/>
  <c r="N159" i="47"/>
  <c r="L159" i="47"/>
  <c r="K159" i="47"/>
  <c r="M158" i="47"/>
  <c r="J158" i="47"/>
  <c r="N157" i="47"/>
  <c r="L157" i="47"/>
  <c r="K157" i="47"/>
  <c r="M156" i="47"/>
  <c r="J156" i="47"/>
  <c r="L156" i="47" s="1"/>
  <c r="N154" i="47"/>
  <c r="L154" i="47"/>
  <c r="K154" i="47"/>
  <c r="M153" i="47"/>
  <c r="J153" i="47"/>
  <c r="L153" i="47" s="1"/>
  <c r="N152" i="47"/>
  <c r="L152" i="47"/>
  <c r="K152" i="47"/>
  <c r="M151" i="47"/>
  <c r="J151" i="47"/>
  <c r="N149" i="47"/>
  <c r="L149" i="47"/>
  <c r="K149" i="47"/>
  <c r="M148" i="47"/>
  <c r="N148" i="47" s="1"/>
  <c r="J148" i="47"/>
  <c r="N147" i="47"/>
  <c r="L147" i="47"/>
  <c r="K147" i="47"/>
  <c r="M146" i="47"/>
  <c r="J146" i="47"/>
  <c r="N144" i="47"/>
  <c r="L144" i="47"/>
  <c r="K144" i="47"/>
  <c r="M143" i="47"/>
  <c r="M142" i="47" s="1"/>
  <c r="J143" i="47"/>
  <c r="L143" i="47" s="1"/>
  <c r="N141" i="47"/>
  <c r="L141" i="47"/>
  <c r="K141" i="47"/>
  <c r="M140" i="47"/>
  <c r="J140" i="47"/>
  <c r="L140" i="47" s="1"/>
  <c r="N139" i="47"/>
  <c r="L139" i="47"/>
  <c r="K139" i="47"/>
  <c r="M138" i="47"/>
  <c r="J138" i="47"/>
  <c r="N136" i="47"/>
  <c r="L136" i="47"/>
  <c r="K136" i="47"/>
  <c r="M135" i="47"/>
  <c r="J135" i="47"/>
  <c r="J134" i="47" s="1"/>
  <c r="K134" i="47" s="1"/>
  <c r="N133" i="47"/>
  <c r="L133" i="47"/>
  <c r="K133" i="47"/>
  <c r="M132" i="47"/>
  <c r="M129" i="47" s="1"/>
  <c r="J132" i="47"/>
  <c r="I132" i="47"/>
  <c r="G132" i="47"/>
  <c r="N131" i="47"/>
  <c r="L131" i="47"/>
  <c r="K131" i="47"/>
  <c r="M130" i="47"/>
  <c r="J130" i="47"/>
  <c r="I130" i="47"/>
  <c r="I129" i="47" s="1"/>
  <c r="G130" i="47"/>
  <c r="N127" i="47"/>
  <c r="L127" i="47"/>
  <c r="G127" i="47"/>
  <c r="M126" i="47"/>
  <c r="J126" i="47"/>
  <c r="J125" i="47" s="1"/>
  <c r="I126" i="47"/>
  <c r="I125" i="47" s="1"/>
  <c r="N124" i="47"/>
  <c r="L124" i="47"/>
  <c r="K124" i="47"/>
  <c r="I124" i="47"/>
  <c r="I122" i="47" s="1"/>
  <c r="G124" i="47"/>
  <c r="N123" i="47"/>
  <c r="L123" i="47"/>
  <c r="K123" i="47"/>
  <c r="G123" i="47"/>
  <c r="M122" i="47"/>
  <c r="M119" i="47" s="1"/>
  <c r="J122" i="47"/>
  <c r="G122" i="47"/>
  <c r="N121" i="47"/>
  <c r="G121" i="47"/>
  <c r="M120" i="47"/>
  <c r="J120" i="47"/>
  <c r="I120" i="47"/>
  <c r="F120" i="47"/>
  <c r="F119" i="47" s="1"/>
  <c r="N118" i="47"/>
  <c r="G118" i="47"/>
  <c r="M117" i="47"/>
  <c r="J117" i="47"/>
  <c r="I117" i="47"/>
  <c r="N116" i="47"/>
  <c r="K116" i="47"/>
  <c r="G116" i="47"/>
  <c r="L116" i="47" s="1"/>
  <c r="M115" i="47"/>
  <c r="J115" i="47"/>
  <c r="I115" i="47"/>
  <c r="G115" i="47"/>
  <c r="F115" i="47"/>
  <c r="F114" i="47" s="1"/>
  <c r="N112" i="47"/>
  <c r="K112" i="47"/>
  <c r="G112" i="47"/>
  <c r="L112" i="47" s="1"/>
  <c r="M111" i="47"/>
  <c r="J111" i="47"/>
  <c r="N111" i="47" s="1"/>
  <c r="I111" i="47"/>
  <c r="G111" i="47"/>
  <c r="G110" i="47" s="1"/>
  <c r="G109" i="47" s="1"/>
  <c r="G108" i="47" s="1"/>
  <c r="F111" i="47"/>
  <c r="M110" i="47"/>
  <c r="M109" i="47" s="1"/>
  <c r="M108" i="47" s="1"/>
  <c r="I110" i="47"/>
  <c r="I109" i="47" s="1"/>
  <c r="I108" i="47" s="1"/>
  <c r="F110" i="47"/>
  <c r="F109" i="47" s="1"/>
  <c r="F108" i="47" s="1"/>
  <c r="N107" i="47"/>
  <c r="K107" i="47"/>
  <c r="I107" i="47"/>
  <c r="G107" i="47"/>
  <c r="M106" i="47"/>
  <c r="J106" i="47"/>
  <c r="I106" i="47"/>
  <c r="N105" i="47"/>
  <c r="K105" i="47"/>
  <c r="G105" i="47"/>
  <c r="L105" i="47" s="1"/>
  <c r="M104" i="47"/>
  <c r="J104" i="47"/>
  <c r="I104" i="47"/>
  <c r="G104" i="47"/>
  <c r="M103" i="47"/>
  <c r="K103" i="47"/>
  <c r="G103" i="47"/>
  <c r="L103" i="47" s="1"/>
  <c r="J102" i="47"/>
  <c r="I102" i="47"/>
  <c r="G102" i="47"/>
  <c r="F102" i="47"/>
  <c r="F101" i="47"/>
  <c r="F100" i="47" s="1"/>
  <c r="F99" i="47" s="1"/>
  <c r="N98" i="47"/>
  <c r="K98" i="47"/>
  <c r="G98" i="47"/>
  <c r="L98" i="47" s="1"/>
  <c r="M97" i="47"/>
  <c r="M96" i="47" s="1"/>
  <c r="J97" i="47"/>
  <c r="I97" i="47"/>
  <c r="I96" i="47" s="1"/>
  <c r="G97" i="47"/>
  <c r="G96" i="47" s="1"/>
  <c r="F97" i="47"/>
  <c r="F96" i="47" s="1"/>
  <c r="N95" i="47"/>
  <c r="M95" i="47"/>
  <c r="G95" i="47"/>
  <c r="M94" i="47"/>
  <c r="J94" i="47"/>
  <c r="I94" i="47"/>
  <c r="I93" i="47" s="1"/>
  <c r="F94" i="47"/>
  <c r="F93" i="47" s="1"/>
  <c r="M93" i="47"/>
  <c r="J93" i="47"/>
  <c r="N90" i="47"/>
  <c r="L90" i="47"/>
  <c r="G90" i="47"/>
  <c r="M89" i="47"/>
  <c r="J89" i="47"/>
  <c r="J88" i="47" s="1"/>
  <c r="I89" i="47"/>
  <c r="I88" i="47" s="1"/>
  <c r="I87" i="47" s="1"/>
  <c r="I86" i="47" s="1"/>
  <c r="N85" i="47"/>
  <c r="L85" i="47"/>
  <c r="G85" i="47"/>
  <c r="M84" i="47"/>
  <c r="J84" i="47"/>
  <c r="I84" i="47"/>
  <c r="F84" i="47"/>
  <c r="N83" i="47"/>
  <c r="L83" i="47"/>
  <c r="G83" i="47"/>
  <c r="M82" i="47"/>
  <c r="J82" i="47"/>
  <c r="I82" i="47"/>
  <c r="F82" i="47"/>
  <c r="N79" i="47"/>
  <c r="L79" i="47"/>
  <c r="G79" i="47"/>
  <c r="M78" i="47"/>
  <c r="J78" i="47"/>
  <c r="I78" i="47"/>
  <c r="N77" i="47"/>
  <c r="M77" i="47"/>
  <c r="L77" i="47"/>
  <c r="G77" i="47"/>
  <c r="M76" i="47"/>
  <c r="J76" i="47"/>
  <c r="I76" i="47"/>
  <c r="F76" i="47"/>
  <c r="N75" i="47"/>
  <c r="L75" i="47"/>
  <c r="G75" i="47"/>
  <c r="M74" i="47"/>
  <c r="J74" i="47"/>
  <c r="I74" i="47"/>
  <c r="I73" i="47" s="1"/>
  <c r="I72" i="47" s="1"/>
  <c r="F74" i="47"/>
  <c r="F73" i="47" s="1"/>
  <c r="F72" i="47" s="1"/>
  <c r="N71" i="47"/>
  <c r="L71" i="47"/>
  <c r="K71" i="47"/>
  <c r="M70" i="47"/>
  <c r="N70" i="47" s="1"/>
  <c r="J70" i="47"/>
  <c r="I70" i="47"/>
  <c r="I69" i="47" s="1"/>
  <c r="G70" i="47"/>
  <c r="G69" i="47" s="1"/>
  <c r="M69" i="47"/>
  <c r="N68" i="47"/>
  <c r="K68" i="47"/>
  <c r="G68" i="47"/>
  <c r="L68" i="47" s="1"/>
  <c r="M67" i="47"/>
  <c r="N67" i="47" s="1"/>
  <c r="J67" i="47"/>
  <c r="I67" i="47"/>
  <c r="I66" i="47" s="1"/>
  <c r="G67" i="47"/>
  <c r="G66" i="47" s="1"/>
  <c r="F67" i="47"/>
  <c r="F66" i="47" s="1"/>
  <c r="N65" i="47"/>
  <c r="K65" i="47"/>
  <c r="G65" i="47"/>
  <c r="L65" i="47" s="1"/>
  <c r="M64" i="47"/>
  <c r="M63" i="47" s="1"/>
  <c r="J64" i="47"/>
  <c r="I64" i="47"/>
  <c r="G64" i="47"/>
  <c r="G63" i="47" s="1"/>
  <c r="F64" i="47"/>
  <c r="I63" i="47"/>
  <c r="F63" i="47"/>
  <c r="N59" i="47"/>
  <c r="M59" i="47"/>
  <c r="L59" i="47"/>
  <c r="G59" i="47"/>
  <c r="M58" i="47"/>
  <c r="J58" i="47"/>
  <c r="J57" i="47" s="1"/>
  <c r="J56" i="47" s="1"/>
  <c r="J55" i="47" s="1"/>
  <c r="I58" i="47"/>
  <c r="I57" i="47" s="1"/>
  <c r="I56" i="47" s="1"/>
  <c r="I55" i="47" s="1"/>
  <c r="F58" i="47"/>
  <c r="F57" i="47" s="1"/>
  <c r="F56" i="47" s="1"/>
  <c r="F55" i="47" s="1"/>
  <c r="N54" i="47"/>
  <c r="G54" i="47"/>
  <c r="L54" i="47" s="1"/>
  <c r="M53" i="47"/>
  <c r="J53" i="47"/>
  <c r="I53" i="47"/>
  <c r="I52" i="47" s="1"/>
  <c r="I51" i="47" s="1"/>
  <c r="I50" i="47" s="1"/>
  <c r="F53" i="47"/>
  <c r="F52" i="47" s="1"/>
  <c r="F51" i="47" s="1"/>
  <c r="F50" i="47" s="1"/>
  <c r="M52" i="47"/>
  <c r="J52" i="47"/>
  <c r="J51" i="47" s="1"/>
  <c r="J50" i="47" s="1"/>
  <c r="N49" i="47"/>
  <c r="L49" i="47"/>
  <c r="I49" i="47"/>
  <c r="I48" i="47" s="1"/>
  <c r="I47" i="47" s="1"/>
  <c r="G49" i="47"/>
  <c r="K49" i="47" s="1"/>
  <c r="F49" i="47"/>
  <c r="M48" i="47"/>
  <c r="J48" i="47"/>
  <c r="J47" i="47" s="1"/>
  <c r="J45" i="47" s="1"/>
  <c r="G48" i="47"/>
  <c r="G47" i="47" s="1"/>
  <c r="F48" i="47"/>
  <c r="F47" i="47" s="1"/>
  <c r="N43" i="47"/>
  <c r="G43" i="47"/>
  <c r="M42" i="47"/>
  <c r="J42" i="47"/>
  <c r="I42" i="47"/>
  <c r="F42" i="47"/>
  <c r="M41" i="47"/>
  <c r="N41" i="47" s="1"/>
  <c r="I41" i="47"/>
  <c r="G41" i="47"/>
  <c r="M40" i="47"/>
  <c r="J40" i="47"/>
  <c r="I40" i="47"/>
  <c r="F40" i="47"/>
  <c r="N36" i="47"/>
  <c r="G36" i="47"/>
  <c r="M35" i="47"/>
  <c r="J35" i="47"/>
  <c r="I35" i="47"/>
  <c r="I34" i="47" s="1"/>
  <c r="I33" i="47" s="1"/>
  <c r="I32" i="47" s="1"/>
  <c r="F35" i="47"/>
  <c r="F34" i="47" s="1"/>
  <c r="F33" i="47" s="1"/>
  <c r="F32" i="47" s="1"/>
  <c r="M34" i="47"/>
  <c r="J34" i="47"/>
  <c r="J33" i="47" s="1"/>
  <c r="J32" i="47" s="1"/>
  <c r="N29" i="47"/>
  <c r="L29" i="47"/>
  <c r="G29" i="47"/>
  <c r="M28" i="47"/>
  <c r="J28" i="47"/>
  <c r="J27" i="47" s="1"/>
  <c r="J26" i="47" s="1"/>
  <c r="J25" i="47" s="1"/>
  <c r="I28" i="47"/>
  <c r="I27" i="47" s="1"/>
  <c r="I26" i="47" s="1"/>
  <c r="I25" i="47" s="1"/>
  <c r="F28" i="47"/>
  <c r="F27" i="47" s="1"/>
  <c r="F26" i="47" s="1"/>
  <c r="F25" i="47" s="1"/>
  <c r="N24" i="47"/>
  <c r="G24" i="47"/>
  <c r="M23" i="47"/>
  <c r="J23" i="47"/>
  <c r="J22" i="47" s="1"/>
  <c r="J21" i="47" s="1"/>
  <c r="I23" i="47"/>
  <c r="I22" i="47" s="1"/>
  <c r="I21" i="47" s="1"/>
  <c r="I20" i="47" s="1"/>
  <c r="F22" i="47"/>
  <c r="F21" i="47" s="1"/>
  <c r="F20" i="47" s="1"/>
  <c r="N18" i="47"/>
  <c r="K18" i="47"/>
  <c r="G18" i="47"/>
  <c r="L18" i="47" s="1"/>
  <c r="M17" i="47"/>
  <c r="J17" i="47"/>
  <c r="I17" i="47"/>
  <c r="G17" i="47"/>
  <c r="N16" i="47"/>
  <c r="L16" i="47"/>
  <c r="G16" i="47"/>
  <c r="M15" i="47"/>
  <c r="J15" i="47"/>
  <c r="I15" i="47"/>
  <c r="F15" i="47"/>
  <c r="N14" i="47"/>
  <c r="L14" i="47"/>
  <c r="I14" i="47"/>
  <c r="I13" i="47" s="1"/>
  <c r="I12" i="47" s="1"/>
  <c r="I11" i="47" s="1"/>
  <c r="I10" i="47" s="1"/>
  <c r="G14" i="47"/>
  <c r="K14" i="47" s="1"/>
  <c r="M13" i="47"/>
  <c r="J13" i="47"/>
  <c r="G13" i="47"/>
  <c r="K13" i="47" s="1"/>
  <c r="F13" i="47"/>
  <c r="F12" i="47" s="1"/>
  <c r="F11" i="47" s="1"/>
  <c r="F10" i="47" s="1"/>
  <c r="M183" i="48" l="1"/>
  <c r="M181" i="48" s="1"/>
  <c r="M180" i="48" s="1"/>
  <c r="F189" i="22"/>
  <c r="N52" i="47"/>
  <c r="N53" i="47"/>
  <c r="I81" i="47"/>
  <c r="I80" i="47" s="1"/>
  <c r="L431" i="47"/>
  <c r="F617" i="47"/>
  <c r="F612" i="47" s="1"/>
  <c r="F611" i="47" s="1"/>
  <c r="F610" i="47" s="1"/>
  <c r="F39" i="47"/>
  <c r="F38" i="47" s="1"/>
  <c r="F37" i="47" s="1"/>
  <c r="M162" i="47"/>
  <c r="M161" i="47" s="1"/>
  <c r="M160" i="47" s="1"/>
  <c r="I327" i="47"/>
  <c r="I326" i="47" s="1"/>
  <c r="I325" i="47" s="1"/>
  <c r="K429" i="47"/>
  <c r="N479" i="47"/>
  <c r="N578" i="47"/>
  <c r="M595" i="47"/>
  <c r="J724" i="47"/>
  <c r="J720" i="47" s="1"/>
  <c r="J719" i="47" s="1"/>
  <c r="L308" i="47"/>
  <c r="N568" i="47"/>
  <c r="J114" i="47"/>
  <c r="L132" i="47"/>
  <c r="M155" i="47"/>
  <c r="N158" i="47"/>
  <c r="L165" i="47"/>
  <c r="I184" i="47"/>
  <c r="N271" i="47"/>
  <c r="K280" i="47"/>
  <c r="N600" i="47"/>
  <c r="L631" i="47"/>
  <c r="F62" i="47"/>
  <c r="M66" i="47"/>
  <c r="M137" i="47"/>
  <c r="J150" i="47"/>
  <c r="J327" i="47"/>
  <c r="J326" i="47" s="1"/>
  <c r="J325" i="47" s="1"/>
  <c r="N330" i="47"/>
  <c r="N333" i="47"/>
  <c r="M476" i="47"/>
  <c r="L501" i="47"/>
  <c r="N503" i="47"/>
  <c r="L505" i="47"/>
  <c r="N664" i="47"/>
  <c r="I666" i="47"/>
  <c r="G337" i="47"/>
  <c r="N339" i="47"/>
  <c r="N373" i="47"/>
  <c r="I659" i="47"/>
  <c r="I658" i="47" s="1"/>
  <c r="K683" i="47"/>
  <c r="I92" i="47"/>
  <c r="I91" i="47" s="1"/>
  <c r="N132" i="47"/>
  <c r="I162" i="47"/>
  <c r="I161" i="47" s="1"/>
  <c r="I160" i="47" s="1"/>
  <c r="N380" i="47"/>
  <c r="K389" i="47"/>
  <c r="N725" i="47"/>
  <c r="F318" i="47"/>
  <c r="F317" i="47" s="1"/>
  <c r="F316" i="47" s="1"/>
  <c r="N223" i="47"/>
  <c r="L244" i="47"/>
  <c r="K270" i="47"/>
  <c r="N320" i="47"/>
  <c r="L337" i="47"/>
  <c r="N353" i="47"/>
  <c r="K366" i="47"/>
  <c r="L389" i="47"/>
  <c r="L395" i="47"/>
  <c r="L399" i="47"/>
  <c r="G415" i="47"/>
  <c r="G414" i="47" s="1"/>
  <c r="G413" i="47" s="1"/>
  <c r="N474" i="47"/>
  <c r="L479" i="47"/>
  <c r="L491" i="47"/>
  <c r="N514" i="47"/>
  <c r="K543" i="47"/>
  <c r="N662" i="47"/>
  <c r="L664" i="47"/>
  <c r="K715" i="47"/>
  <c r="K722" i="47"/>
  <c r="L725" i="47"/>
  <c r="L67" i="47"/>
  <c r="K102" i="47"/>
  <c r="J191" i="47"/>
  <c r="J190" i="47" s="1"/>
  <c r="N192" i="47"/>
  <c r="K200" i="47"/>
  <c r="N420" i="47"/>
  <c r="L423" i="47"/>
  <c r="L429" i="47"/>
  <c r="N438" i="47"/>
  <c r="K447" i="47"/>
  <c r="M500" i="47"/>
  <c r="L527" i="47"/>
  <c r="K597" i="47"/>
  <c r="L600" i="47"/>
  <c r="N660" i="47"/>
  <c r="L683" i="47"/>
  <c r="L688" i="47"/>
  <c r="L689" i="47"/>
  <c r="L690" i="47"/>
  <c r="F720" i="47"/>
  <c r="F719" i="47" s="1"/>
  <c r="F718" i="47" s="1"/>
  <c r="F717" i="47" s="1"/>
  <c r="K64" i="47"/>
  <c r="J81" i="47"/>
  <c r="J80" i="47" s="1"/>
  <c r="N84" i="47"/>
  <c r="K153" i="47"/>
  <c r="N218" i="47"/>
  <c r="L363" i="47"/>
  <c r="L446" i="47"/>
  <c r="F496" i="47"/>
  <c r="F495" i="47" s="1"/>
  <c r="M496" i="47"/>
  <c r="M495" i="47" s="1"/>
  <c r="K581" i="47"/>
  <c r="K622" i="47"/>
  <c r="K686" i="47"/>
  <c r="L209" i="47"/>
  <c r="I269" i="47"/>
  <c r="I268" i="47" s="1"/>
  <c r="L279" i="47"/>
  <c r="K285" i="47"/>
  <c r="N294" i="47"/>
  <c r="N334" i="47"/>
  <c r="K356" i="47"/>
  <c r="J456" i="47"/>
  <c r="J586" i="47"/>
  <c r="L586" i="47" s="1"/>
  <c r="N729" i="47"/>
  <c r="F184" i="47"/>
  <c r="F183" i="47"/>
  <c r="F182" i="47" s="1"/>
  <c r="J39" i="47"/>
  <c r="J38" i="47" s="1"/>
  <c r="J37" i="47" s="1"/>
  <c r="N58" i="47"/>
  <c r="N93" i="47"/>
  <c r="N94" i="47"/>
  <c r="K135" i="47"/>
  <c r="K151" i="47"/>
  <c r="N167" i="47"/>
  <c r="N168" i="47"/>
  <c r="I204" i="47"/>
  <c r="I203" i="47" s="1"/>
  <c r="I202" i="47" s="1"/>
  <c r="K290" i="47"/>
  <c r="L291" i="47"/>
  <c r="L310" i="47"/>
  <c r="L311" i="47"/>
  <c r="F344" i="47"/>
  <c r="F343" i="47" s="1"/>
  <c r="F342" i="47" s="1"/>
  <c r="F341" i="47" s="1"/>
  <c r="L356" i="47"/>
  <c r="I361" i="47"/>
  <c r="K377" i="47"/>
  <c r="J398" i="47"/>
  <c r="L398" i="47" s="1"/>
  <c r="L444" i="47"/>
  <c r="I496" i="47"/>
  <c r="I495" i="47" s="1"/>
  <c r="I494" i="47" s="1"/>
  <c r="I493" i="47" s="1"/>
  <c r="L503" i="47"/>
  <c r="M510" i="47"/>
  <c r="L590" i="47"/>
  <c r="L639" i="47"/>
  <c r="N689" i="47"/>
  <c r="K690" i="47"/>
  <c r="N697" i="47"/>
  <c r="L711" i="47"/>
  <c r="N722" i="47"/>
  <c r="N48" i="47"/>
  <c r="G62" i="47"/>
  <c r="L70" i="47"/>
  <c r="J73" i="47"/>
  <c r="J72" i="47" s="1"/>
  <c r="N76" i="47"/>
  <c r="N115" i="47"/>
  <c r="L135" i="47"/>
  <c r="L151" i="47"/>
  <c r="N153" i="47"/>
  <c r="N179" i="47"/>
  <c r="K262" i="47"/>
  <c r="L265" i="47"/>
  <c r="G269" i="47"/>
  <c r="G268" i="47" s="1"/>
  <c r="L299" i="47"/>
  <c r="L300" i="47"/>
  <c r="G302" i="47"/>
  <c r="L302" i="47" s="1"/>
  <c r="K365" i="47"/>
  <c r="M419" i="47"/>
  <c r="N431" i="47"/>
  <c r="K470" i="47"/>
  <c r="G476" i="47"/>
  <c r="I476" i="47"/>
  <c r="N491" i="47"/>
  <c r="N498" i="47"/>
  <c r="K501" i="47"/>
  <c r="G525" i="47"/>
  <c r="N539" i="47"/>
  <c r="N540" i="47"/>
  <c r="K578" i="47"/>
  <c r="N584" i="47"/>
  <c r="N587" i="47"/>
  <c r="I595" i="47"/>
  <c r="I657" i="47"/>
  <c r="I656" i="47" s="1"/>
  <c r="N683" i="47"/>
  <c r="L721" i="47"/>
  <c r="N40" i="47"/>
  <c r="J66" i="47"/>
  <c r="F92" i="47"/>
  <c r="F91" i="47" s="1"/>
  <c r="N97" i="47"/>
  <c r="K104" i="47"/>
  <c r="I119" i="47"/>
  <c r="N130" i="47"/>
  <c r="M145" i="47"/>
  <c r="F170" i="47"/>
  <c r="N212" i="47"/>
  <c r="K240" i="47"/>
  <c r="N242" i="47"/>
  <c r="L247" i="47"/>
  <c r="N265" i="47"/>
  <c r="L270" i="47"/>
  <c r="L271" i="47"/>
  <c r="G318" i="47"/>
  <c r="G317" i="47" s="1"/>
  <c r="G316" i="47" s="1"/>
  <c r="I318" i="47"/>
  <c r="I317" i="47" s="1"/>
  <c r="I316" i="47" s="1"/>
  <c r="K346" i="47"/>
  <c r="N386" i="47"/>
  <c r="L450" i="47"/>
  <c r="N459" i="47"/>
  <c r="L571" i="47"/>
  <c r="L584" i="47"/>
  <c r="J617" i="47"/>
  <c r="M638" i="47"/>
  <c r="M637" i="47" s="1"/>
  <c r="M636" i="47" s="1"/>
  <c r="L686" i="47"/>
  <c r="L687" i="47"/>
  <c r="I696" i="47"/>
  <c r="I695" i="47" s="1"/>
  <c r="I694" i="47" s="1"/>
  <c r="I693" i="47" s="1"/>
  <c r="I692" i="47" s="1"/>
  <c r="I685" i="47" s="1"/>
  <c r="J319" i="47"/>
  <c r="N319" i="47" s="1"/>
  <c r="J355" i="47"/>
  <c r="I375" i="47"/>
  <c r="L420" i="47"/>
  <c r="N423" i="47"/>
  <c r="L447" i="47"/>
  <c r="K450" i="47"/>
  <c r="K477" i="47"/>
  <c r="G500" i="47"/>
  <c r="J573" i="47"/>
  <c r="N573" i="47" s="1"/>
  <c r="L654" i="47"/>
  <c r="L681" i="47"/>
  <c r="J714" i="47"/>
  <c r="L714" i="47" s="1"/>
  <c r="N236" i="48"/>
  <c r="M440" i="48"/>
  <c r="I331" i="48"/>
  <c r="J342" i="48"/>
  <c r="G360" i="48"/>
  <c r="L360" i="48" s="1"/>
  <c r="G542" i="48"/>
  <c r="G541" i="48" s="1"/>
  <c r="L541" i="48" s="1"/>
  <c r="J372" i="48"/>
  <c r="F647" i="48"/>
  <c r="J101" i="48"/>
  <c r="G640" i="48"/>
  <c r="J647" i="48"/>
  <c r="M542" i="48"/>
  <c r="M541" i="48" s="1"/>
  <c r="N541" i="48" s="1"/>
  <c r="K173" i="48"/>
  <c r="L371" i="48"/>
  <c r="G449" i="48"/>
  <c r="G448" i="48" s="1"/>
  <c r="L448" i="48" s="1"/>
  <c r="K290" i="48"/>
  <c r="L354" i="48"/>
  <c r="K361" i="48"/>
  <c r="K486" i="48"/>
  <c r="G511" i="48"/>
  <c r="G510" i="48" s="1"/>
  <c r="G509" i="48" s="1"/>
  <c r="K604" i="48"/>
  <c r="K225" i="48"/>
  <c r="G241" i="48"/>
  <c r="K241" i="48" s="1"/>
  <c r="M295" i="48"/>
  <c r="N295" i="48" s="1"/>
  <c r="K464" i="48"/>
  <c r="M360" i="48"/>
  <c r="N360" i="48" s="1"/>
  <c r="M449" i="48"/>
  <c r="M448" i="48" s="1"/>
  <c r="N448" i="48" s="1"/>
  <c r="K98" i="48"/>
  <c r="K105" i="48"/>
  <c r="N607" i="48"/>
  <c r="G40" i="48"/>
  <c r="K40" i="48" s="1"/>
  <c r="K49" i="48"/>
  <c r="F168" i="48"/>
  <c r="G228" i="48"/>
  <c r="G227" i="48" s="1"/>
  <c r="G226" i="48" s="1"/>
  <c r="L226" i="48" s="1"/>
  <c r="K229" i="48"/>
  <c r="K244" i="48"/>
  <c r="L319" i="48"/>
  <c r="N351" i="48"/>
  <c r="L644" i="48"/>
  <c r="K646" i="48"/>
  <c r="K36" i="48"/>
  <c r="K114" i="48"/>
  <c r="G177" i="48"/>
  <c r="G176" i="48" s="1"/>
  <c r="G175" i="48" s="1"/>
  <c r="G174" i="48" s="1"/>
  <c r="K174" i="48" s="1"/>
  <c r="L299" i="48"/>
  <c r="G324" i="48"/>
  <c r="G323" i="48" s="1"/>
  <c r="M366" i="48"/>
  <c r="N366" i="48" s="1"/>
  <c r="K378" i="48"/>
  <c r="K396" i="48"/>
  <c r="L469" i="48"/>
  <c r="K476" i="48"/>
  <c r="K490" i="48"/>
  <c r="L493" i="48"/>
  <c r="K499" i="48"/>
  <c r="M511" i="48"/>
  <c r="M510" i="48" s="1"/>
  <c r="K540" i="48"/>
  <c r="K563" i="48"/>
  <c r="M599" i="48"/>
  <c r="M598" i="48" s="1"/>
  <c r="M597" i="48" s="1"/>
  <c r="K636" i="48"/>
  <c r="M647" i="48"/>
  <c r="N647" i="48" s="1"/>
  <c r="K68" i="48"/>
  <c r="L375" i="48"/>
  <c r="K450" i="48"/>
  <c r="N651" i="48"/>
  <c r="L709" i="48"/>
  <c r="K54" i="48"/>
  <c r="G102" i="48"/>
  <c r="L102" i="48" s="1"/>
  <c r="K103" i="48"/>
  <c r="K325" i="48"/>
  <c r="G377" i="48"/>
  <c r="G376" i="48" s="1"/>
  <c r="L483" i="48"/>
  <c r="K512" i="48"/>
  <c r="L572" i="48"/>
  <c r="I647" i="48"/>
  <c r="G124" i="48"/>
  <c r="K124" i="48" s="1"/>
  <c r="G254" i="48"/>
  <c r="G253" i="48" s="1"/>
  <c r="G502" i="48"/>
  <c r="G501" i="48" s="1"/>
  <c r="G500" i="48" s="1"/>
  <c r="G494" i="48" s="1"/>
  <c r="G650" i="48"/>
  <c r="L650" i="48" s="1"/>
  <c r="G703" i="48"/>
  <c r="G702" i="48" s="1"/>
  <c r="K29" i="48"/>
  <c r="K41" i="48"/>
  <c r="G48" i="48"/>
  <c r="G47" i="48" s="1"/>
  <c r="G46" i="48" s="1"/>
  <c r="M58" i="48"/>
  <c r="M57" i="48" s="1"/>
  <c r="M76" i="48"/>
  <c r="N76" i="48" s="1"/>
  <c r="M94" i="48"/>
  <c r="M93" i="48" s="1"/>
  <c r="M92" i="48" s="1"/>
  <c r="M91" i="48" s="1"/>
  <c r="K110" i="48"/>
  <c r="K125" i="48"/>
  <c r="M177" i="48"/>
  <c r="M176" i="48" s="1"/>
  <c r="M175" i="48" s="1"/>
  <c r="M174" i="48" s="1"/>
  <c r="N174" i="48" s="1"/>
  <c r="M201" i="48"/>
  <c r="M200" i="48" s="1"/>
  <c r="K220" i="48"/>
  <c r="M235" i="48"/>
  <c r="M234" i="48" s="1"/>
  <c r="M233" i="48" s="1"/>
  <c r="M232" i="48" s="1"/>
  <c r="M241" i="48"/>
  <c r="M240" i="48" s="1"/>
  <c r="M248" i="48"/>
  <c r="M247" i="48" s="1"/>
  <c r="K255" i="48"/>
  <c r="K261" i="48"/>
  <c r="K488" i="48"/>
  <c r="K503" i="48"/>
  <c r="K531" i="48"/>
  <c r="L540" i="48"/>
  <c r="M552" i="48"/>
  <c r="M551" i="48" s="1"/>
  <c r="N551" i="48" s="1"/>
  <c r="M613" i="48"/>
  <c r="L649" i="48"/>
  <c r="K651" i="48"/>
  <c r="K704" i="48"/>
  <c r="G530" i="48"/>
  <c r="G529" i="48" s="1"/>
  <c r="G648" i="48"/>
  <c r="K648" i="48" s="1"/>
  <c r="K24" i="48"/>
  <c r="K208" i="48"/>
  <c r="K252" i="48"/>
  <c r="K258" i="48"/>
  <c r="L261" i="48"/>
  <c r="N289" i="48"/>
  <c r="K293" i="48"/>
  <c r="K296" i="48"/>
  <c r="M315" i="48"/>
  <c r="M314" i="48" s="1"/>
  <c r="N314" i="48" s="1"/>
  <c r="L488" i="48"/>
  <c r="K707" i="48"/>
  <c r="L711" i="48"/>
  <c r="K59" i="48"/>
  <c r="L119" i="48"/>
  <c r="K167" i="48"/>
  <c r="L242" i="48"/>
  <c r="L305" i="48"/>
  <c r="G327" i="48"/>
  <c r="G326" i="48" s="1"/>
  <c r="G565" i="48"/>
  <c r="K565" i="48" s="1"/>
  <c r="I412" i="48"/>
  <c r="N413" i="48"/>
  <c r="M187" i="48"/>
  <c r="F705" i="48"/>
  <c r="F701" i="48" s="1"/>
  <c r="F700" i="48" s="1"/>
  <c r="F699" i="48" s="1"/>
  <c r="F698" i="48" s="1"/>
  <c r="K292" i="48"/>
  <c r="M705" i="48"/>
  <c r="M701" i="48" s="1"/>
  <c r="M700" i="48" s="1"/>
  <c r="N482" i="48"/>
  <c r="L706" i="48"/>
  <c r="I160" i="48"/>
  <c r="I159" i="48" s="1"/>
  <c r="I158" i="48" s="1"/>
  <c r="M143" i="48"/>
  <c r="J73" i="48"/>
  <c r="J72" i="48" s="1"/>
  <c r="N74" i="48"/>
  <c r="G46" i="47"/>
  <c r="G45" i="47"/>
  <c r="G44" i="47" s="1"/>
  <c r="L48" i="47"/>
  <c r="L47" i="47"/>
  <c r="G184" i="47"/>
  <c r="G183" i="47"/>
  <c r="G182" i="47" s="1"/>
  <c r="M183" i="47"/>
  <c r="M182" i="47" s="1"/>
  <c r="M184" i="47"/>
  <c r="G190" i="47"/>
  <c r="K190" i="47" s="1"/>
  <c r="G189" i="47"/>
  <c r="J220" i="47"/>
  <c r="J214" i="47" s="1"/>
  <c r="K322" i="47"/>
  <c r="N28" i="47"/>
  <c r="N34" i="47"/>
  <c r="N35" i="47"/>
  <c r="N42" i="47"/>
  <c r="J44" i="47"/>
  <c r="K45" i="47"/>
  <c r="N74" i="47"/>
  <c r="N82" i="47"/>
  <c r="F81" i="47"/>
  <c r="F80" i="47" s="1"/>
  <c r="L104" i="47"/>
  <c r="N106" i="47"/>
  <c r="L115" i="47"/>
  <c r="K143" i="47"/>
  <c r="L158" i="47"/>
  <c r="K185" i="47"/>
  <c r="N186" i="47"/>
  <c r="L191" i="47"/>
  <c r="G199" i="47"/>
  <c r="K199" i="47" s="1"/>
  <c r="I283" i="47"/>
  <c r="I282" i="47" s="1"/>
  <c r="K303" i="47"/>
  <c r="F19" i="47"/>
  <c r="F9" i="47" s="1"/>
  <c r="F8" i="47" s="1"/>
  <c r="L102" i="47"/>
  <c r="N120" i="47"/>
  <c r="N122" i="47"/>
  <c r="G129" i="47"/>
  <c r="J142" i="47"/>
  <c r="N142" i="47" s="1"/>
  <c r="N156" i="47"/>
  <c r="L179" i="47"/>
  <c r="I170" i="47"/>
  <c r="K186" i="47"/>
  <c r="I189" i="47"/>
  <c r="F190" i="47"/>
  <c r="F189" i="47" s="1"/>
  <c r="F188" i="47" s="1"/>
  <c r="K191" i="47"/>
  <c r="I195" i="47"/>
  <c r="I194" i="47" s="1"/>
  <c r="L212" i="47"/>
  <c r="N226" i="47"/>
  <c r="N227" i="47"/>
  <c r="F239" i="47"/>
  <c r="F238" i="47" s="1"/>
  <c r="F237" i="47" s="1"/>
  <c r="F236" i="47" s="1"/>
  <c r="M264" i="47"/>
  <c r="M270" i="47"/>
  <c r="N270" i="47" s="1"/>
  <c r="L280" i="47"/>
  <c r="L290" i="47"/>
  <c r="K299" i="47"/>
  <c r="K307" i="47"/>
  <c r="K308" i="47"/>
  <c r="N313" i="47"/>
  <c r="N314" i="47"/>
  <c r="L322" i="47"/>
  <c r="L323" i="47"/>
  <c r="M338" i="47"/>
  <c r="N338" i="47" s="1"/>
  <c r="I344" i="47"/>
  <c r="K17" i="47"/>
  <c r="I39" i="47"/>
  <c r="I38" i="47" s="1"/>
  <c r="I37" i="47" s="1"/>
  <c r="J46" i="47"/>
  <c r="K47" i="47"/>
  <c r="K48" i="47"/>
  <c r="N78" i="47"/>
  <c r="N104" i="47"/>
  <c r="I101" i="47"/>
  <c r="I100" i="47" s="1"/>
  <c r="I99" i="47" s="1"/>
  <c r="I114" i="47"/>
  <c r="N138" i="47"/>
  <c r="J164" i="47"/>
  <c r="L164" i="47" s="1"/>
  <c r="N171" i="47"/>
  <c r="N172" i="47"/>
  <c r="N173" i="47"/>
  <c r="K179" i="47"/>
  <c r="L186" i="47"/>
  <c r="J189" i="47"/>
  <c r="M191" i="47"/>
  <c r="L192" i="47"/>
  <c r="N206" i="47"/>
  <c r="G208" i="47"/>
  <c r="L208" i="47" s="1"/>
  <c r="L234" i="47"/>
  <c r="I239" i="47"/>
  <c r="I238" i="47" s="1"/>
  <c r="I237" i="47" s="1"/>
  <c r="I236" i="47" s="1"/>
  <c r="G261" i="47"/>
  <c r="K271" i="47"/>
  <c r="K277" i="47"/>
  <c r="N299" i="47"/>
  <c r="K300" i="47"/>
  <c r="I297" i="47"/>
  <c r="I296" i="47" s="1"/>
  <c r="J306" i="47"/>
  <c r="K310" i="47"/>
  <c r="K311" i="47"/>
  <c r="F306" i="47"/>
  <c r="F305" i="47" s="1"/>
  <c r="F296" i="47" s="1"/>
  <c r="F283" i="47" s="1"/>
  <c r="F282" i="47" s="1"/>
  <c r="F267" i="47" s="1"/>
  <c r="F360" i="47"/>
  <c r="F359" i="47" s="1"/>
  <c r="F358" i="47" s="1"/>
  <c r="N631" i="47"/>
  <c r="M630" i="47"/>
  <c r="N13" i="47"/>
  <c r="I62" i="47"/>
  <c r="F113" i="47"/>
  <c r="L190" i="47"/>
  <c r="K209" i="47"/>
  <c r="J261" i="47"/>
  <c r="N274" i="47"/>
  <c r="N288" i="47"/>
  <c r="J298" i="47"/>
  <c r="N298" i="47" s="1"/>
  <c r="N300" i="47"/>
  <c r="F326" i="47"/>
  <c r="F325" i="47" s="1"/>
  <c r="I338" i="47"/>
  <c r="N348" i="47"/>
  <c r="N349" i="47"/>
  <c r="G355" i="47"/>
  <c r="G351" i="47" s="1"/>
  <c r="L365" i="47"/>
  <c r="L366" i="47"/>
  <c r="N366" i="47"/>
  <c r="I428" i="47"/>
  <c r="L470" i="47"/>
  <c r="F494" i="47"/>
  <c r="F493" i="47" s="1"/>
  <c r="N618" i="47"/>
  <c r="M379" i="47"/>
  <c r="L380" i="47"/>
  <c r="N392" i="47"/>
  <c r="F401" i="47"/>
  <c r="N422" i="47"/>
  <c r="I442" i="47"/>
  <c r="I441" i="47" s="1"/>
  <c r="I440" i="47" s="1"/>
  <c r="K500" i="47"/>
  <c r="N501" i="47"/>
  <c r="N530" i="47"/>
  <c r="L543" i="47"/>
  <c r="N543" i="47"/>
  <c r="J554" i="47"/>
  <c r="K555" i="47"/>
  <c r="I532" i="47"/>
  <c r="N558" i="47"/>
  <c r="I563" i="47"/>
  <c r="G570" i="47"/>
  <c r="L570" i="47" s="1"/>
  <c r="M577" i="47"/>
  <c r="N577" i="47" s="1"/>
  <c r="L581" i="47"/>
  <c r="G583" i="47"/>
  <c r="K583" i="47" s="1"/>
  <c r="N583" i="47"/>
  <c r="G596" i="47"/>
  <c r="J599" i="47"/>
  <c r="N599" i="47" s="1"/>
  <c r="L660" i="47"/>
  <c r="F659" i="47"/>
  <c r="F658" i="47" s="1"/>
  <c r="F657" i="47" s="1"/>
  <c r="F656" i="47" s="1"/>
  <c r="F635" i="47" s="1"/>
  <c r="F634" i="47" s="1"/>
  <c r="N679" i="47"/>
  <c r="K681" i="47"/>
  <c r="N690" i="47"/>
  <c r="L699" i="47"/>
  <c r="N705" i="47"/>
  <c r="I704" i="47"/>
  <c r="I703" i="47" s="1"/>
  <c r="I702" i="47" s="1"/>
  <c r="I701" i="47" s="1"/>
  <c r="K725" i="47"/>
  <c r="I401" i="47"/>
  <c r="N416" i="47"/>
  <c r="K420" i="47"/>
  <c r="N444" i="47"/>
  <c r="K446" i="47"/>
  <c r="N457" i="47"/>
  <c r="K471" i="47"/>
  <c r="K505" i="47"/>
  <c r="J529" i="47"/>
  <c r="I525" i="47"/>
  <c r="I524" i="47" s="1"/>
  <c r="I523" i="47" s="1"/>
  <c r="I522" i="47" s="1"/>
  <c r="M551" i="47"/>
  <c r="J580" i="47"/>
  <c r="L580" i="47" s="1"/>
  <c r="K584" i="47"/>
  <c r="I576" i="47"/>
  <c r="G621" i="47"/>
  <c r="I617" i="47"/>
  <c r="I612" i="47" s="1"/>
  <c r="I611" i="47" s="1"/>
  <c r="I610" i="47" s="1"/>
  <c r="G627" i="47"/>
  <c r="J630" i="47"/>
  <c r="K631" i="47"/>
  <c r="K660" i="47"/>
  <c r="F696" i="47"/>
  <c r="F695" i="47" s="1"/>
  <c r="F694" i="47" s="1"/>
  <c r="F693" i="47" s="1"/>
  <c r="F692" i="47" s="1"/>
  <c r="F685" i="47" s="1"/>
  <c r="K699" i="47"/>
  <c r="N706" i="47"/>
  <c r="N712" i="47"/>
  <c r="N721" i="47"/>
  <c r="I731" i="47"/>
  <c r="L383" i="47"/>
  <c r="J388" i="47"/>
  <c r="N389" i="47"/>
  <c r="J394" i="47"/>
  <c r="K394" i="47" s="1"/>
  <c r="K395" i="47"/>
  <c r="K399" i="47"/>
  <c r="F455" i="47"/>
  <c r="F454" i="47" s="1"/>
  <c r="F453" i="47" s="1"/>
  <c r="F452" i="47" s="1"/>
  <c r="L471" i="47"/>
  <c r="K484" i="47"/>
  <c r="N490" i="47"/>
  <c r="K508" i="47"/>
  <c r="L558" i="47"/>
  <c r="L565" i="47"/>
  <c r="N580" i="47"/>
  <c r="N586" i="47"/>
  <c r="K587" i="47"/>
  <c r="L596" i="47"/>
  <c r="N597" i="47"/>
  <c r="L628" i="47"/>
  <c r="N632" i="47"/>
  <c r="I636" i="47"/>
  <c r="I635" i="47" s="1"/>
  <c r="I634" i="47" s="1"/>
  <c r="J659" i="47"/>
  <c r="J658" i="47" s="1"/>
  <c r="F666" i="47"/>
  <c r="G685" i="47"/>
  <c r="K688" i="47"/>
  <c r="K689" i="47"/>
  <c r="N727" i="47"/>
  <c r="L369" i="47"/>
  <c r="G375" i="47"/>
  <c r="J382" i="47"/>
  <c r="L382" i="47" s="1"/>
  <c r="K383" i="47"/>
  <c r="N405" i="47"/>
  <c r="J413" i="47"/>
  <c r="K414" i="47"/>
  <c r="K415" i="47"/>
  <c r="L416" i="47"/>
  <c r="I456" i="47"/>
  <c r="I455" i="47" s="1"/>
  <c r="I454" i="47" s="1"/>
  <c r="I453" i="47" s="1"/>
  <c r="I452" i="47" s="1"/>
  <c r="F525" i="47"/>
  <c r="F524" i="47" s="1"/>
  <c r="F523" i="47" s="1"/>
  <c r="F522" i="47" s="1"/>
  <c r="K530" i="47"/>
  <c r="N537" i="47"/>
  <c r="J542" i="47"/>
  <c r="L554" i="47"/>
  <c r="F563" i="47"/>
  <c r="K571" i="47"/>
  <c r="N581" i="47"/>
  <c r="L597" i="47"/>
  <c r="L608" i="47"/>
  <c r="L622" i="47"/>
  <c r="K632" i="47"/>
  <c r="J636" i="47"/>
  <c r="J635" i="47" s="1"/>
  <c r="J634" i="47" s="1"/>
  <c r="N654" i="47"/>
  <c r="K687" i="47"/>
  <c r="L715" i="47"/>
  <c r="N715" i="47"/>
  <c r="L722" i="47"/>
  <c r="L727" i="47"/>
  <c r="I724" i="47"/>
  <c r="I720" i="47" s="1"/>
  <c r="I719" i="47" s="1"/>
  <c r="N124" i="48"/>
  <c r="I341" i="48"/>
  <c r="I340" i="48" s="1"/>
  <c r="N549" i="48"/>
  <c r="L113" i="48"/>
  <c r="N374" i="48"/>
  <c r="N395" i="48"/>
  <c r="N136" i="48"/>
  <c r="L374" i="48"/>
  <c r="N475" i="48"/>
  <c r="N245" i="48"/>
  <c r="M640" i="48"/>
  <c r="I712" i="48"/>
  <c r="I188" i="48"/>
  <c r="I187" i="48"/>
  <c r="G188" i="48"/>
  <c r="G187" i="48"/>
  <c r="N48" i="48"/>
  <c r="N63" i="48"/>
  <c r="N64" i="48"/>
  <c r="I112" i="48"/>
  <c r="J168" i="48"/>
  <c r="I221" i="48"/>
  <c r="I215" i="48" s="1"/>
  <c r="N318" i="48"/>
  <c r="N323" i="48"/>
  <c r="N324" i="48"/>
  <c r="L463" i="48"/>
  <c r="N539" i="48"/>
  <c r="N70" i="48"/>
  <c r="N415" i="48"/>
  <c r="I494" i="48"/>
  <c r="K539" i="48"/>
  <c r="I402" i="48"/>
  <c r="I391" i="48" s="1"/>
  <c r="L190" i="48"/>
  <c r="G460" i="48"/>
  <c r="F189" i="48"/>
  <c r="F188" i="48"/>
  <c r="F187" i="48" s="1"/>
  <c r="F186" i="48" s="1"/>
  <c r="L165" i="48"/>
  <c r="L166" i="48"/>
  <c r="G181" i="48"/>
  <c r="G180" i="48" s="1"/>
  <c r="F341" i="48"/>
  <c r="F340" i="48" s="1"/>
  <c r="N400" i="48"/>
  <c r="J412" i="48"/>
  <c r="L412" i="48" s="1"/>
  <c r="N421" i="48"/>
  <c r="I440" i="48"/>
  <c r="F484" i="48"/>
  <c r="F480" i="48" s="1"/>
  <c r="F479" i="48" s="1"/>
  <c r="L489" i="48"/>
  <c r="N502" i="48"/>
  <c r="N530" i="48"/>
  <c r="K577" i="48"/>
  <c r="K581" i="48"/>
  <c r="K643" i="48"/>
  <c r="L670" i="48"/>
  <c r="N89" i="48"/>
  <c r="K104" i="48"/>
  <c r="L128" i="48"/>
  <c r="K163" i="48"/>
  <c r="I181" i="48"/>
  <c r="I180" i="48" s="1"/>
  <c r="L370" i="48"/>
  <c r="L558" i="48"/>
  <c r="K130" i="48"/>
  <c r="L201" i="48"/>
  <c r="K213" i="48"/>
  <c r="J240" i="48"/>
  <c r="N275" i="48"/>
  <c r="N278" i="48"/>
  <c r="K280" i="48"/>
  <c r="N485" i="48"/>
  <c r="N538" i="48"/>
  <c r="N28" i="48"/>
  <c r="K67" i="48"/>
  <c r="L70" i="48"/>
  <c r="N141" i="48"/>
  <c r="N260" i="48"/>
  <c r="L298" i="48"/>
  <c r="N312" i="48"/>
  <c r="N350" i="48"/>
  <c r="L363" i="48"/>
  <c r="L454" i="48"/>
  <c r="L455" i="48"/>
  <c r="M484" i="48"/>
  <c r="N606" i="48"/>
  <c r="I617" i="48"/>
  <c r="I616" i="48" s="1"/>
  <c r="I615" i="48" s="1"/>
  <c r="L633" i="48"/>
  <c r="L662" i="48"/>
  <c r="L664" i="48"/>
  <c r="L687" i="48"/>
  <c r="N703" i="48"/>
  <c r="N109" i="48"/>
  <c r="J117" i="48"/>
  <c r="F221" i="48"/>
  <c r="F215" i="48" s="1"/>
  <c r="N280" i="48"/>
  <c r="L353" i="48"/>
  <c r="N377" i="48"/>
  <c r="N406" i="48"/>
  <c r="N407" i="48"/>
  <c r="K455" i="48"/>
  <c r="N461" i="48"/>
  <c r="G484" i="48"/>
  <c r="G480" i="48" s="1"/>
  <c r="G479" i="48" s="1"/>
  <c r="K487" i="48"/>
  <c r="K492" i="48"/>
  <c r="K555" i="48"/>
  <c r="K584" i="48"/>
  <c r="L678" i="48"/>
  <c r="L680" i="48"/>
  <c r="I685" i="48"/>
  <c r="I684" i="48" s="1"/>
  <c r="I683" i="48" s="1"/>
  <c r="I682" i="48" s="1"/>
  <c r="J705" i="48"/>
  <c r="I705" i="48"/>
  <c r="I701" i="48" s="1"/>
  <c r="I700" i="48" s="1"/>
  <c r="F62" i="48"/>
  <c r="L104" i="48"/>
  <c r="L109" i="48"/>
  <c r="M117" i="48"/>
  <c r="N156" i="48"/>
  <c r="F182" i="48"/>
  <c r="K184" i="48"/>
  <c r="L312" i="48"/>
  <c r="N334" i="48"/>
  <c r="I348" i="48"/>
  <c r="F348" i="48"/>
  <c r="F347" i="48" s="1"/>
  <c r="F346" i="48" s="1"/>
  <c r="F345" i="48" s="1"/>
  <c r="L395" i="48"/>
  <c r="L400" i="48"/>
  <c r="N431" i="48"/>
  <c r="L468" i="48"/>
  <c r="N492" i="48"/>
  <c r="N532" i="48"/>
  <c r="N533" i="48"/>
  <c r="G538" i="48"/>
  <c r="L538" i="48" s="1"/>
  <c r="L539" i="48"/>
  <c r="N581" i="48"/>
  <c r="L603" i="48"/>
  <c r="N603" i="48"/>
  <c r="L613" i="48"/>
  <c r="L645" i="48"/>
  <c r="L657" i="48"/>
  <c r="N660" i="48"/>
  <c r="N678" i="48"/>
  <c r="N687" i="48"/>
  <c r="J685" i="48"/>
  <c r="J684" i="48" s="1"/>
  <c r="J683" i="48" s="1"/>
  <c r="I12" i="48"/>
  <c r="I11" i="48" s="1"/>
  <c r="I10" i="48" s="1"/>
  <c r="F39" i="48"/>
  <c r="F38" i="48" s="1"/>
  <c r="F37" i="48" s="1"/>
  <c r="N40" i="48"/>
  <c r="N82" i="48"/>
  <c r="L97" i="48"/>
  <c r="L136" i="48"/>
  <c r="K146" i="48"/>
  <c r="L154" i="48"/>
  <c r="M182" i="48"/>
  <c r="J200" i="48"/>
  <c r="L200" i="48" s="1"/>
  <c r="L235" i="48"/>
  <c r="L250" i="48"/>
  <c r="N251" i="48"/>
  <c r="N254" i="48"/>
  <c r="L262" i="48"/>
  <c r="N263" i="48"/>
  <c r="L280" i="48"/>
  <c r="K281" i="48"/>
  <c r="F331" i="48"/>
  <c r="K374" i="48"/>
  <c r="G426" i="48"/>
  <c r="G425" i="48" s="1"/>
  <c r="G424" i="48" s="1"/>
  <c r="I460" i="48"/>
  <c r="N489" i="48"/>
  <c r="M501" i="48"/>
  <c r="M500" i="48" s="1"/>
  <c r="L693" i="48"/>
  <c r="F92" i="48"/>
  <c r="F91" i="48" s="1"/>
  <c r="N219" i="48"/>
  <c r="F240" i="48"/>
  <c r="F239" i="48" s="1"/>
  <c r="F238" i="48" s="1"/>
  <c r="F237" i="48" s="1"/>
  <c r="M259" i="48"/>
  <c r="L260" i="48"/>
  <c r="N271" i="48"/>
  <c r="N404" i="48"/>
  <c r="N78" i="48"/>
  <c r="N118" i="48"/>
  <c r="J135" i="48"/>
  <c r="K135" i="48" s="1"/>
  <c r="L138" i="48"/>
  <c r="L156" i="48"/>
  <c r="F494" i="48"/>
  <c r="N514" i="48"/>
  <c r="F547" i="48"/>
  <c r="L555" i="48"/>
  <c r="N602" i="48"/>
  <c r="F601" i="48"/>
  <c r="F596" i="48" s="1"/>
  <c r="F595" i="48" s="1"/>
  <c r="F594" i="48" s="1"/>
  <c r="J669" i="48"/>
  <c r="L669" i="48" s="1"/>
  <c r="K670" i="48"/>
  <c r="L671" i="48"/>
  <c r="N706" i="48"/>
  <c r="F12" i="48"/>
  <c r="F11" i="48" s="1"/>
  <c r="F10" i="48" s="1"/>
  <c r="N35" i="48"/>
  <c r="N47" i="48"/>
  <c r="L67" i="48"/>
  <c r="G66" i="48"/>
  <c r="N84" i="48"/>
  <c r="I101" i="48"/>
  <c r="I100" i="48" s="1"/>
  <c r="I99" i="48" s="1"/>
  <c r="N104" i="48"/>
  <c r="J108" i="48"/>
  <c r="K108" i="48" s="1"/>
  <c r="G127" i="48"/>
  <c r="N128" i="48"/>
  <c r="K141" i="48"/>
  <c r="J140" i="48"/>
  <c r="K153" i="48"/>
  <c r="L163" i="48"/>
  <c r="J162" i="48"/>
  <c r="N162" i="48" s="1"/>
  <c r="K265" i="48"/>
  <c r="F310" i="48"/>
  <c r="F309" i="48" s="1"/>
  <c r="F300" i="48" s="1"/>
  <c r="F287" i="48" s="1"/>
  <c r="F286" i="48" s="1"/>
  <c r="F268" i="48" s="1"/>
  <c r="M331" i="48"/>
  <c r="N418" i="48"/>
  <c r="K418" i="48"/>
  <c r="N13" i="48"/>
  <c r="M12" i="48"/>
  <c r="M11" i="48" s="1"/>
  <c r="M10" i="48" s="1"/>
  <c r="N17" i="48"/>
  <c r="M39" i="48"/>
  <c r="M38" i="48" s="1"/>
  <c r="M37" i="48" s="1"/>
  <c r="J66" i="48"/>
  <c r="I62" i="48"/>
  <c r="J96" i="48"/>
  <c r="K96" i="48" s="1"/>
  <c r="N97" i="48"/>
  <c r="N115" i="48"/>
  <c r="F111" i="48"/>
  <c r="I117" i="48"/>
  <c r="G160" i="48"/>
  <c r="G159" i="48" s="1"/>
  <c r="G158" i="48" s="1"/>
  <c r="N166" i="48"/>
  <c r="M165" i="48"/>
  <c r="L172" i="48"/>
  <c r="G171" i="48"/>
  <c r="K171" i="48" s="1"/>
  <c r="N42" i="48"/>
  <c r="N53" i="48"/>
  <c r="I73" i="48"/>
  <c r="I72" i="48" s="1"/>
  <c r="I81" i="48"/>
  <c r="I80" i="48" s="1"/>
  <c r="K128" i="48"/>
  <c r="M140" i="48"/>
  <c r="L144" i="48"/>
  <c r="K144" i="48"/>
  <c r="N169" i="48"/>
  <c r="N170" i="48"/>
  <c r="N171" i="48"/>
  <c r="K183" i="48"/>
  <c r="J182" i="48"/>
  <c r="K182" i="48" s="1"/>
  <c r="J181" i="48"/>
  <c r="I193" i="48"/>
  <c r="I192" i="48" s="1"/>
  <c r="N223" i="48"/>
  <c r="J222" i="48"/>
  <c r="L222" i="48" s="1"/>
  <c r="I39" i="48"/>
  <c r="I38" i="48" s="1"/>
  <c r="I37" i="48" s="1"/>
  <c r="F73" i="48"/>
  <c r="F72" i="48" s="1"/>
  <c r="F81" i="48"/>
  <c r="F80" i="48" s="1"/>
  <c r="N113" i="48"/>
  <c r="I127" i="48"/>
  <c r="L130" i="48"/>
  <c r="N138" i="48"/>
  <c r="M148" i="48"/>
  <c r="N154" i="48"/>
  <c r="N172" i="48"/>
  <c r="J189" i="48"/>
  <c r="N189" i="48" s="1"/>
  <c r="K201" i="48"/>
  <c r="L207" i="48"/>
  <c r="L213" i="48"/>
  <c r="N213" i="48"/>
  <c r="I240" i="48"/>
  <c r="I239" i="48" s="1"/>
  <c r="I238" i="48" s="1"/>
  <c r="I237" i="48" s="1"/>
  <c r="L243" i="48"/>
  <c r="J247" i="48"/>
  <c r="N250" i="48"/>
  <c r="L257" i="48"/>
  <c r="L292" i="48"/>
  <c r="N292" i="48"/>
  <c r="G301" i="48"/>
  <c r="N307" i="48"/>
  <c r="I322" i="48"/>
  <c r="I321" i="48" s="1"/>
  <c r="I320" i="48" s="1"/>
  <c r="N353" i="48"/>
  <c r="F357" i="48"/>
  <c r="F356" i="48" s="1"/>
  <c r="F355" i="48" s="1"/>
  <c r="G362" i="48"/>
  <c r="L362" i="48" s="1"/>
  <c r="N363" i="48"/>
  <c r="N370" i="48"/>
  <c r="L377" i="48"/>
  <c r="M394" i="48"/>
  <c r="M393" i="48" s="1"/>
  <c r="L419" i="48"/>
  <c r="L421" i="48"/>
  <c r="L422" i="48"/>
  <c r="K454" i="48"/>
  <c r="L482" i="48"/>
  <c r="M513" i="48"/>
  <c r="L514" i="48"/>
  <c r="J513" i="48"/>
  <c r="L513" i="48" s="1"/>
  <c r="N521" i="48"/>
  <c r="J554" i="48"/>
  <c r="K554" i="48" s="1"/>
  <c r="N555" i="48"/>
  <c r="L568" i="48"/>
  <c r="L576" i="48"/>
  <c r="I168" i="48"/>
  <c r="N210" i="48"/>
  <c r="I205" i="48"/>
  <c r="I204" i="48" s="1"/>
  <c r="I203" i="48" s="1"/>
  <c r="J218" i="48"/>
  <c r="K218" i="48" s="1"/>
  <c r="N224" i="48"/>
  <c r="M253" i="48"/>
  <c r="N272" i="48"/>
  <c r="L291" i="48"/>
  <c r="N298" i="48"/>
  <c r="K307" i="48"/>
  <c r="K363" i="48"/>
  <c r="N389" i="48"/>
  <c r="N434" i="48"/>
  <c r="F509" i="48"/>
  <c r="F508" i="48" s="1"/>
  <c r="F507" i="48" s="1"/>
  <c r="F506" i="48" s="1"/>
  <c r="K514" i="48"/>
  <c r="L536" i="48"/>
  <c r="G535" i="48"/>
  <c r="L535" i="48" s="1"/>
  <c r="N561" i="48"/>
  <c r="N584" i="48"/>
  <c r="M583" i="48"/>
  <c r="N583" i="48" s="1"/>
  <c r="M587" i="48"/>
  <c r="N588" i="48"/>
  <c r="I301" i="48"/>
  <c r="I358" i="48"/>
  <c r="F412" i="48"/>
  <c r="N419" i="48"/>
  <c r="K419" i="48"/>
  <c r="M451" i="48"/>
  <c r="N451" i="48" s="1"/>
  <c r="N452" i="48"/>
  <c r="I516" i="48"/>
  <c r="G587" i="48"/>
  <c r="L587" i="48" s="1"/>
  <c r="L588" i="48"/>
  <c r="K190" i="48"/>
  <c r="L206" i="48"/>
  <c r="G205" i="48"/>
  <c r="G204" i="48" s="1"/>
  <c r="G203" i="48" s="1"/>
  <c r="J212" i="48"/>
  <c r="L212" i="48" s="1"/>
  <c r="N262" i="48"/>
  <c r="L266" i="48"/>
  <c r="L272" i="48"/>
  <c r="M274" i="48"/>
  <c r="N274" i="48" s="1"/>
  <c r="N281" i="48"/>
  <c r="I287" i="48"/>
  <c r="I286" i="48" s="1"/>
  <c r="I310" i="48"/>
  <c r="I309" i="48" s="1"/>
  <c r="F322" i="48"/>
  <c r="F321" i="48" s="1"/>
  <c r="F320" i="48" s="1"/>
  <c r="N349" i="48"/>
  <c r="M373" i="48"/>
  <c r="L418" i="48"/>
  <c r="N422" i="48"/>
  <c r="I426" i="48"/>
  <c r="I425" i="48" s="1"/>
  <c r="I424" i="48" s="1"/>
  <c r="F440" i="48"/>
  <c r="F439" i="48" s="1"/>
  <c r="F438" i="48" s="1"/>
  <c r="F437" i="48" s="1"/>
  <c r="F436" i="48" s="1"/>
  <c r="K475" i="48"/>
  <c r="K485" i="48"/>
  <c r="N520" i="48"/>
  <c r="K536" i="48"/>
  <c r="G583" i="48"/>
  <c r="L583" i="48" s="1"/>
  <c r="K428" i="48"/>
  <c r="L431" i="48"/>
  <c r="N443" i="48"/>
  <c r="N455" i="48"/>
  <c r="M460" i="48"/>
  <c r="N468" i="48"/>
  <c r="I484" i="48"/>
  <c r="I480" i="48" s="1"/>
  <c r="I479" i="48" s="1"/>
  <c r="K498" i="48"/>
  <c r="I509" i="48"/>
  <c r="N524" i="48"/>
  <c r="L527" i="48"/>
  <c r="N558" i="48"/>
  <c r="N562" i="48"/>
  <c r="N568" i="48"/>
  <c r="N571" i="48"/>
  <c r="L577" i="48"/>
  <c r="N577" i="48"/>
  <c r="L584" i="48"/>
  <c r="L592" i="48"/>
  <c r="N619" i="48"/>
  <c r="N620" i="48"/>
  <c r="L641" i="48"/>
  <c r="I640" i="48"/>
  <c r="N650" i="48"/>
  <c r="N652" i="48"/>
  <c r="L655" i="48"/>
  <c r="L658" i="48"/>
  <c r="L660" i="48"/>
  <c r="N664" i="48"/>
  <c r="F677" i="48"/>
  <c r="F676" i="48" s="1"/>
  <c r="F675" i="48" s="1"/>
  <c r="F674" i="48" s="1"/>
  <c r="F673" i="48" s="1"/>
  <c r="F666" i="48" s="1"/>
  <c r="K692" i="48"/>
  <c r="J702" i="48"/>
  <c r="N702" i="48" s="1"/>
  <c r="N708" i="48"/>
  <c r="F579" i="48"/>
  <c r="N645" i="48"/>
  <c r="K657" i="48"/>
  <c r="F685" i="48"/>
  <c r="F684" i="48" s="1"/>
  <c r="F683" i="48" s="1"/>
  <c r="F682" i="48" s="1"/>
  <c r="L634" i="48"/>
  <c r="N654" i="48"/>
  <c r="L659" i="48"/>
  <c r="I677" i="48"/>
  <c r="I676" i="48" s="1"/>
  <c r="I675" i="48" s="1"/>
  <c r="I674" i="48" s="1"/>
  <c r="I673" i="48" s="1"/>
  <c r="I666" i="48" s="1"/>
  <c r="I601" i="48"/>
  <c r="I596" i="48" s="1"/>
  <c r="I595" i="48" s="1"/>
  <c r="I594" i="48" s="1"/>
  <c r="J612" i="48"/>
  <c r="L612" i="48" s="1"/>
  <c r="K613" i="48"/>
  <c r="L635" i="48"/>
  <c r="F640" i="48"/>
  <c r="F639" i="48" s="1"/>
  <c r="F638" i="48" s="1"/>
  <c r="F637" i="48" s="1"/>
  <c r="F616" i="48" s="1"/>
  <c r="F615" i="48" s="1"/>
  <c r="N641" i="48"/>
  <c r="L643" i="48"/>
  <c r="N643" i="48"/>
  <c r="N648" i="48"/>
  <c r="N655" i="48"/>
  <c r="K660" i="48"/>
  <c r="N671" i="48"/>
  <c r="N692" i="48"/>
  <c r="N693" i="48"/>
  <c r="N696" i="48"/>
  <c r="L708" i="48"/>
  <c r="I45" i="48"/>
  <c r="I44" i="48" s="1"/>
  <c r="I46" i="48"/>
  <c r="F19" i="48"/>
  <c r="F45" i="48"/>
  <c r="F44" i="48" s="1"/>
  <c r="F46" i="48"/>
  <c r="I92" i="48"/>
  <c r="I91" i="48" s="1"/>
  <c r="G13" i="48"/>
  <c r="L14" i="48"/>
  <c r="K16" i="48"/>
  <c r="G15" i="48"/>
  <c r="L15" i="48" s="1"/>
  <c r="J45" i="48"/>
  <c r="N67" i="48"/>
  <c r="M62" i="48"/>
  <c r="M73" i="48"/>
  <c r="K75" i="48"/>
  <c r="G74" i="48"/>
  <c r="L74" i="48" s="1"/>
  <c r="K85" i="48"/>
  <c r="G84" i="48"/>
  <c r="L84" i="48" s="1"/>
  <c r="K90" i="48"/>
  <c r="G89" i="48"/>
  <c r="G88" i="48" s="1"/>
  <c r="G87" i="48" s="1"/>
  <c r="G86" i="48" s="1"/>
  <c r="L122" i="48"/>
  <c r="K122" i="48"/>
  <c r="N265" i="48"/>
  <c r="L16" i="48"/>
  <c r="J20" i="48"/>
  <c r="G23" i="48"/>
  <c r="G28" i="48"/>
  <c r="G35" i="48"/>
  <c r="M46" i="48"/>
  <c r="G53" i="48"/>
  <c r="G58" i="48"/>
  <c r="L75" i="48"/>
  <c r="K77" i="48"/>
  <c r="G76" i="48"/>
  <c r="K76" i="48" s="1"/>
  <c r="J81" i="48"/>
  <c r="L85" i="48"/>
  <c r="M88" i="48"/>
  <c r="L90" i="48"/>
  <c r="K97" i="48"/>
  <c r="M107" i="48"/>
  <c r="K109" i="48"/>
  <c r="N333" i="48"/>
  <c r="J332" i="48"/>
  <c r="I19" i="48"/>
  <c r="N23" i="48"/>
  <c r="M22" i="48"/>
  <c r="K79" i="48"/>
  <c r="G78" i="48"/>
  <c r="L78" i="48" s="1"/>
  <c r="J112" i="48"/>
  <c r="K121" i="48"/>
  <c r="G120" i="48"/>
  <c r="L120" i="48" s="1"/>
  <c r="L121" i="48"/>
  <c r="N228" i="48"/>
  <c r="M227" i="48"/>
  <c r="N337" i="48"/>
  <c r="J336" i="48"/>
  <c r="J12" i="48"/>
  <c r="N15" i="48"/>
  <c r="G17" i="48"/>
  <c r="K18" i="48"/>
  <c r="M27" i="48"/>
  <c r="M34" i="48"/>
  <c r="J39" i="48"/>
  <c r="K43" i="48"/>
  <c r="G42" i="48"/>
  <c r="K42" i="48" s="1"/>
  <c r="M44" i="48"/>
  <c r="J46" i="48"/>
  <c r="M52" i="48"/>
  <c r="G64" i="48"/>
  <c r="K65" i="48"/>
  <c r="K70" i="48"/>
  <c r="J69" i="48"/>
  <c r="L79" i="48"/>
  <c r="M81" i="48"/>
  <c r="K83" i="48"/>
  <c r="G82" i="48"/>
  <c r="K82" i="48" s="1"/>
  <c r="J88" i="48"/>
  <c r="K95" i="48"/>
  <c r="G94" i="48"/>
  <c r="M102" i="48"/>
  <c r="M101" i="48" s="1"/>
  <c r="M112" i="48"/>
  <c r="K113" i="48"/>
  <c r="G115" i="48"/>
  <c r="G112" i="48" s="1"/>
  <c r="K116" i="48"/>
  <c r="G118" i="48"/>
  <c r="K118" i="48" s="1"/>
  <c r="M123" i="48"/>
  <c r="N123" i="48" s="1"/>
  <c r="J127" i="48"/>
  <c r="L133" i="48"/>
  <c r="J143" i="48"/>
  <c r="L149" i="48"/>
  <c r="L151" i="48"/>
  <c r="L178" i="48"/>
  <c r="L183" i="48"/>
  <c r="L184" i="48"/>
  <c r="L196" i="48"/>
  <c r="J209" i="48"/>
  <c r="N209" i="48" s="1"/>
  <c r="K210" i="48"/>
  <c r="M212" i="48"/>
  <c r="K219" i="48"/>
  <c r="K223" i="48"/>
  <c r="K224" i="48"/>
  <c r="K226" i="48"/>
  <c r="K227" i="48"/>
  <c r="K228" i="48"/>
  <c r="N229" i="48"/>
  <c r="K235" i="48"/>
  <c r="K243" i="48"/>
  <c r="K249" i="48"/>
  <c r="G248" i="48"/>
  <c r="L248" i="48" s="1"/>
  <c r="K251" i="48"/>
  <c r="K260" i="48"/>
  <c r="J259" i="48"/>
  <c r="K263" i="48"/>
  <c r="K266" i="48"/>
  <c r="K271" i="48"/>
  <c r="K272" i="48"/>
  <c r="G289" i="48"/>
  <c r="M291" i="48"/>
  <c r="N291" i="48" s="1"/>
  <c r="G295" i="48"/>
  <c r="J304" i="48"/>
  <c r="J306" i="48"/>
  <c r="L307" i="48"/>
  <c r="J311" i="48"/>
  <c r="K312" i="48"/>
  <c r="M317" i="48"/>
  <c r="J326" i="48"/>
  <c r="K328" i="48"/>
  <c r="F385" i="48"/>
  <c r="N120" i="48"/>
  <c r="N130" i="48"/>
  <c r="J132" i="48"/>
  <c r="M135" i="48"/>
  <c r="N144" i="48"/>
  <c r="N146" i="48"/>
  <c r="J148" i="48"/>
  <c r="N163" i="48"/>
  <c r="K165" i="48"/>
  <c r="K166" i="48"/>
  <c r="K172" i="48"/>
  <c r="N190" i="48"/>
  <c r="N195" i="48"/>
  <c r="N201" i="48"/>
  <c r="N206" i="48"/>
  <c r="N207" i="48"/>
  <c r="L210" i="48"/>
  <c r="L219" i="48"/>
  <c r="L223" i="48"/>
  <c r="L224" i="48"/>
  <c r="J234" i="48"/>
  <c r="K236" i="48"/>
  <c r="L251" i="48"/>
  <c r="N257" i="48"/>
  <c r="L263" i="48"/>
  <c r="L271" i="48"/>
  <c r="K279" i="48"/>
  <c r="G278" i="48"/>
  <c r="G277" i="48" s="1"/>
  <c r="K318" i="48"/>
  <c r="N133" i="48"/>
  <c r="N149" i="48"/>
  <c r="N151" i="48"/>
  <c r="N183" i="48"/>
  <c r="N184" i="48"/>
  <c r="N194" i="48"/>
  <c r="K206" i="48"/>
  <c r="K207" i="48"/>
  <c r="L236" i="48"/>
  <c r="K246" i="48"/>
  <c r="K250" i="48"/>
  <c r="J253" i="48"/>
  <c r="K257" i="48"/>
  <c r="K262" i="48"/>
  <c r="L265" i="48"/>
  <c r="N266" i="48"/>
  <c r="K276" i="48"/>
  <c r="G275" i="48"/>
  <c r="I270" i="48"/>
  <c r="I269" i="48" s="1"/>
  <c r="L279" i="48"/>
  <c r="L281" i="48"/>
  <c r="M288" i="48"/>
  <c r="K291" i="48"/>
  <c r="K298" i="48"/>
  <c r="J297" i="48"/>
  <c r="N297" i="48" s="1"/>
  <c r="M304" i="48"/>
  <c r="M311" i="48"/>
  <c r="J317" i="48"/>
  <c r="L318" i="48"/>
  <c r="M322" i="48"/>
  <c r="N327" i="48"/>
  <c r="N328" i="48"/>
  <c r="L335" i="48"/>
  <c r="K335" i="48"/>
  <c r="G334" i="48"/>
  <c r="G333" i="48" s="1"/>
  <c r="G332" i="48" s="1"/>
  <c r="M127" i="48"/>
  <c r="G195" i="48"/>
  <c r="N243" i="48"/>
  <c r="G245" i="48"/>
  <c r="J256" i="48"/>
  <c r="N256" i="48" s="1"/>
  <c r="J277" i="48"/>
  <c r="K305" i="48"/>
  <c r="K316" i="48"/>
  <c r="G315" i="48"/>
  <c r="G314" i="48" s="1"/>
  <c r="G310" i="48" s="1"/>
  <c r="G309" i="48" s="1"/>
  <c r="N338" i="48"/>
  <c r="N344" i="48"/>
  <c r="M343" i="48"/>
  <c r="I372" i="48"/>
  <c r="G338" i="48"/>
  <c r="G337" i="48" s="1"/>
  <c r="G336" i="48" s="1"/>
  <c r="K339" i="48"/>
  <c r="G343" i="48"/>
  <c r="K343" i="48" s="1"/>
  <c r="K344" i="48"/>
  <c r="L351" i="48"/>
  <c r="M352" i="48"/>
  <c r="K367" i="48"/>
  <c r="G366" i="48"/>
  <c r="M369" i="48"/>
  <c r="G373" i="48"/>
  <c r="M387" i="48"/>
  <c r="J388" i="48"/>
  <c r="M399" i="48"/>
  <c r="M402" i="48"/>
  <c r="J403" i="48"/>
  <c r="N403" i="48" s="1"/>
  <c r="L408" i="48"/>
  <c r="K408" i="48"/>
  <c r="G407" i="48"/>
  <c r="L407" i="48" s="1"/>
  <c r="M412" i="48"/>
  <c r="K415" i="48"/>
  <c r="L415" i="48"/>
  <c r="G350" i="48"/>
  <c r="G349" i="48" s="1"/>
  <c r="G348" i="48" s="1"/>
  <c r="G347" i="48" s="1"/>
  <c r="G346" i="48" s="1"/>
  <c r="G345" i="48" s="1"/>
  <c r="K353" i="48"/>
  <c r="J358" i="48"/>
  <c r="N362" i="48"/>
  <c r="M365" i="48"/>
  <c r="K370" i="48"/>
  <c r="K395" i="48"/>
  <c r="J394" i="48"/>
  <c r="K400" i="48"/>
  <c r="L413" i="48"/>
  <c r="K413" i="48"/>
  <c r="K352" i="48"/>
  <c r="K369" i="48"/>
  <c r="K390" i="48"/>
  <c r="G389" i="48"/>
  <c r="G388" i="48" s="1"/>
  <c r="G387" i="48" s="1"/>
  <c r="G386" i="48" s="1"/>
  <c r="K399" i="48"/>
  <c r="L405" i="48"/>
  <c r="K405" i="48"/>
  <c r="G404" i="48"/>
  <c r="G403" i="48" s="1"/>
  <c r="J348" i="48"/>
  <c r="J347" i="48" s="1"/>
  <c r="L352" i="48"/>
  <c r="J368" i="48"/>
  <c r="L369" i="48"/>
  <c r="M376" i="48"/>
  <c r="N376" i="48" s="1"/>
  <c r="L390" i="48"/>
  <c r="J398" i="48"/>
  <c r="L399" i="48"/>
  <c r="L428" i="48"/>
  <c r="J430" i="48"/>
  <c r="K431" i="48"/>
  <c r="N441" i="48"/>
  <c r="G458" i="48"/>
  <c r="G457" i="48" s="1"/>
  <c r="L457" i="48" s="1"/>
  <c r="K459" i="48"/>
  <c r="J460" i="48"/>
  <c r="K461" i="48"/>
  <c r="N463" i="48"/>
  <c r="M467" i="48"/>
  <c r="J474" i="48"/>
  <c r="N474" i="48" s="1"/>
  <c r="L475" i="48"/>
  <c r="M481" i="48"/>
  <c r="J484" i="48"/>
  <c r="L485" i="48"/>
  <c r="J491" i="48"/>
  <c r="L492" i="48"/>
  <c r="J501" i="48"/>
  <c r="J510" i="48"/>
  <c r="J523" i="48"/>
  <c r="N523" i="48" s="1"/>
  <c r="I547" i="48"/>
  <c r="F560" i="48"/>
  <c r="K421" i="48"/>
  <c r="K422" i="48"/>
  <c r="K442" i="48"/>
  <c r="G441" i="48"/>
  <c r="L441" i="48" s="1"/>
  <c r="K448" i="48"/>
  <c r="L461" i="48"/>
  <c r="K463" i="48"/>
  <c r="K468" i="48"/>
  <c r="K482" i="48"/>
  <c r="N487" i="48"/>
  <c r="K489" i="48"/>
  <c r="N498" i="48"/>
  <c r="K527" i="48"/>
  <c r="G526" i="48"/>
  <c r="K526" i="48" s="1"/>
  <c r="L530" i="48"/>
  <c r="J529" i="48"/>
  <c r="N529" i="48" s="1"/>
  <c r="I579" i="48"/>
  <c r="N428" i="48"/>
  <c r="K434" i="48"/>
  <c r="J433" i="48"/>
  <c r="N433" i="48" s="1"/>
  <c r="K444" i="48"/>
  <c r="G443" i="48"/>
  <c r="L443" i="48" s="1"/>
  <c r="N457" i="48"/>
  <c r="N458" i="48"/>
  <c r="K467" i="48"/>
  <c r="K481" i="48"/>
  <c r="K525" i="48"/>
  <c r="G524" i="48"/>
  <c r="G523" i="48" s="1"/>
  <c r="L525" i="48"/>
  <c r="J427" i="48"/>
  <c r="N427" i="48" s="1"/>
  <c r="M430" i="48"/>
  <c r="L434" i="48"/>
  <c r="J440" i="48"/>
  <c r="N440" i="48" s="1"/>
  <c r="L444" i="48"/>
  <c r="K453" i="48"/>
  <c r="G452" i="48"/>
  <c r="G451" i="48" s="1"/>
  <c r="K451" i="48" s="1"/>
  <c r="M454" i="48"/>
  <c r="N454" i="48" s="1"/>
  <c r="J466" i="48"/>
  <c r="L467" i="48"/>
  <c r="M473" i="48"/>
  <c r="L481" i="48"/>
  <c r="L487" i="48"/>
  <c r="M495" i="48"/>
  <c r="J497" i="48"/>
  <c r="L498" i="48"/>
  <c r="M517" i="48"/>
  <c r="N518" i="48"/>
  <c r="G573" i="48"/>
  <c r="L574" i="48"/>
  <c r="M590" i="48"/>
  <c r="K522" i="48"/>
  <c r="G521" i="48"/>
  <c r="L521" i="48" s="1"/>
  <c r="N527" i="48"/>
  <c r="M526" i="48"/>
  <c r="N526" i="48" s="1"/>
  <c r="G533" i="48"/>
  <c r="L533" i="48" s="1"/>
  <c r="K534" i="48"/>
  <c r="M548" i="48"/>
  <c r="K553" i="48"/>
  <c r="G552" i="48"/>
  <c r="L552" i="48" s="1"/>
  <c r="J557" i="48"/>
  <c r="K558" i="48"/>
  <c r="K561" i="48"/>
  <c r="K562" i="48"/>
  <c r="N565" i="48"/>
  <c r="N566" i="48"/>
  <c r="J567" i="48"/>
  <c r="K568" i="48"/>
  <c r="J570" i="48"/>
  <c r="K571" i="48"/>
  <c r="L575" i="48"/>
  <c r="M576" i="48"/>
  <c r="N576" i="48" s="1"/>
  <c r="J580" i="48"/>
  <c r="L581" i="48"/>
  <c r="J586" i="48"/>
  <c r="N592" i="48"/>
  <c r="K600" i="48"/>
  <c r="G599" i="48"/>
  <c r="L599" i="48" s="1"/>
  <c r="M601" i="48"/>
  <c r="K603" i="48"/>
  <c r="K607" i="48"/>
  <c r="M618" i="48"/>
  <c r="L626" i="48"/>
  <c r="G625" i="48"/>
  <c r="K519" i="48"/>
  <c r="G518" i="48"/>
  <c r="G517" i="48" s="1"/>
  <c r="L517" i="48" s="1"/>
  <c r="N535" i="48"/>
  <c r="N536" i="48"/>
  <c r="K549" i="48"/>
  <c r="L561" i="48"/>
  <c r="L562" i="48"/>
  <c r="L571" i="48"/>
  <c r="I560" i="48"/>
  <c r="K592" i="48"/>
  <c r="J591" i="48"/>
  <c r="K602" i="48"/>
  <c r="J605" i="48"/>
  <c r="N605" i="48" s="1"/>
  <c r="G606" i="48"/>
  <c r="G605" i="48" s="1"/>
  <c r="G601" i="48" s="1"/>
  <c r="L519" i="48"/>
  <c r="J548" i="48"/>
  <c r="L549" i="48"/>
  <c r="M557" i="48"/>
  <c r="J564" i="48"/>
  <c r="K566" i="48"/>
  <c r="M567" i="48"/>
  <c r="M574" i="48"/>
  <c r="K576" i="48"/>
  <c r="M580" i="48"/>
  <c r="G591" i="48"/>
  <c r="G590" i="48" s="1"/>
  <c r="L602" i="48"/>
  <c r="M612" i="48"/>
  <c r="K621" i="48"/>
  <c r="G620" i="48"/>
  <c r="L620" i="48" s="1"/>
  <c r="K653" i="48"/>
  <c r="G654" i="48"/>
  <c r="K662" i="48"/>
  <c r="M670" i="48"/>
  <c r="J676" i="48"/>
  <c r="G686" i="48"/>
  <c r="K686" i="48" s="1"/>
  <c r="M686" i="48"/>
  <c r="L695" i="48"/>
  <c r="K695" i="48"/>
  <c r="N633" i="48"/>
  <c r="N634" i="48"/>
  <c r="N635" i="48"/>
  <c r="G652" i="48"/>
  <c r="K664" i="48"/>
  <c r="G677" i="48"/>
  <c r="L677" i="48" s="1"/>
  <c r="K680" i="48"/>
  <c r="K687" i="48"/>
  <c r="J616" i="48"/>
  <c r="K633" i="48"/>
  <c r="K634" i="48"/>
  <c r="K635" i="48"/>
  <c r="K641" i="48"/>
  <c r="K642" i="48"/>
  <c r="K645" i="48"/>
  <c r="J640" i="48"/>
  <c r="K655" i="48"/>
  <c r="K656" i="48"/>
  <c r="K658" i="48"/>
  <c r="K659" i="48"/>
  <c r="N662" i="48"/>
  <c r="M659" i="48"/>
  <c r="K671" i="48"/>
  <c r="K678" i="48"/>
  <c r="L692" i="48"/>
  <c r="N680" i="48"/>
  <c r="M677" i="48"/>
  <c r="K693" i="48"/>
  <c r="M695" i="48"/>
  <c r="N695" i="48" s="1"/>
  <c r="K706" i="48"/>
  <c r="K708" i="48"/>
  <c r="G710" i="48"/>
  <c r="G705" i="48" s="1"/>
  <c r="L717" i="48"/>
  <c r="L722" i="48"/>
  <c r="K696" i="48"/>
  <c r="N716" i="48"/>
  <c r="N721" i="48"/>
  <c r="L696" i="48"/>
  <c r="N710" i="48"/>
  <c r="N715" i="48"/>
  <c r="N720" i="48"/>
  <c r="M713" i="48"/>
  <c r="J714" i="48"/>
  <c r="N714" i="48" s="1"/>
  <c r="G716" i="48"/>
  <c r="L716" i="48" s="1"/>
  <c r="M718" i="48"/>
  <c r="J719" i="48"/>
  <c r="N719" i="48" s="1"/>
  <c r="G721" i="48"/>
  <c r="I46" i="47"/>
  <c r="I45" i="47"/>
  <c r="I44" i="47" s="1"/>
  <c r="F45" i="47"/>
  <c r="F44" i="47" s="1"/>
  <c r="F46" i="47"/>
  <c r="F61" i="47"/>
  <c r="F60" i="47" s="1"/>
  <c r="K24" i="47"/>
  <c r="G23" i="47"/>
  <c r="M47" i="47"/>
  <c r="K66" i="47"/>
  <c r="M62" i="47"/>
  <c r="N89" i="47"/>
  <c r="M88" i="47"/>
  <c r="L107" i="47"/>
  <c r="G106" i="47"/>
  <c r="J12" i="47"/>
  <c r="L13" i="47"/>
  <c r="K16" i="47"/>
  <c r="G15" i="47"/>
  <c r="K15" i="47" s="1"/>
  <c r="N17" i="47"/>
  <c r="L24" i="47"/>
  <c r="M27" i="47"/>
  <c r="G40" i="47"/>
  <c r="L40" i="47" s="1"/>
  <c r="L41" i="47"/>
  <c r="M51" i="47"/>
  <c r="M57" i="47"/>
  <c r="N64" i="47"/>
  <c r="L66" i="47"/>
  <c r="K75" i="47"/>
  <c r="G74" i="47"/>
  <c r="K77" i="47"/>
  <c r="G76" i="47"/>
  <c r="K79" i="47"/>
  <c r="G78" i="47"/>
  <c r="M81" i="47"/>
  <c r="K90" i="47"/>
  <c r="G89" i="47"/>
  <c r="J96" i="47"/>
  <c r="L97" i="47"/>
  <c r="J110" i="47"/>
  <c r="L111" i="47"/>
  <c r="N117" i="47"/>
  <c r="M114" i="47"/>
  <c r="N114" i="47" s="1"/>
  <c r="N140" i="47"/>
  <c r="K140" i="47"/>
  <c r="L146" i="47"/>
  <c r="K146" i="47"/>
  <c r="J145" i="47"/>
  <c r="N145" i="47" s="1"/>
  <c r="L150" i="47"/>
  <c r="K150" i="47"/>
  <c r="L233" i="47"/>
  <c r="G232" i="47"/>
  <c r="G231" i="47" s="1"/>
  <c r="G230" i="47" s="1"/>
  <c r="K122" i="47"/>
  <c r="J119" i="47"/>
  <c r="K36" i="47"/>
  <c r="G35" i="47"/>
  <c r="K43" i="47"/>
  <c r="G42" i="47"/>
  <c r="K42" i="47" s="1"/>
  <c r="I61" i="47"/>
  <c r="J87" i="47"/>
  <c r="K95" i="47"/>
  <c r="G94" i="47"/>
  <c r="M102" i="47"/>
  <c r="N103" i="47"/>
  <c r="K118" i="47"/>
  <c r="G117" i="47"/>
  <c r="K121" i="47"/>
  <c r="G120" i="47"/>
  <c r="N126" i="47"/>
  <c r="M125" i="47"/>
  <c r="N125" i="47" s="1"/>
  <c r="K130" i="47"/>
  <c r="J129" i="47"/>
  <c r="J137" i="47"/>
  <c r="N137" i="47" s="1"/>
  <c r="K138" i="47"/>
  <c r="N151" i="47"/>
  <c r="M150" i="47"/>
  <c r="N150" i="47" s="1"/>
  <c r="L17" i="47"/>
  <c r="J20" i="47"/>
  <c r="N23" i="47"/>
  <c r="M22" i="47"/>
  <c r="K29" i="47"/>
  <c r="G28" i="47"/>
  <c r="L28" i="47" s="1"/>
  <c r="M33" i="47"/>
  <c r="L35" i="47"/>
  <c r="L36" i="47"/>
  <c r="M39" i="47"/>
  <c r="K41" i="47"/>
  <c r="L43" i="47"/>
  <c r="K59" i="47"/>
  <c r="G58" i="47"/>
  <c r="J63" i="47"/>
  <c r="L64" i="47"/>
  <c r="N66" i="47"/>
  <c r="K67" i="47"/>
  <c r="K70" i="47"/>
  <c r="J69" i="47"/>
  <c r="M73" i="47"/>
  <c r="K83" i="47"/>
  <c r="G82" i="47"/>
  <c r="K85" i="47"/>
  <c r="G84" i="47"/>
  <c r="M92" i="47"/>
  <c r="L95" i="47"/>
  <c r="J101" i="47"/>
  <c r="K115" i="47"/>
  <c r="L118" i="47"/>
  <c r="L121" i="47"/>
  <c r="L122" i="47"/>
  <c r="K127" i="47"/>
  <c r="G126" i="47"/>
  <c r="N129" i="47"/>
  <c r="L130" i="47"/>
  <c r="K132" i="47"/>
  <c r="L134" i="47"/>
  <c r="L138" i="47"/>
  <c r="N146" i="47"/>
  <c r="L148" i="47"/>
  <c r="K148" i="47"/>
  <c r="F220" i="47"/>
  <c r="F214" i="47" s="1"/>
  <c r="F181" i="47" s="1"/>
  <c r="I220" i="47"/>
  <c r="I214" i="47" s="1"/>
  <c r="N15" i="47"/>
  <c r="M12" i="47"/>
  <c r="I19" i="47"/>
  <c r="I9" i="47" s="1"/>
  <c r="I8" i="47" s="1"/>
  <c r="K54" i="47"/>
  <c r="G53" i="47"/>
  <c r="L53" i="47" s="1"/>
  <c r="K97" i="47"/>
  <c r="K111" i="47"/>
  <c r="N119" i="47"/>
  <c r="N135" i="47"/>
  <c r="M134" i="47"/>
  <c r="N134" i="47" s="1"/>
  <c r="N143" i="47"/>
  <c r="K156" i="47"/>
  <c r="K158" i="47"/>
  <c r="N174" i="47"/>
  <c r="N180" i="47"/>
  <c r="N185" i="47"/>
  <c r="L199" i="47"/>
  <c r="M200" i="47"/>
  <c r="M205" i="47"/>
  <c r="M217" i="47"/>
  <c r="M225" i="47"/>
  <c r="N225" i="47" s="1"/>
  <c r="K233" i="47"/>
  <c r="N248" i="47"/>
  <c r="M247" i="47"/>
  <c r="N250" i="47"/>
  <c r="M249" i="47"/>
  <c r="N249" i="47" s="1"/>
  <c r="K254" i="47"/>
  <c r="G253" i="47"/>
  <c r="L253" i="47" s="1"/>
  <c r="K279" i="47"/>
  <c r="N285" i="47"/>
  <c r="J287" i="47"/>
  <c r="L288" i="47"/>
  <c r="K291" i="47"/>
  <c r="K302" i="47"/>
  <c r="N164" i="47"/>
  <c r="N165" i="47"/>
  <c r="N197" i="47"/>
  <c r="M196" i="47"/>
  <c r="N209" i="47"/>
  <c r="M208" i="47"/>
  <c r="N208" i="47" s="1"/>
  <c r="K224" i="47"/>
  <c r="G223" i="47"/>
  <c r="K243" i="47"/>
  <c r="G242" i="47"/>
  <c r="G239" i="47" s="1"/>
  <c r="K251" i="47"/>
  <c r="G250" i="47"/>
  <c r="N259" i="47"/>
  <c r="M258" i="47"/>
  <c r="N258" i="47" s="1"/>
  <c r="N262" i="47"/>
  <c r="M261" i="47"/>
  <c r="N261" i="47" s="1"/>
  <c r="K274" i="47"/>
  <c r="J273" i="47"/>
  <c r="N273" i="47" s="1"/>
  <c r="L295" i="47"/>
  <c r="K295" i="47"/>
  <c r="G294" i="47"/>
  <c r="J155" i="47"/>
  <c r="J163" i="47"/>
  <c r="N163" i="47" s="1"/>
  <c r="K164" i="47"/>
  <c r="K165" i="47"/>
  <c r="G168" i="47"/>
  <c r="K169" i="47"/>
  <c r="G174" i="47"/>
  <c r="K175" i="47"/>
  <c r="J178" i="47"/>
  <c r="L180" i="47"/>
  <c r="J184" i="47"/>
  <c r="L185" i="47"/>
  <c r="K198" i="47"/>
  <c r="G197" i="47"/>
  <c r="L197" i="47" s="1"/>
  <c r="L200" i="47"/>
  <c r="K207" i="47"/>
  <c r="G206" i="47"/>
  <c r="L206" i="47" s="1"/>
  <c r="K208" i="47"/>
  <c r="K212" i="47"/>
  <c r="J211" i="47"/>
  <c r="N211" i="47" s="1"/>
  <c r="K219" i="47"/>
  <c r="G218" i="47"/>
  <c r="M221" i="47"/>
  <c r="L224" i="47"/>
  <c r="J232" i="47"/>
  <c r="N233" i="47"/>
  <c r="K234" i="47"/>
  <c r="L240" i="47"/>
  <c r="L243" i="47"/>
  <c r="K244" i="47"/>
  <c r="L251" i="47"/>
  <c r="N256" i="47"/>
  <c r="M255" i="47"/>
  <c r="N255" i="47" s="1"/>
  <c r="K260" i="47"/>
  <c r="G259" i="47"/>
  <c r="L259" i="47" s="1"/>
  <c r="K261" i="47"/>
  <c r="K265" i="47"/>
  <c r="J264" i="47"/>
  <c r="N264" i="47" s="1"/>
  <c r="L274" i="47"/>
  <c r="L277" i="47"/>
  <c r="N278" i="47"/>
  <c r="M277" i="47"/>
  <c r="J284" i="47"/>
  <c r="L285" i="47"/>
  <c r="M291" i="47"/>
  <c r="N292" i="47"/>
  <c r="L294" i="47"/>
  <c r="N303" i="47"/>
  <c r="M302" i="47"/>
  <c r="J183" i="47"/>
  <c r="J195" i="47"/>
  <c r="K228" i="47"/>
  <c r="G227" i="47"/>
  <c r="J239" i="47"/>
  <c r="M240" i="47"/>
  <c r="N241" i="47"/>
  <c r="K247" i="47"/>
  <c r="J246" i="47"/>
  <c r="N253" i="47"/>
  <c r="M252" i="47"/>
  <c r="N252" i="47" s="1"/>
  <c r="K257" i="47"/>
  <c r="G256" i="47"/>
  <c r="J276" i="47"/>
  <c r="N280" i="47"/>
  <c r="M279" i="47"/>
  <c r="N279" i="47" s="1"/>
  <c r="K288" i="47"/>
  <c r="L362" i="47"/>
  <c r="G361" i="47"/>
  <c r="J305" i="47"/>
  <c r="M311" i="47"/>
  <c r="G314" i="47"/>
  <c r="K315" i="47"/>
  <c r="K319" i="47"/>
  <c r="K320" i="47"/>
  <c r="K323" i="47"/>
  <c r="G330" i="47"/>
  <c r="M332" i="47"/>
  <c r="N332" i="47" s="1"/>
  <c r="K335" i="47"/>
  <c r="G336" i="47"/>
  <c r="M337" i="47"/>
  <c r="K339" i="47"/>
  <c r="L346" i="47"/>
  <c r="M346" i="47"/>
  <c r="N347" i="47"/>
  <c r="L353" i="47"/>
  <c r="L355" i="47"/>
  <c r="K363" i="47"/>
  <c r="M365" i="47"/>
  <c r="N365" i="47" s="1"/>
  <c r="M369" i="47"/>
  <c r="N370" i="47"/>
  <c r="K374" i="47"/>
  <c r="G373" i="47"/>
  <c r="J376" i="47"/>
  <c r="L377" i="47"/>
  <c r="K380" i="47"/>
  <c r="J379" i="47"/>
  <c r="K382" i="47"/>
  <c r="L392" i="47"/>
  <c r="L394" i="47"/>
  <c r="J409" i="47"/>
  <c r="N419" i="47"/>
  <c r="M418" i="47"/>
  <c r="L435" i="47"/>
  <c r="K435" i="47"/>
  <c r="J434" i="47"/>
  <c r="J437" i="47"/>
  <c r="L438" i="47"/>
  <c r="K465" i="47"/>
  <c r="J464" i="47"/>
  <c r="L465" i="47"/>
  <c r="N307" i="47"/>
  <c r="N308" i="47"/>
  <c r="L319" i="47"/>
  <c r="L320" i="47"/>
  <c r="G334" i="47"/>
  <c r="J345" i="47"/>
  <c r="L373" i="47"/>
  <c r="K386" i="47"/>
  <c r="N399" i="47"/>
  <c r="M398" i="47"/>
  <c r="K405" i="47"/>
  <c r="N435" i="47"/>
  <c r="M434" i="47"/>
  <c r="N471" i="47"/>
  <c r="M470" i="47"/>
  <c r="N470" i="47" s="1"/>
  <c r="M293" i="47"/>
  <c r="N293" i="47" s="1"/>
  <c r="J297" i="47"/>
  <c r="M323" i="47"/>
  <c r="M329" i="47"/>
  <c r="K337" i="47"/>
  <c r="G338" i="47"/>
  <c r="I351" i="47"/>
  <c r="I343" i="47" s="1"/>
  <c r="I342" i="47" s="1"/>
  <c r="I341" i="47" s="1"/>
  <c r="N356" i="47"/>
  <c r="M355" i="47"/>
  <c r="N355" i="47" s="1"/>
  <c r="K362" i="47"/>
  <c r="N364" i="47"/>
  <c r="M363" i="47"/>
  <c r="M372" i="47"/>
  <c r="N377" i="47"/>
  <c r="J385" i="47"/>
  <c r="L386" i="47"/>
  <c r="N395" i="47"/>
  <c r="M394" i="47"/>
  <c r="N394" i="47" s="1"/>
  <c r="K398" i="47"/>
  <c r="J397" i="47"/>
  <c r="J404" i="47"/>
  <c r="L405" i="47"/>
  <c r="N411" i="47"/>
  <c r="M410" i="47"/>
  <c r="G418" i="47"/>
  <c r="K422" i="47"/>
  <c r="L422" i="47"/>
  <c r="N429" i="47"/>
  <c r="M428" i="47"/>
  <c r="G442" i="47"/>
  <c r="G441" i="47" s="1"/>
  <c r="G440" i="47" s="1"/>
  <c r="N447" i="47"/>
  <c r="M446" i="47"/>
  <c r="G496" i="47"/>
  <c r="G495" i="47" s="1"/>
  <c r="G494" i="47" s="1"/>
  <c r="G493" i="47" s="1"/>
  <c r="K350" i="47"/>
  <c r="G349" i="47"/>
  <c r="L349" i="47" s="1"/>
  <c r="K353" i="47"/>
  <c r="J352" i="47"/>
  <c r="K369" i="47"/>
  <c r="J368" i="47"/>
  <c r="N383" i="47"/>
  <c r="M382" i="47"/>
  <c r="N382" i="47" s="1"/>
  <c r="K392" i="47"/>
  <c r="J391" i="47"/>
  <c r="K412" i="47"/>
  <c r="G411" i="47"/>
  <c r="L411" i="47" s="1"/>
  <c r="M415" i="47"/>
  <c r="K419" i="47"/>
  <c r="L419" i="47"/>
  <c r="J418" i="47"/>
  <c r="K438" i="47"/>
  <c r="L564" i="47"/>
  <c r="K444" i="47"/>
  <c r="J443" i="47"/>
  <c r="N443" i="47" s="1"/>
  <c r="N450" i="47"/>
  <c r="K458" i="47"/>
  <c r="G457" i="47"/>
  <c r="K460" i="47"/>
  <c r="G459" i="47"/>
  <c r="J473" i="47"/>
  <c r="L474" i="47"/>
  <c r="N477" i="47"/>
  <c r="N484" i="47"/>
  <c r="J489" i="47"/>
  <c r="L490" i="47"/>
  <c r="J497" i="47"/>
  <c r="L498" i="47"/>
  <c r="N500" i="47"/>
  <c r="N508" i="47"/>
  <c r="J513" i="47"/>
  <c r="L514" i="47"/>
  <c r="J517" i="47"/>
  <c r="L518" i="47"/>
  <c r="M527" i="47"/>
  <c r="N528" i="47"/>
  <c r="L549" i="47"/>
  <c r="K549" i="47"/>
  <c r="K564" i="47"/>
  <c r="K526" i="47"/>
  <c r="L546" i="47"/>
  <c r="K546" i="47"/>
  <c r="J545" i="47"/>
  <c r="N545" i="47" s="1"/>
  <c r="L551" i="47"/>
  <c r="K551" i="47"/>
  <c r="I562" i="47"/>
  <c r="I561" i="47" s="1"/>
  <c r="I560" i="47" s="1"/>
  <c r="I521" i="47" s="1"/>
  <c r="I520" i="47" s="1"/>
  <c r="K577" i="47"/>
  <c r="L577" i="47"/>
  <c r="K614" i="47"/>
  <c r="G613" i="47"/>
  <c r="J612" i="47"/>
  <c r="K639" i="47"/>
  <c r="G638" i="47"/>
  <c r="L653" i="47"/>
  <c r="G652" i="47"/>
  <c r="L652" i="47" s="1"/>
  <c r="K423" i="47"/>
  <c r="K431" i="47"/>
  <c r="J428" i="47"/>
  <c r="J449" i="47"/>
  <c r="M456" i="47"/>
  <c r="M465" i="47"/>
  <c r="N466" i="47"/>
  <c r="N468" i="47"/>
  <c r="M467" i="47"/>
  <c r="N467" i="47" s="1"/>
  <c r="J476" i="47"/>
  <c r="L477" i="47"/>
  <c r="K479" i="47"/>
  <c r="J483" i="47"/>
  <c r="L484" i="47"/>
  <c r="K491" i="47"/>
  <c r="L500" i="47"/>
  <c r="K503" i="47"/>
  <c r="J507" i="47"/>
  <c r="L508" i="47"/>
  <c r="L526" i="47"/>
  <c r="M529" i="47"/>
  <c r="N529" i="47" s="1"/>
  <c r="N534" i="47"/>
  <c r="M533" i="47"/>
  <c r="M536" i="47"/>
  <c r="N536" i="47" s="1"/>
  <c r="J548" i="47"/>
  <c r="N549" i="47"/>
  <c r="K554" i="47"/>
  <c r="N555" i="47"/>
  <c r="M554" i="47"/>
  <c r="N554" i="47" s="1"/>
  <c r="L557" i="47"/>
  <c r="K565" i="47"/>
  <c r="N591" i="47"/>
  <c r="M590" i="47"/>
  <c r="F595" i="47"/>
  <c r="K600" i="47"/>
  <c r="G599" i="47"/>
  <c r="K469" i="47"/>
  <c r="G468" i="47"/>
  <c r="K474" i="47"/>
  <c r="K490" i="47"/>
  <c r="K498" i="47"/>
  <c r="K514" i="47"/>
  <c r="K518" i="47"/>
  <c r="J525" i="47"/>
  <c r="K527" i="47"/>
  <c r="K535" i="47"/>
  <c r="G534" i="47"/>
  <c r="L534" i="47" s="1"/>
  <c r="L542" i="47"/>
  <c r="K542" i="47"/>
  <c r="N546" i="47"/>
  <c r="N551" i="47"/>
  <c r="L552" i="47"/>
  <c r="K552" i="47"/>
  <c r="N567" i="47"/>
  <c r="M563" i="47"/>
  <c r="K570" i="47"/>
  <c r="G576" i="47"/>
  <c r="M592" i="47"/>
  <c r="N592" i="47" s="1"/>
  <c r="N593" i="47"/>
  <c r="L556" i="47"/>
  <c r="K574" i="47"/>
  <c r="L578" i="47"/>
  <c r="F576" i="47"/>
  <c r="F562" i="47" s="1"/>
  <c r="F561" i="47" s="1"/>
  <c r="F560" i="47" s="1"/>
  <c r="K592" i="47"/>
  <c r="L592" i="47"/>
  <c r="N596" i="47"/>
  <c r="L604" i="47"/>
  <c r="J603" i="47"/>
  <c r="N603" i="47" s="1"/>
  <c r="J607" i="47"/>
  <c r="N608" i="47"/>
  <c r="K615" i="47"/>
  <c r="M614" i="47"/>
  <c r="N615" i="47"/>
  <c r="N622" i="47"/>
  <c r="M621" i="47"/>
  <c r="K653" i="47"/>
  <c r="L670" i="47"/>
  <c r="K670" i="47"/>
  <c r="G669" i="47"/>
  <c r="K669" i="47" s="1"/>
  <c r="N688" i="47"/>
  <c r="M687" i="47"/>
  <c r="N564" i="47"/>
  <c r="N565" i="47"/>
  <c r="N570" i="47"/>
  <c r="N571" i="47"/>
  <c r="L574" i="47"/>
  <c r="K580" i="47"/>
  <c r="M602" i="47"/>
  <c r="K627" i="47"/>
  <c r="L627" i="47"/>
  <c r="M666" i="47"/>
  <c r="N669" i="47"/>
  <c r="L678" i="47"/>
  <c r="K678" i="47"/>
  <c r="J677" i="47"/>
  <c r="N677" i="47" s="1"/>
  <c r="N678" i="47"/>
  <c r="G537" i="47"/>
  <c r="L537" i="47" s="1"/>
  <c r="G540" i="47"/>
  <c r="M542" i="47"/>
  <c r="N542" i="47" s="1"/>
  <c r="G568" i="47"/>
  <c r="L573" i="47"/>
  <c r="K586" i="47"/>
  <c r="K593" i="47"/>
  <c r="L593" i="47"/>
  <c r="J595" i="47"/>
  <c r="K596" i="47"/>
  <c r="N604" i="47"/>
  <c r="K608" i="47"/>
  <c r="K620" i="47"/>
  <c r="G619" i="47"/>
  <c r="L619" i="47" s="1"/>
  <c r="L620" i="47"/>
  <c r="K630" i="47"/>
  <c r="L630" i="47"/>
  <c r="L632" i="47"/>
  <c r="K640" i="47"/>
  <c r="K645" i="47"/>
  <c r="L645" i="47"/>
  <c r="G644" i="47"/>
  <c r="M653" i="47"/>
  <c r="K654" i="47"/>
  <c r="L696" i="47"/>
  <c r="K696" i="47"/>
  <c r="N696" i="47"/>
  <c r="J695" i="47"/>
  <c r="K706" i="47"/>
  <c r="G705" i="47"/>
  <c r="L706" i="47"/>
  <c r="J589" i="47"/>
  <c r="L661" i="47"/>
  <c r="K661" i="47"/>
  <c r="L663" i="47"/>
  <c r="K663" i="47"/>
  <c r="G662" i="47"/>
  <c r="K662" i="47" s="1"/>
  <c r="L672" i="47"/>
  <c r="K672" i="47"/>
  <c r="G671" i="47"/>
  <c r="K671" i="47" s="1"/>
  <c r="L675" i="47"/>
  <c r="K675" i="47"/>
  <c r="G674" i="47"/>
  <c r="L674" i="47" s="1"/>
  <c r="L679" i="47"/>
  <c r="K679" i="47"/>
  <c r="L712" i="47"/>
  <c r="L668" i="47"/>
  <c r="K668" i="47"/>
  <c r="G667" i="47"/>
  <c r="M676" i="47"/>
  <c r="L697" i="47"/>
  <c r="K697" i="47"/>
  <c r="I718" i="47"/>
  <c r="I717" i="47" s="1"/>
  <c r="N667" i="47"/>
  <c r="N671" i="47"/>
  <c r="N673" i="47"/>
  <c r="N674" i="47"/>
  <c r="N681" i="47"/>
  <c r="N699" i="47"/>
  <c r="N711" i="47"/>
  <c r="M714" i="47"/>
  <c r="G729" i="47"/>
  <c r="G724" i="47" s="1"/>
  <c r="K724" i="47" s="1"/>
  <c r="L736" i="47"/>
  <c r="L741" i="47"/>
  <c r="N735" i="47"/>
  <c r="N740" i="47"/>
  <c r="K665" i="47"/>
  <c r="K714" i="47"/>
  <c r="M724" i="47"/>
  <c r="M733" i="47"/>
  <c r="J734" i="47"/>
  <c r="M738" i="47"/>
  <c r="J739" i="47"/>
  <c r="N739" i="47" s="1"/>
  <c r="J704" i="47"/>
  <c r="G735" i="47"/>
  <c r="G734" i="47" s="1"/>
  <c r="G733" i="47" s="1"/>
  <c r="G732" i="47" s="1"/>
  <c r="G740" i="47"/>
  <c r="G739" i="47" s="1"/>
  <c r="G738" i="47" s="1"/>
  <c r="G737" i="47" s="1"/>
  <c r="M347" i="44"/>
  <c r="O347" i="44" s="1"/>
  <c r="O9" i="44"/>
  <c r="O10" i="44"/>
  <c r="O11" i="44"/>
  <c r="O12" i="44"/>
  <c r="O13" i="44"/>
  <c r="O14" i="44"/>
  <c r="O15" i="44"/>
  <c r="O16" i="44"/>
  <c r="O17" i="44"/>
  <c r="O18" i="44"/>
  <c r="O19" i="44"/>
  <c r="O20" i="44"/>
  <c r="O21" i="44"/>
  <c r="O22" i="44"/>
  <c r="O23" i="44"/>
  <c r="O24" i="44"/>
  <c r="O25" i="44"/>
  <c r="O26" i="44"/>
  <c r="O27" i="44"/>
  <c r="O28" i="44"/>
  <c r="O29" i="44"/>
  <c r="O31" i="44"/>
  <c r="O32" i="44"/>
  <c r="O33" i="44"/>
  <c r="O34" i="44"/>
  <c r="O35" i="44"/>
  <c r="O36" i="44"/>
  <c r="O37" i="44"/>
  <c r="O38" i="44"/>
  <c r="O39" i="44"/>
  <c r="O40" i="44"/>
  <c r="O41" i="44"/>
  <c r="O42" i="44"/>
  <c r="O43" i="44"/>
  <c r="O44" i="44"/>
  <c r="O45" i="44"/>
  <c r="O46" i="44"/>
  <c r="O47" i="44"/>
  <c r="O48" i="44"/>
  <c r="O49" i="44"/>
  <c r="O50" i="44"/>
  <c r="O51" i="44"/>
  <c r="O52" i="44"/>
  <c r="O53" i="44"/>
  <c r="O54" i="44"/>
  <c r="O55" i="44"/>
  <c r="O56" i="44"/>
  <c r="O57" i="44"/>
  <c r="O58" i="44"/>
  <c r="O59" i="44"/>
  <c r="O60" i="44"/>
  <c r="O61" i="44"/>
  <c r="O62" i="44"/>
  <c r="O63" i="44"/>
  <c r="O64" i="44"/>
  <c r="O65" i="44"/>
  <c r="O66" i="44"/>
  <c r="O67" i="44"/>
  <c r="O68" i="44"/>
  <c r="O69" i="44"/>
  <c r="O70" i="44"/>
  <c r="O71" i="44"/>
  <c r="O72" i="44"/>
  <c r="O73" i="44"/>
  <c r="O74" i="44"/>
  <c r="O75" i="44"/>
  <c r="O76" i="44"/>
  <c r="O77" i="44"/>
  <c r="O78" i="44"/>
  <c r="O79" i="44"/>
  <c r="O80" i="44"/>
  <c r="O81" i="44"/>
  <c r="O82" i="44"/>
  <c r="O83" i="44"/>
  <c r="O84" i="44"/>
  <c r="O85" i="44"/>
  <c r="O86" i="44"/>
  <c r="O87" i="44"/>
  <c r="O88" i="44"/>
  <c r="O89" i="44"/>
  <c r="O90" i="44"/>
  <c r="O91" i="44"/>
  <c r="O92" i="44"/>
  <c r="O93" i="44"/>
  <c r="O94" i="44"/>
  <c r="O95" i="44"/>
  <c r="O96" i="44"/>
  <c r="O97" i="44"/>
  <c r="O98" i="44"/>
  <c r="O99" i="44"/>
  <c r="O100" i="44"/>
  <c r="O101" i="44"/>
  <c r="O102" i="44"/>
  <c r="O103" i="44"/>
  <c r="O104" i="44"/>
  <c r="O105" i="44"/>
  <c r="O106" i="44"/>
  <c r="O107" i="44"/>
  <c r="O108" i="44"/>
  <c r="O109" i="44"/>
  <c r="O110" i="44"/>
  <c r="O111" i="44"/>
  <c r="O112" i="44"/>
  <c r="O113" i="44"/>
  <c r="O114" i="44"/>
  <c r="O115" i="44"/>
  <c r="O116" i="44"/>
  <c r="O117" i="44"/>
  <c r="O118" i="44"/>
  <c r="O119" i="44"/>
  <c r="O120" i="44"/>
  <c r="O121" i="44"/>
  <c r="O122" i="44"/>
  <c r="O123" i="44"/>
  <c r="O124" i="44"/>
  <c r="O125" i="44"/>
  <c r="O126" i="44"/>
  <c r="O127" i="44"/>
  <c r="O128" i="44"/>
  <c r="O129" i="44"/>
  <c r="O130" i="44"/>
  <c r="O131" i="44"/>
  <c r="O132" i="44"/>
  <c r="O133" i="44"/>
  <c r="O134" i="44"/>
  <c r="O135" i="44"/>
  <c r="O136" i="44"/>
  <c r="O137" i="44"/>
  <c r="O138" i="44"/>
  <c r="O139" i="44"/>
  <c r="O140" i="44"/>
  <c r="O141" i="44"/>
  <c r="O142" i="44"/>
  <c r="O143" i="44"/>
  <c r="O144" i="44"/>
  <c r="O145" i="44"/>
  <c r="O146" i="44"/>
  <c r="O147" i="44"/>
  <c r="O148" i="44"/>
  <c r="O149" i="44"/>
  <c r="O150" i="44"/>
  <c r="O151" i="44"/>
  <c r="O152" i="44"/>
  <c r="O153" i="44"/>
  <c r="O154" i="44"/>
  <c r="O155" i="44"/>
  <c r="O156" i="44"/>
  <c r="O157" i="44"/>
  <c r="O158" i="44"/>
  <c r="O159" i="44"/>
  <c r="O160" i="44"/>
  <c r="O161" i="44"/>
  <c r="O162" i="44"/>
  <c r="O163" i="44"/>
  <c r="O164" i="44"/>
  <c r="O165" i="44"/>
  <c r="O166" i="44"/>
  <c r="O167" i="44"/>
  <c r="O168" i="44"/>
  <c r="O169" i="44"/>
  <c r="O170" i="44"/>
  <c r="O171" i="44"/>
  <c r="O172" i="44"/>
  <c r="O173" i="44"/>
  <c r="O174" i="44"/>
  <c r="O175" i="44"/>
  <c r="O176" i="44"/>
  <c r="O177" i="44"/>
  <c r="O178" i="44"/>
  <c r="O179" i="44"/>
  <c r="O180" i="44"/>
  <c r="O181" i="44"/>
  <c r="O182" i="44"/>
  <c r="O183" i="44"/>
  <c r="O184" i="44"/>
  <c r="O185" i="44"/>
  <c r="O186" i="44"/>
  <c r="O187" i="44"/>
  <c r="O188" i="44"/>
  <c r="O189" i="44"/>
  <c r="O190" i="44"/>
  <c r="O191" i="44"/>
  <c r="O192" i="44"/>
  <c r="O193" i="44"/>
  <c r="O194" i="44"/>
  <c r="O195" i="44"/>
  <c r="O196" i="44"/>
  <c r="O197" i="44"/>
  <c r="O198" i="44"/>
  <c r="O199" i="44"/>
  <c r="O200" i="44"/>
  <c r="O201" i="44"/>
  <c r="O202" i="44"/>
  <c r="O203" i="44"/>
  <c r="O204" i="44"/>
  <c r="O205" i="44"/>
  <c r="O206" i="44"/>
  <c r="O207" i="44"/>
  <c r="O208" i="44"/>
  <c r="O209" i="44"/>
  <c r="O210" i="44"/>
  <c r="O211" i="44"/>
  <c r="O212" i="44"/>
  <c r="O213" i="44"/>
  <c r="O214" i="44"/>
  <c r="O215" i="44"/>
  <c r="O216" i="44"/>
  <c r="O217" i="44"/>
  <c r="O218" i="44"/>
  <c r="O219" i="44"/>
  <c r="O220" i="44"/>
  <c r="O221" i="44"/>
  <c r="O222" i="44"/>
  <c r="O223" i="44"/>
  <c r="O224" i="44"/>
  <c r="O225" i="44"/>
  <c r="O226" i="44"/>
  <c r="O227" i="44"/>
  <c r="O228" i="44"/>
  <c r="O229" i="44"/>
  <c r="O230" i="44"/>
  <c r="O231" i="44"/>
  <c r="O232" i="44"/>
  <c r="O233" i="44"/>
  <c r="O234" i="44"/>
  <c r="O235" i="44"/>
  <c r="O236" i="44"/>
  <c r="O237" i="44"/>
  <c r="O238" i="44"/>
  <c r="O239" i="44"/>
  <c r="O240" i="44"/>
  <c r="O241" i="44"/>
  <c r="O242" i="44"/>
  <c r="O243" i="44"/>
  <c r="O244" i="44"/>
  <c r="O245" i="44"/>
  <c r="O246" i="44"/>
  <c r="O247" i="44"/>
  <c r="O248" i="44"/>
  <c r="O249" i="44"/>
  <c r="O250" i="44"/>
  <c r="O251" i="44"/>
  <c r="O252" i="44"/>
  <c r="O253" i="44"/>
  <c r="O254" i="44"/>
  <c r="O255" i="44"/>
  <c r="O256" i="44"/>
  <c r="O257" i="44"/>
  <c r="O258" i="44"/>
  <c r="O259" i="44"/>
  <c r="O260" i="44"/>
  <c r="O261" i="44"/>
  <c r="O262" i="44"/>
  <c r="O263" i="44"/>
  <c r="O264" i="44"/>
  <c r="O265" i="44"/>
  <c r="O266" i="44"/>
  <c r="O267" i="44"/>
  <c r="O268" i="44"/>
  <c r="O269" i="44"/>
  <c r="O270" i="44"/>
  <c r="O271" i="44"/>
  <c r="O272" i="44"/>
  <c r="O273" i="44"/>
  <c r="O274" i="44"/>
  <c r="O275" i="44"/>
  <c r="O276" i="44"/>
  <c r="O277" i="44"/>
  <c r="O278" i="44"/>
  <c r="O279" i="44"/>
  <c r="O280" i="44"/>
  <c r="O281" i="44"/>
  <c r="O282" i="44"/>
  <c r="O283" i="44"/>
  <c r="O284" i="44"/>
  <c r="O285" i="44"/>
  <c r="O286" i="44"/>
  <c r="O287" i="44"/>
  <c r="O288" i="44"/>
  <c r="O289" i="44"/>
  <c r="O290" i="44"/>
  <c r="O291" i="44"/>
  <c r="O292" i="44"/>
  <c r="O293" i="44"/>
  <c r="O294" i="44"/>
  <c r="O295" i="44"/>
  <c r="O296" i="44"/>
  <c r="O297" i="44"/>
  <c r="O298" i="44"/>
  <c r="O299" i="44"/>
  <c r="O300" i="44"/>
  <c r="O301" i="44"/>
  <c r="O302" i="44"/>
  <c r="O303" i="44"/>
  <c r="O304" i="44"/>
  <c r="O305" i="44"/>
  <c r="O306" i="44"/>
  <c r="O307" i="44"/>
  <c r="O308" i="44"/>
  <c r="O309" i="44"/>
  <c r="O310" i="44"/>
  <c r="O311" i="44"/>
  <c r="O312" i="44"/>
  <c r="O313" i="44"/>
  <c r="O314" i="44"/>
  <c r="O315" i="44"/>
  <c r="O316" i="44"/>
  <c r="O317" i="44"/>
  <c r="O318" i="44"/>
  <c r="O319" i="44"/>
  <c r="O320" i="44"/>
  <c r="O321" i="44"/>
  <c r="O322" i="44"/>
  <c r="O323" i="44"/>
  <c r="O324" i="44"/>
  <c r="O325" i="44"/>
  <c r="O326" i="44"/>
  <c r="O327" i="44"/>
  <c r="O328" i="44"/>
  <c r="O329" i="44"/>
  <c r="O330" i="44"/>
  <c r="O331" i="44"/>
  <c r="O332" i="44"/>
  <c r="O333" i="44"/>
  <c r="O334" i="44"/>
  <c r="O335" i="44"/>
  <c r="O336" i="44"/>
  <c r="O337" i="44"/>
  <c r="O338" i="44"/>
  <c r="O339" i="44"/>
  <c r="O340" i="44"/>
  <c r="O348" i="44"/>
  <c r="O349" i="44"/>
  <c r="O350" i="44"/>
  <c r="O351" i="44"/>
  <c r="O352" i="44"/>
  <c r="O353" i="44"/>
  <c r="O354" i="44"/>
  <c r="O355" i="44"/>
  <c r="O356" i="44"/>
  <c r="O357" i="44"/>
  <c r="O358" i="44"/>
  <c r="O359" i="44"/>
  <c r="O360" i="44"/>
  <c r="O361" i="44"/>
  <c r="O362" i="44"/>
  <c r="O363" i="44"/>
  <c r="O364" i="44"/>
  <c r="O365" i="44"/>
  <c r="O366" i="44"/>
  <c r="O367" i="44"/>
  <c r="O368" i="44"/>
  <c r="O369" i="44"/>
  <c r="O370" i="44"/>
  <c r="O371" i="44"/>
  <c r="O372" i="44"/>
  <c r="O373" i="44"/>
  <c r="O374" i="44"/>
  <c r="O375" i="44"/>
  <c r="O376" i="44"/>
  <c r="O377" i="44"/>
  <c r="O378" i="44"/>
  <c r="O379" i="44"/>
  <c r="O380" i="44"/>
  <c r="O381" i="44"/>
  <c r="O382" i="44"/>
  <c r="O383" i="44"/>
  <c r="O384" i="44"/>
  <c r="O385" i="44"/>
  <c r="O386" i="44"/>
  <c r="O387" i="44"/>
  <c r="O388" i="44"/>
  <c r="O389" i="44"/>
  <c r="O390" i="44"/>
  <c r="O391" i="44"/>
  <c r="O392" i="44"/>
  <c r="O393" i="44"/>
  <c r="O394" i="44"/>
  <c r="O395" i="44"/>
  <c r="O396" i="44"/>
  <c r="O397" i="44"/>
  <c r="O398" i="44"/>
  <c r="O399" i="44"/>
  <c r="O400" i="44"/>
  <c r="O401" i="44"/>
  <c r="O402" i="44"/>
  <c r="O403" i="44"/>
  <c r="O404" i="44"/>
  <c r="O405" i="44"/>
  <c r="O406" i="44"/>
  <c r="O407" i="44"/>
  <c r="O408" i="44"/>
  <c r="O409" i="44"/>
  <c r="O410" i="44"/>
  <c r="O411" i="44"/>
  <c r="O412" i="44"/>
  <c r="O413" i="44"/>
  <c r="O414" i="44"/>
  <c r="O415" i="44"/>
  <c r="O416" i="44"/>
  <c r="O417" i="44"/>
  <c r="O418" i="44"/>
  <c r="O419" i="44"/>
  <c r="O420" i="44"/>
  <c r="O421" i="44"/>
  <c r="O422" i="44"/>
  <c r="O423" i="44"/>
  <c r="O424" i="44"/>
  <c r="O425" i="44"/>
  <c r="O426" i="44"/>
  <c r="O427" i="44"/>
  <c r="O428" i="44"/>
  <c r="O429" i="44"/>
  <c r="O430" i="44"/>
  <c r="O431" i="44"/>
  <c r="O432" i="44"/>
  <c r="O433" i="44"/>
  <c r="O434" i="44"/>
  <c r="O435" i="44"/>
  <c r="O436" i="44"/>
  <c r="O437" i="44"/>
  <c r="O438" i="44"/>
  <c r="O439" i="44"/>
  <c r="O440" i="44"/>
  <c r="O441" i="44"/>
  <c r="O442" i="44"/>
  <c r="O443" i="44"/>
  <c r="O444" i="44"/>
  <c r="O445" i="44"/>
  <c r="O446" i="44"/>
  <c r="O447" i="44"/>
  <c r="O448" i="44"/>
  <c r="O449" i="44"/>
  <c r="O450" i="44"/>
  <c r="O451" i="44"/>
  <c r="O452" i="44"/>
  <c r="O453" i="44"/>
  <c r="O454" i="44"/>
  <c r="O455" i="44"/>
  <c r="O456" i="44"/>
  <c r="O457" i="44"/>
  <c r="O458" i="44"/>
  <c r="O459" i="44"/>
  <c r="O460" i="44"/>
  <c r="O461" i="44"/>
  <c r="O462" i="44"/>
  <c r="O463" i="44"/>
  <c r="O464" i="44"/>
  <c r="O465" i="44"/>
  <c r="O466" i="44"/>
  <c r="O467" i="44"/>
  <c r="O468" i="44"/>
  <c r="O469" i="44"/>
  <c r="O470" i="44"/>
  <c r="O471" i="44"/>
  <c r="O472" i="44"/>
  <c r="O473" i="44"/>
  <c r="O474" i="44"/>
  <c r="O475" i="44"/>
  <c r="O476" i="44"/>
  <c r="O477" i="44"/>
  <c r="O478" i="44"/>
  <c r="O479" i="44"/>
  <c r="O480" i="44"/>
  <c r="O481" i="44"/>
  <c r="O482" i="44"/>
  <c r="O483" i="44"/>
  <c r="O484" i="44"/>
  <c r="O485" i="44"/>
  <c r="O486" i="44"/>
  <c r="O487" i="44"/>
  <c r="O488" i="44"/>
  <c r="O489" i="44"/>
  <c r="O490" i="44"/>
  <c r="O491" i="44"/>
  <c r="O492" i="44"/>
  <c r="O493" i="44"/>
  <c r="O494" i="44"/>
  <c r="O495" i="44"/>
  <c r="O496" i="44"/>
  <c r="O497" i="44"/>
  <c r="O498" i="44"/>
  <c r="O499" i="44"/>
  <c r="O500" i="44"/>
  <c r="O501" i="44"/>
  <c r="O502" i="44"/>
  <c r="O503" i="44"/>
  <c r="O504" i="44"/>
  <c r="O505" i="44"/>
  <c r="O506" i="44"/>
  <c r="O507" i="44"/>
  <c r="O508" i="44"/>
  <c r="O509" i="44"/>
  <c r="O510" i="44"/>
  <c r="O511" i="44"/>
  <c r="O512" i="44"/>
  <c r="O513" i="44"/>
  <c r="O514" i="44"/>
  <c r="O515" i="44"/>
  <c r="O516" i="44"/>
  <c r="O517" i="44"/>
  <c r="O518" i="44"/>
  <c r="O519" i="44"/>
  <c r="O520" i="44"/>
  <c r="O521" i="44"/>
  <c r="O522" i="44"/>
  <c r="O523" i="44"/>
  <c r="O524" i="44"/>
  <c r="O525" i="44"/>
  <c r="O526" i="44"/>
  <c r="O527" i="44"/>
  <c r="O528" i="44"/>
  <c r="O529" i="44"/>
  <c r="O530" i="44"/>
  <c r="O531" i="44"/>
  <c r="O532" i="44"/>
  <c r="O533" i="44"/>
  <c r="O534" i="44"/>
  <c r="O535" i="44"/>
  <c r="O536" i="44"/>
  <c r="O537" i="44"/>
  <c r="O538" i="44"/>
  <c r="O539" i="44"/>
  <c r="O540" i="44"/>
  <c r="O541" i="44"/>
  <c r="O542" i="44"/>
  <c r="O543" i="44"/>
  <c r="O544" i="44"/>
  <c r="O545" i="44"/>
  <c r="O546" i="44"/>
  <c r="O547" i="44"/>
  <c r="O548" i="44"/>
  <c r="O549" i="44"/>
  <c r="O550" i="44"/>
  <c r="O551" i="44"/>
  <c r="O552" i="44"/>
  <c r="O553" i="44"/>
  <c r="O554" i="44"/>
  <c r="O555" i="44"/>
  <c r="O556" i="44"/>
  <c r="O557" i="44"/>
  <c r="O558" i="44"/>
  <c r="O559" i="44"/>
  <c r="O560" i="44"/>
  <c r="O561" i="44"/>
  <c r="O562" i="44"/>
  <c r="O563" i="44"/>
  <c r="O564" i="44"/>
  <c r="O565" i="44"/>
  <c r="O566" i="44"/>
  <c r="O567" i="44"/>
  <c r="O568" i="44"/>
  <c r="O569" i="44"/>
  <c r="O570" i="44"/>
  <c r="O571" i="44"/>
  <c r="O572" i="44"/>
  <c r="O573" i="44"/>
  <c r="O574" i="44"/>
  <c r="O575" i="44"/>
  <c r="O576" i="44"/>
  <c r="O577" i="44"/>
  <c r="O578" i="44"/>
  <c r="O579" i="44"/>
  <c r="O580" i="44"/>
  <c r="O581" i="44"/>
  <c r="O582" i="44"/>
  <c r="O583" i="44"/>
  <c r="O584" i="44"/>
  <c r="O585" i="44"/>
  <c r="O586" i="44"/>
  <c r="O587" i="44"/>
  <c r="O588" i="44"/>
  <c r="O589" i="44"/>
  <c r="O590" i="44"/>
  <c r="O591" i="44"/>
  <c r="O592" i="44"/>
  <c r="O593" i="44"/>
  <c r="O594" i="44"/>
  <c r="O595" i="44"/>
  <c r="O596" i="44"/>
  <c r="O597" i="44"/>
  <c r="O598" i="44"/>
  <c r="O599" i="44"/>
  <c r="O600" i="44"/>
  <c r="O601" i="44"/>
  <c r="O602" i="44"/>
  <c r="O603" i="44"/>
  <c r="O604" i="44"/>
  <c r="O605" i="44"/>
  <c r="O606" i="44"/>
  <c r="O607" i="44"/>
  <c r="O608" i="44"/>
  <c r="O609" i="44"/>
  <c r="O610" i="44"/>
  <c r="O611" i="44"/>
  <c r="O612" i="44"/>
  <c r="O613" i="44"/>
  <c r="O614" i="44"/>
  <c r="O615" i="44"/>
  <c r="O616" i="44"/>
  <c r="O617" i="44"/>
  <c r="O618" i="44"/>
  <c r="O619" i="44"/>
  <c r="O620" i="44"/>
  <c r="O621" i="44"/>
  <c r="O622" i="44"/>
  <c r="O623" i="44"/>
  <c r="O624" i="44"/>
  <c r="O625" i="44"/>
  <c r="O626" i="44"/>
  <c r="O627" i="44"/>
  <c r="O628" i="44"/>
  <c r="O629" i="44"/>
  <c r="O630" i="44"/>
  <c r="O631" i="44"/>
  <c r="O632" i="44"/>
  <c r="O633" i="44"/>
  <c r="O634" i="44"/>
  <c r="O635" i="44"/>
  <c r="O636" i="44"/>
  <c r="O637" i="44"/>
  <c r="O638" i="44"/>
  <c r="O639" i="44"/>
  <c r="O640" i="44"/>
  <c r="O641" i="44"/>
  <c r="O642" i="44"/>
  <c r="O643" i="44"/>
  <c r="O644" i="44"/>
  <c r="O645" i="44"/>
  <c r="O646" i="44"/>
  <c r="O647" i="44"/>
  <c r="O648" i="44"/>
  <c r="O649" i="44"/>
  <c r="O650" i="44"/>
  <c r="O651" i="44"/>
  <c r="O652" i="44"/>
  <c r="O653" i="44"/>
  <c r="O654" i="44"/>
  <c r="O655" i="44"/>
  <c r="O656" i="44"/>
  <c r="O657" i="44"/>
  <c r="O658" i="44"/>
  <c r="O659" i="44"/>
  <c r="O660" i="44"/>
  <c r="O661" i="44"/>
  <c r="O662" i="44"/>
  <c r="O663" i="44"/>
  <c r="O664" i="44"/>
  <c r="O665" i="44"/>
  <c r="O666" i="44"/>
  <c r="O667" i="44"/>
  <c r="O668" i="44"/>
  <c r="O669" i="44"/>
  <c r="O670" i="44"/>
  <c r="O671" i="44"/>
  <c r="O672" i="44"/>
  <c r="O673" i="44"/>
  <c r="O674" i="44"/>
  <c r="O675" i="44"/>
  <c r="O676" i="44"/>
  <c r="O677" i="44"/>
  <c r="O678" i="44"/>
  <c r="O679" i="44"/>
  <c r="O680" i="44"/>
  <c r="O681" i="44"/>
  <c r="O682" i="44"/>
  <c r="O683" i="44"/>
  <c r="O684" i="44"/>
  <c r="O685" i="44"/>
  <c r="O686" i="44"/>
  <c r="O687" i="44"/>
  <c r="O688" i="44"/>
  <c r="O689" i="44"/>
  <c r="O690" i="44"/>
  <c r="O691" i="44"/>
  <c r="O692" i="44"/>
  <c r="O693" i="44"/>
  <c r="O694" i="44"/>
  <c r="O695" i="44"/>
  <c r="O696" i="44"/>
  <c r="O697" i="44"/>
  <c r="O698" i="44"/>
  <c r="O699" i="44"/>
  <c r="O700" i="44"/>
  <c r="O701" i="44"/>
  <c r="O702" i="44"/>
  <c r="O703" i="44"/>
  <c r="O704" i="44"/>
  <c r="O705" i="44"/>
  <c r="O706" i="44"/>
  <c r="O707" i="44"/>
  <c r="O708" i="44"/>
  <c r="O709" i="44"/>
  <c r="O710" i="44"/>
  <c r="O711" i="44"/>
  <c r="O712" i="44"/>
  <c r="O713" i="44"/>
  <c r="O714" i="44"/>
  <c r="O715" i="44"/>
  <c r="O716" i="44"/>
  <c r="O717" i="44"/>
  <c r="O718" i="44"/>
  <c r="O719" i="44"/>
  <c r="O720" i="44"/>
  <c r="O721" i="44"/>
  <c r="O722" i="44"/>
  <c r="O723" i="44"/>
  <c r="O724" i="44"/>
  <c r="O725" i="44"/>
  <c r="O726" i="44"/>
  <c r="O727" i="44"/>
  <c r="O728" i="44"/>
  <c r="O729" i="44"/>
  <c r="O730" i="44"/>
  <c r="O731" i="44"/>
  <c r="O732" i="44"/>
  <c r="O733" i="44"/>
  <c r="O734" i="44"/>
  <c r="O735" i="44"/>
  <c r="O736" i="44"/>
  <c r="O737" i="44"/>
  <c r="O738" i="44"/>
  <c r="O739" i="44"/>
  <c r="O740" i="44"/>
  <c r="O741" i="44"/>
  <c r="O742" i="44"/>
  <c r="O743" i="44"/>
  <c r="O744" i="44"/>
  <c r="O8" i="44"/>
  <c r="G749" i="44"/>
  <c r="L9" i="44"/>
  <c r="L10" i="44"/>
  <c r="L11" i="44"/>
  <c r="L12" i="44"/>
  <c r="L13" i="44"/>
  <c r="L14" i="44"/>
  <c r="L15" i="44"/>
  <c r="L16" i="44"/>
  <c r="L17" i="44"/>
  <c r="L18" i="44"/>
  <c r="L19" i="44"/>
  <c r="L20" i="44"/>
  <c r="L21" i="44"/>
  <c r="L22" i="44"/>
  <c r="L23" i="44"/>
  <c r="L24" i="44"/>
  <c r="L25" i="44"/>
  <c r="L26" i="44"/>
  <c r="L27" i="44"/>
  <c r="L28" i="44"/>
  <c r="L29" i="44"/>
  <c r="L30" i="44"/>
  <c r="L31" i="44"/>
  <c r="L32" i="44"/>
  <c r="L33" i="44"/>
  <c r="L34" i="44"/>
  <c r="L35" i="44"/>
  <c r="L36" i="44"/>
  <c r="L37" i="44"/>
  <c r="L38" i="44"/>
  <c r="L39" i="44"/>
  <c r="L40" i="44"/>
  <c r="L41" i="44"/>
  <c r="L42" i="44"/>
  <c r="L43" i="44"/>
  <c r="L44" i="44"/>
  <c r="L45" i="44"/>
  <c r="L46" i="44"/>
  <c r="L47" i="44"/>
  <c r="L48" i="44"/>
  <c r="L49" i="44"/>
  <c r="L50" i="44"/>
  <c r="L51" i="44"/>
  <c r="L52" i="44"/>
  <c r="L53" i="44"/>
  <c r="L54" i="44"/>
  <c r="L55" i="44"/>
  <c r="L56" i="44"/>
  <c r="L57" i="44"/>
  <c r="L58" i="44"/>
  <c r="L59" i="44"/>
  <c r="L60" i="44"/>
  <c r="L61" i="44"/>
  <c r="L62" i="44"/>
  <c r="L63" i="44"/>
  <c r="L64" i="44"/>
  <c r="L65" i="44"/>
  <c r="L66" i="44"/>
  <c r="L67" i="44"/>
  <c r="L68" i="44"/>
  <c r="L69" i="44"/>
  <c r="L70" i="44"/>
  <c r="L71" i="44"/>
  <c r="L72" i="44"/>
  <c r="L73" i="44"/>
  <c r="L74" i="44"/>
  <c r="L75" i="44"/>
  <c r="L76" i="44"/>
  <c r="L77" i="44"/>
  <c r="L78" i="44"/>
  <c r="L79" i="44"/>
  <c r="L80" i="44"/>
  <c r="L81" i="44"/>
  <c r="L82" i="44"/>
  <c r="L83" i="44"/>
  <c r="L84" i="44"/>
  <c r="L85" i="44"/>
  <c r="L86" i="44"/>
  <c r="L87" i="44"/>
  <c r="L88" i="44"/>
  <c r="L89" i="44"/>
  <c r="L90" i="44"/>
  <c r="L91" i="44"/>
  <c r="L92" i="44"/>
  <c r="L93" i="44"/>
  <c r="L94" i="44"/>
  <c r="L95" i="44"/>
  <c r="L96" i="44"/>
  <c r="L97" i="44"/>
  <c r="L98" i="44"/>
  <c r="L99" i="44"/>
  <c r="L100" i="44"/>
  <c r="L101" i="44"/>
  <c r="L102" i="44"/>
  <c r="L103" i="44"/>
  <c r="L104" i="44"/>
  <c r="L105" i="44"/>
  <c r="L106" i="44"/>
  <c r="L107" i="44"/>
  <c r="L108" i="44"/>
  <c r="L109" i="44"/>
  <c r="L110" i="44"/>
  <c r="L111" i="44"/>
  <c r="L112" i="44"/>
  <c r="L113" i="44"/>
  <c r="L114" i="44"/>
  <c r="L115" i="44"/>
  <c r="L116" i="44"/>
  <c r="L117" i="44"/>
  <c r="L118" i="44"/>
  <c r="L119" i="44"/>
  <c r="L120" i="44"/>
  <c r="L121" i="44"/>
  <c r="L122" i="44"/>
  <c r="L123" i="44"/>
  <c r="L124" i="44"/>
  <c r="L125" i="44"/>
  <c r="L126" i="44"/>
  <c r="L127" i="44"/>
  <c r="L128" i="44"/>
  <c r="L129" i="44"/>
  <c r="L130" i="44"/>
  <c r="L131" i="44"/>
  <c r="L132" i="44"/>
  <c r="L133" i="44"/>
  <c r="L134" i="44"/>
  <c r="L135" i="44"/>
  <c r="L136" i="44"/>
  <c r="L137" i="44"/>
  <c r="L138" i="44"/>
  <c r="L139" i="44"/>
  <c r="L140" i="44"/>
  <c r="L141" i="44"/>
  <c r="L142" i="44"/>
  <c r="L143" i="44"/>
  <c r="L144" i="44"/>
  <c r="L145" i="44"/>
  <c r="L146" i="44"/>
  <c r="L147" i="44"/>
  <c r="L148" i="44"/>
  <c r="L149" i="44"/>
  <c r="L150" i="44"/>
  <c r="L151" i="44"/>
  <c r="L152" i="44"/>
  <c r="L153" i="44"/>
  <c r="L154" i="44"/>
  <c r="L155" i="44"/>
  <c r="L156" i="44"/>
  <c r="L157" i="44"/>
  <c r="L158" i="44"/>
  <c r="L159" i="44"/>
  <c r="L160" i="44"/>
  <c r="L161" i="44"/>
  <c r="L162" i="44"/>
  <c r="L163" i="44"/>
  <c r="L164" i="44"/>
  <c r="L165" i="44"/>
  <c r="L166" i="44"/>
  <c r="L167" i="44"/>
  <c r="L168" i="44"/>
  <c r="L169" i="44"/>
  <c r="L170" i="44"/>
  <c r="L171" i="44"/>
  <c r="L172" i="44"/>
  <c r="L173" i="44"/>
  <c r="L174" i="44"/>
  <c r="L175" i="44"/>
  <c r="L176" i="44"/>
  <c r="L177" i="44"/>
  <c r="L178" i="44"/>
  <c r="L179" i="44"/>
  <c r="L180" i="44"/>
  <c r="L181" i="44"/>
  <c r="L182" i="44"/>
  <c r="L183" i="44"/>
  <c r="L184" i="44"/>
  <c r="L185" i="44"/>
  <c r="L186" i="44"/>
  <c r="L187" i="44"/>
  <c r="L188" i="44"/>
  <c r="L189" i="44"/>
  <c r="L190" i="44"/>
  <c r="L191" i="44"/>
  <c r="L192" i="44"/>
  <c r="L193" i="44"/>
  <c r="L194" i="44"/>
  <c r="L195" i="44"/>
  <c r="L196" i="44"/>
  <c r="L197" i="44"/>
  <c r="L198" i="44"/>
  <c r="L199" i="44"/>
  <c r="L200" i="44"/>
  <c r="L201" i="44"/>
  <c r="L202" i="44"/>
  <c r="L203" i="44"/>
  <c r="L204" i="44"/>
  <c r="L205" i="44"/>
  <c r="L206" i="44"/>
  <c r="L207" i="44"/>
  <c r="L208" i="44"/>
  <c r="L209" i="44"/>
  <c r="L210" i="44"/>
  <c r="L211" i="44"/>
  <c r="L212" i="44"/>
  <c r="L213" i="44"/>
  <c r="L214" i="44"/>
  <c r="L215" i="44"/>
  <c r="L216" i="44"/>
  <c r="L217" i="44"/>
  <c r="L218" i="44"/>
  <c r="L219" i="44"/>
  <c r="L220" i="44"/>
  <c r="L221" i="44"/>
  <c r="L222" i="44"/>
  <c r="L223" i="44"/>
  <c r="L224" i="44"/>
  <c r="L225" i="44"/>
  <c r="L226" i="44"/>
  <c r="L227" i="44"/>
  <c r="L228" i="44"/>
  <c r="L229" i="44"/>
  <c r="L230" i="44"/>
  <c r="L231" i="44"/>
  <c r="L232" i="44"/>
  <c r="L233" i="44"/>
  <c r="L234" i="44"/>
  <c r="L235" i="44"/>
  <c r="L236" i="44"/>
  <c r="L237" i="44"/>
  <c r="L238" i="44"/>
  <c r="L239" i="44"/>
  <c r="L240" i="44"/>
  <c r="L241" i="44"/>
  <c r="L242" i="44"/>
  <c r="L243" i="44"/>
  <c r="L244" i="44"/>
  <c r="L245" i="44"/>
  <c r="L246" i="44"/>
  <c r="L247" i="44"/>
  <c r="L248" i="44"/>
  <c r="L249" i="44"/>
  <c r="L250" i="44"/>
  <c r="L251" i="44"/>
  <c r="L252" i="44"/>
  <c r="L253" i="44"/>
  <c r="L254" i="44"/>
  <c r="L255" i="44"/>
  <c r="L256" i="44"/>
  <c r="L257" i="44"/>
  <c r="L258" i="44"/>
  <c r="L259" i="44"/>
  <c r="L260" i="44"/>
  <c r="L261" i="44"/>
  <c r="L262" i="44"/>
  <c r="L263" i="44"/>
  <c r="L264" i="44"/>
  <c r="L265" i="44"/>
  <c r="L266" i="44"/>
  <c r="L267" i="44"/>
  <c r="L268" i="44"/>
  <c r="L269" i="44"/>
  <c r="L270" i="44"/>
  <c r="L271" i="44"/>
  <c r="L272" i="44"/>
  <c r="L273" i="44"/>
  <c r="L274" i="44"/>
  <c r="L275" i="44"/>
  <c r="L276" i="44"/>
  <c r="L277" i="44"/>
  <c r="L278" i="44"/>
  <c r="L279" i="44"/>
  <c r="L280" i="44"/>
  <c r="L281" i="44"/>
  <c r="L282" i="44"/>
  <c r="L283" i="44"/>
  <c r="L284" i="44"/>
  <c r="L285" i="44"/>
  <c r="L286" i="44"/>
  <c r="L287" i="44"/>
  <c r="L288" i="44"/>
  <c r="L289" i="44"/>
  <c r="L290" i="44"/>
  <c r="L291" i="44"/>
  <c r="L292" i="44"/>
  <c r="L293" i="44"/>
  <c r="L294" i="44"/>
  <c r="L295" i="44"/>
  <c r="L296" i="44"/>
  <c r="L297" i="44"/>
  <c r="L298" i="44"/>
  <c r="L299" i="44"/>
  <c r="L300" i="44"/>
  <c r="L301" i="44"/>
  <c r="L302" i="44"/>
  <c r="L303" i="44"/>
  <c r="L304" i="44"/>
  <c r="L305" i="44"/>
  <c r="L306" i="44"/>
  <c r="L307" i="44"/>
  <c r="L308" i="44"/>
  <c r="L309" i="44"/>
  <c r="L310" i="44"/>
  <c r="L311" i="44"/>
  <c r="L312" i="44"/>
  <c r="L313" i="44"/>
  <c r="L314" i="44"/>
  <c r="L315" i="44"/>
  <c r="L316" i="44"/>
  <c r="L317" i="44"/>
  <c r="L318" i="44"/>
  <c r="L319" i="44"/>
  <c r="L320" i="44"/>
  <c r="L321" i="44"/>
  <c r="L322" i="44"/>
  <c r="L323" i="44"/>
  <c r="L324" i="44"/>
  <c r="L325" i="44"/>
  <c r="L326" i="44"/>
  <c r="L327" i="44"/>
  <c r="L328" i="44"/>
  <c r="L329" i="44"/>
  <c r="L330" i="44"/>
  <c r="L331" i="44"/>
  <c r="L332" i="44"/>
  <c r="L333" i="44"/>
  <c r="L334" i="44"/>
  <c r="L335" i="44"/>
  <c r="L336" i="44"/>
  <c r="L337" i="44"/>
  <c r="L338" i="44"/>
  <c r="L339" i="44"/>
  <c r="L340" i="44"/>
  <c r="L341" i="44"/>
  <c r="L342" i="44"/>
  <c r="L343" i="44"/>
  <c r="L344" i="44"/>
  <c r="L345" i="44"/>
  <c r="L346" i="44"/>
  <c r="L347" i="44"/>
  <c r="L348" i="44"/>
  <c r="L349" i="44"/>
  <c r="L350" i="44"/>
  <c r="L351" i="44"/>
  <c r="L352" i="44"/>
  <c r="L353" i="44"/>
  <c r="L354" i="44"/>
  <c r="L355" i="44"/>
  <c r="L356" i="44"/>
  <c r="L357" i="44"/>
  <c r="L358" i="44"/>
  <c r="L359" i="44"/>
  <c r="L360" i="44"/>
  <c r="L361" i="44"/>
  <c r="L362" i="44"/>
  <c r="L363" i="44"/>
  <c r="L364" i="44"/>
  <c r="L365" i="44"/>
  <c r="L366" i="44"/>
  <c r="L367" i="44"/>
  <c r="L368" i="44"/>
  <c r="L369" i="44"/>
  <c r="L370" i="44"/>
  <c r="L371" i="44"/>
  <c r="L372" i="44"/>
  <c r="L373" i="44"/>
  <c r="L374" i="44"/>
  <c r="L375" i="44"/>
  <c r="L376" i="44"/>
  <c r="L377" i="44"/>
  <c r="L378" i="44"/>
  <c r="L379" i="44"/>
  <c r="L380" i="44"/>
  <c r="L381" i="44"/>
  <c r="L382" i="44"/>
  <c r="L383" i="44"/>
  <c r="L384" i="44"/>
  <c r="L385" i="44"/>
  <c r="L386" i="44"/>
  <c r="L387" i="44"/>
  <c r="L388" i="44"/>
  <c r="L389" i="44"/>
  <c r="L390" i="44"/>
  <c r="L391" i="44"/>
  <c r="L392" i="44"/>
  <c r="L393" i="44"/>
  <c r="L394" i="44"/>
  <c r="L395" i="44"/>
  <c r="L396" i="44"/>
  <c r="L397" i="44"/>
  <c r="L398" i="44"/>
  <c r="L399" i="44"/>
  <c r="L400" i="44"/>
  <c r="L401" i="44"/>
  <c r="L402" i="44"/>
  <c r="L403" i="44"/>
  <c r="L404" i="44"/>
  <c r="L405" i="44"/>
  <c r="L406" i="44"/>
  <c r="L407" i="44"/>
  <c r="L408" i="44"/>
  <c r="L409" i="44"/>
  <c r="L410" i="44"/>
  <c r="L411" i="44"/>
  <c r="L412" i="44"/>
  <c r="L413" i="44"/>
  <c r="L414" i="44"/>
  <c r="L415" i="44"/>
  <c r="L416" i="44"/>
  <c r="L417" i="44"/>
  <c r="L418" i="44"/>
  <c r="L419" i="44"/>
  <c r="L420" i="44"/>
  <c r="L421" i="44"/>
  <c r="L422" i="44"/>
  <c r="L423" i="44"/>
  <c r="L424" i="44"/>
  <c r="L425" i="44"/>
  <c r="L426" i="44"/>
  <c r="L427" i="44"/>
  <c r="L428" i="44"/>
  <c r="L429" i="44"/>
  <c r="L430" i="44"/>
  <c r="L431" i="44"/>
  <c r="L432" i="44"/>
  <c r="L433" i="44"/>
  <c r="L434" i="44"/>
  <c r="L435" i="44"/>
  <c r="L436" i="44"/>
  <c r="L437" i="44"/>
  <c r="L438" i="44"/>
  <c r="L439" i="44"/>
  <c r="L440" i="44"/>
  <c r="L441" i="44"/>
  <c r="L442" i="44"/>
  <c r="L443" i="44"/>
  <c r="L444" i="44"/>
  <c r="L445" i="44"/>
  <c r="L446" i="44"/>
  <c r="L447" i="44"/>
  <c r="L448" i="44"/>
  <c r="L449" i="44"/>
  <c r="L450" i="44"/>
  <c r="L451" i="44"/>
  <c r="L452" i="44"/>
  <c r="L453" i="44"/>
  <c r="L454" i="44"/>
  <c r="L455" i="44"/>
  <c r="L456" i="44"/>
  <c r="L457" i="44"/>
  <c r="L458" i="44"/>
  <c r="L459" i="44"/>
  <c r="L460" i="44"/>
  <c r="L461" i="44"/>
  <c r="L462" i="44"/>
  <c r="L463" i="44"/>
  <c r="L464" i="44"/>
  <c r="L465" i="44"/>
  <c r="L466" i="44"/>
  <c r="L467" i="44"/>
  <c r="L468" i="44"/>
  <c r="L469" i="44"/>
  <c r="L470" i="44"/>
  <c r="L471" i="44"/>
  <c r="L472" i="44"/>
  <c r="L473" i="44"/>
  <c r="L474" i="44"/>
  <c r="L475" i="44"/>
  <c r="L476" i="44"/>
  <c r="L477" i="44"/>
  <c r="L478" i="44"/>
  <c r="L479" i="44"/>
  <c r="L480" i="44"/>
  <c r="L481" i="44"/>
  <c r="L482" i="44"/>
  <c r="L483" i="44"/>
  <c r="L484" i="44"/>
  <c r="L485" i="44"/>
  <c r="L486" i="44"/>
  <c r="L487" i="44"/>
  <c r="L488" i="44"/>
  <c r="L489" i="44"/>
  <c r="L490" i="44"/>
  <c r="L491" i="44"/>
  <c r="L492" i="44"/>
  <c r="L493" i="44"/>
  <c r="L494" i="44"/>
  <c r="L495" i="44"/>
  <c r="L496" i="44"/>
  <c r="L497" i="44"/>
  <c r="L498" i="44"/>
  <c r="L499" i="44"/>
  <c r="L500" i="44"/>
  <c r="L501" i="44"/>
  <c r="L502" i="44"/>
  <c r="L503" i="44"/>
  <c r="L504" i="44"/>
  <c r="L505" i="44"/>
  <c r="L506" i="44"/>
  <c r="L507" i="44"/>
  <c r="L508" i="44"/>
  <c r="L509" i="44"/>
  <c r="L510" i="44"/>
  <c r="L511" i="44"/>
  <c r="L512" i="44"/>
  <c r="L513" i="44"/>
  <c r="L514" i="44"/>
  <c r="L515" i="44"/>
  <c r="L516" i="44"/>
  <c r="L517" i="44"/>
  <c r="L518" i="44"/>
  <c r="L519" i="44"/>
  <c r="L520" i="44"/>
  <c r="L521" i="44"/>
  <c r="L522" i="44"/>
  <c r="L523" i="44"/>
  <c r="L524" i="44"/>
  <c r="L525" i="44"/>
  <c r="L526" i="44"/>
  <c r="L527" i="44"/>
  <c r="L528" i="44"/>
  <c r="L529" i="44"/>
  <c r="L530" i="44"/>
  <c r="L531" i="44"/>
  <c r="L532" i="44"/>
  <c r="L533" i="44"/>
  <c r="L534" i="44"/>
  <c r="L535" i="44"/>
  <c r="L536" i="44"/>
  <c r="L537" i="44"/>
  <c r="L538" i="44"/>
  <c r="L539" i="44"/>
  <c r="L540" i="44"/>
  <c r="L541" i="44"/>
  <c r="L542" i="44"/>
  <c r="L543" i="44"/>
  <c r="L544" i="44"/>
  <c r="L545" i="44"/>
  <c r="L546" i="44"/>
  <c r="L547" i="44"/>
  <c r="L548" i="44"/>
  <c r="L549" i="44"/>
  <c r="L550" i="44"/>
  <c r="L551" i="44"/>
  <c r="L552" i="44"/>
  <c r="L553" i="44"/>
  <c r="L554" i="44"/>
  <c r="L555" i="44"/>
  <c r="L556" i="44"/>
  <c r="L557" i="44"/>
  <c r="L558" i="44"/>
  <c r="L559" i="44"/>
  <c r="L560" i="44"/>
  <c r="L561" i="44"/>
  <c r="L562" i="44"/>
  <c r="L563" i="44"/>
  <c r="L564" i="44"/>
  <c r="L565" i="44"/>
  <c r="L566" i="44"/>
  <c r="L567" i="44"/>
  <c r="L568" i="44"/>
  <c r="L569" i="44"/>
  <c r="L570" i="44"/>
  <c r="L571" i="44"/>
  <c r="L572" i="44"/>
  <c r="L573" i="44"/>
  <c r="L574" i="44"/>
  <c r="L575" i="44"/>
  <c r="L576" i="44"/>
  <c r="L577" i="44"/>
  <c r="L578" i="44"/>
  <c r="L579" i="44"/>
  <c r="L580" i="44"/>
  <c r="L581" i="44"/>
  <c r="L582" i="44"/>
  <c r="L583" i="44"/>
  <c r="L584" i="44"/>
  <c r="L585" i="44"/>
  <c r="L586" i="44"/>
  <c r="L587" i="44"/>
  <c r="L588" i="44"/>
  <c r="L589" i="44"/>
  <c r="L590" i="44"/>
  <c r="L591" i="44"/>
  <c r="L592" i="44"/>
  <c r="L593" i="44"/>
  <c r="L594" i="44"/>
  <c r="L595" i="44"/>
  <c r="L596" i="44"/>
  <c r="L597" i="44"/>
  <c r="L598" i="44"/>
  <c r="L599" i="44"/>
  <c r="L600" i="44"/>
  <c r="L601" i="44"/>
  <c r="L602" i="44"/>
  <c r="L603" i="44"/>
  <c r="L604" i="44"/>
  <c r="L605" i="44"/>
  <c r="L606" i="44"/>
  <c r="L607" i="44"/>
  <c r="L608" i="44"/>
  <c r="L609" i="44"/>
  <c r="L610" i="44"/>
  <c r="L611" i="44"/>
  <c r="L612" i="44"/>
  <c r="L613" i="44"/>
  <c r="L614" i="44"/>
  <c r="L615" i="44"/>
  <c r="L616" i="44"/>
  <c r="L617" i="44"/>
  <c r="L618" i="44"/>
  <c r="L619" i="44"/>
  <c r="L620" i="44"/>
  <c r="L621" i="44"/>
  <c r="L622" i="44"/>
  <c r="L623" i="44"/>
  <c r="L624" i="44"/>
  <c r="L625" i="44"/>
  <c r="L626" i="44"/>
  <c r="L627" i="44"/>
  <c r="L628" i="44"/>
  <c r="L629" i="44"/>
  <c r="L630" i="44"/>
  <c r="L631" i="44"/>
  <c r="L632" i="44"/>
  <c r="L633" i="44"/>
  <c r="L634" i="44"/>
  <c r="L635" i="44"/>
  <c r="L636" i="44"/>
  <c r="L637" i="44"/>
  <c r="L638" i="44"/>
  <c r="L639" i="44"/>
  <c r="L640" i="44"/>
  <c r="L641" i="44"/>
  <c r="L642" i="44"/>
  <c r="L643" i="44"/>
  <c r="L644" i="44"/>
  <c r="L645" i="44"/>
  <c r="L646" i="44"/>
  <c r="L647" i="44"/>
  <c r="L648" i="44"/>
  <c r="L649" i="44"/>
  <c r="L650" i="44"/>
  <c r="L651" i="44"/>
  <c r="L652" i="44"/>
  <c r="L653" i="44"/>
  <c r="L654" i="44"/>
  <c r="L655" i="44"/>
  <c r="L656" i="44"/>
  <c r="L657" i="44"/>
  <c r="L658" i="44"/>
  <c r="L659" i="44"/>
  <c r="L660" i="44"/>
  <c r="L661" i="44"/>
  <c r="L662" i="44"/>
  <c r="L663" i="44"/>
  <c r="L664" i="44"/>
  <c r="L665" i="44"/>
  <c r="L666" i="44"/>
  <c r="L667" i="44"/>
  <c r="L668" i="44"/>
  <c r="L669" i="44"/>
  <c r="L670" i="44"/>
  <c r="L671" i="44"/>
  <c r="L672" i="44"/>
  <c r="L673" i="44"/>
  <c r="L674" i="44"/>
  <c r="L675" i="44"/>
  <c r="L676" i="44"/>
  <c r="L677" i="44"/>
  <c r="L678" i="44"/>
  <c r="L679" i="44"/>
  <c r="L680" i="44"/>
  <c r="L681" i="44"/>
  <c r="L682" i="44"/>
  <c r="L683" i="44"/>
  <c r="L684" i="44"/>
  <c r="L685" i="44"/>
  <c r="L686" i="44"/>
  <c r="L687" i="44"/>
  <c r="L688" i="44"/>
  <c r="L689" i="44"/>
  <c r="L690" i="44"/>
  <c r="L691" i="44"/>
  <c r="L692" i="44"/>
  <c r="L693" i="44"/>
  <c r="L694" i="44"/>
  <c r="L695" i="44"/>
  <c r="L696" i="44"/>
  <c r="L697" i="44"/>
  <c r="L698" i="44"/>
  <c r="L699" i="44"/>
  <c r="L700" i="44"/>
  <c r="L701" i="44"/>
  <c r="L702" i="44"/>
  <c r="L703" i="44"/>
  <c r="L704" i="44"/>
  <c r="L705" i="44"/>
  <c r="L706" i="44"/>
  <c r="L707" i="44"/>
  <c r="L708" i="44"/>
  <c r="L709" i="44"/>
  <c r="L710" i="44"/>
  <c r="L711" i="44"/>
  <c r="L712" i="44"/>
  <c r="L713" i="44"/>
  <c r="L714" i="44"/>
  <c r="L715" i="44"/>
  <c r="L716" i="44"/>
  <c r="L717" i="44"/>
  <c r="L718" i="44"/>
  <c r="L719" i="44"/>
  <c r="L720" i="44"/>
  <c r="L721" i="44"/>
  <c r="L722" i="44"/>
  <c r="L723" i="44"/>
  <c r="L724" i="44"/>
  <c r="L725" i="44"/>
  <c r="L726" i="44"/>
  <c r="L727" i="44"/>
  <c r="L728" i="44"/>
  <c r="L729" i="44"/>
  <c r="L730" i="44"/>
  <c r="L731" i="44"/>
  <c r="L732" i="44"/>
  <c r="L733" i="44"/>
  <c r="L734" i="44"/>
  <c r="L735" i="44"/>
  <c r="L736" i="44"/>
  <c r="L737" i="44"/>
  <c r="L738" i="44"/>
  <c r="L739" i="44"/>
  <c r="L740" i="44"/>
  <c r="L741" i="44"/>
  <c r="L742" i="44"/>
  <c r="L743" i="44"/>
  <c r="L744" i="44"/>
  <c r="L745" i="44"/>
  <c r="L8" i="44"/>
  <c r="M582" i="44"/>
  <c r="M623" i="44"/>
  <c r="M616" i="44"/>
  <c r="M569" i="44"/>
  <c r="M528" i="44"/>
  <c r="M292" i="44"/>
  <c r="M95" i="44"/>
  <c r="M673" i="44"/>
  <c r="N613" i="48" l="1"/>
  <c r="F598" i="22"/>
  <c r="N542" i="48"/>
  <c r="K530" i="48"/>
  <c r="N598" i="48"/>
  <c r="G359" i="48"/>
  <c r="K359" i="48" s="1"/>
  <c r="L648" i="48"/>
  <c r="I478" i="48"/>
  <c r="I477" i="48" s="1"/>
  <c r="L565" i="48"/>
  <c r="N511" i="48"/>
  <c r="G240" i="48"/>
  <c r="K240" i="48" s="1"/>
  <c r="K254" i="48"/>
  <c r="L327" i="48"/>
  <c r="L241" i="48"/>
  <c r="L449" i="48"/>
  <c r="K449" i="48"/>
  <c r="N449" i="48"/>
  <c r="K669" i="48"/>
  <c r="N135" i="48"/>
  <c r="M359" i="48"/>
  <c r="N359" i="48" s="1"/>
  <c r="N248" i="48"/>
  <c r="L228" i="48"/>
  <c r="F521" i="47"/>
  <c r="F520" i="47" s="1"/>
  <c r="M494" i="47"/>
  <c r="M493" i="47" s="1"/>
  <c r="F229" i="47"/>
  <c r="I113" i="47"/>
  <c r="I60" i="47" s="1"/>
  <c r="I31" i="47" s="1"/>
  <c r="L42" i="47"/>
  <c r="K377" i="48"/>
  <c r="G297" i="47"/>
  <c r="L414" i="47"/>
  <c r="N638" i="47"/>
  <c r="L415" i="47"/>
  <c r="I639" i="48"/>
  <c r="I638" i="48" s="1"/>
  <c r="I637" i="48" s="1"/>
  <c r="N599" i="48"/>
  <c r="M509" i="48"/>
  <c r="K650" i="48"/>
  <c r="F31" i="47"/>
  <c r="F30" i="47" s="1"/>
  <c r="L729" i="47"/>
  <c r="I360" i="47"/>
  <c r="I359" i="47" s="1"/>
  <c r="I358" i="47" s="1"/>
  <c r="K573" i="47"/>
  <c r="I267" i="47"/>
  <c r="I229" i="47" s="1"/>
  <c r="J318" i="47"/>
  <c r="K318" i="47" s="1"/>
  <c r="N637" i="47"/>
  <c r="L735" i="47"/>
  <c r="J563" i="47"/>
  <c r="N563" i="47" s="1"/>
  <c r="I330" i="48"/>
  <c r="I329" i="48" s="1"/>
  <c r="N240" i="48"/>
  <c r="N241" i="48"/>
  <c r="N175" i="48"/>
  <c r="N552" i="48"/>
  <c r="K360" i="48"/>
  <c r="M270" i="48"/>
  <c r="M269" i="48" s="1"/>
  <c r="M193" i="48"/>
  <c r="M192" i="48" s="1"/>
  <c r="M186" i="48" s="1"/>
  <c r="K324" i="48"/>
  <c r="L324" i="48"/>
  <c r="L542" i="48"/>
  <c r="N93" i="48"/>
  <c r="K48" i="48"/>
  <c r="G221" i="48"/>
  <c r="G215" i="48" s="1"/>
  <c r="L502" i="48"/>
  <c r="J357" i="48"/>
  <c r="K702" i="48"/>
  <c r="M372" i="48"/>
  <c r="K327" i="48"/>
  <c r="N247" i="48"/>
  <c r="N177" i="48"/>
  <c r="M168" i="48"/>
  <c r="N168" i="48" s="1"/>
  <c r="G123" i="48"/>
  <c r="K123" i="48" s="1"/>
  <c r="K502" i="48"/>
  <c r="L254" i="48"/>
  <c r="N94" i="48"/>
  <c r="I9" i="48"/>
  <c r="I8" i="48" s="1"/>
  <c r="N176" i="48"/>
  <c r="K177" i="48"/>
  <c r="L703" i="48"/>
  <c r="G701" i="48"/>
  <c r="G700" i="48" s="1"/>
  <c r="L511" i="48"/>
  <c r="L177" i="48"/>
  <c r="N373" i="48"/>
  <c r="J668" i="48"/>
  <c r="L668" i="48" s="1"/>
  <c r="K176" i="48"/>
  <c r="L176" i="48"/>
  <c r="N58" i="48"/>
  <c r="L40" i="48"/>
  <c r="I347" i="48"/>
  <c r="I346" i="48" s="1"/>
  <c r="I345" i="48" s="1"/>
  <c r="K538" i="48"/>
  <c r="G101" i="48"/>
  <c r="G100" i="48" s="1"/>
  <c r="G99" i="48" s="1"/>
  <c r="M639" i="48"/>
  <c r="L124" i="48"/>
  <c r="N234" i="48"/>
  <c r="K175" i="48"/>
  <c r="J107" i="48"/>
  <c r="N107" i="48" s="1"/>
  <c r="L175" i="48"/>
  <c r="N235" i="48"/>
  <c r="L174" i="48"/>
  <c r="K703" i="48"/>
  <c r="K511" i="48"/>
  <c r="M294" i="48"/>
  <c r="N294" i="48" s="1"/>
  <c r="K102" i="48"/>
  <c r="N705" i="48"/>
  <c r="K376" i="48"/>
  <c r="L376" i="48"/>
  <c r="N140" i="48"/>
  <c r="G478" i="48"/>
  <c r="G477" i="48" s="1"/>
  <c r="L227" i="48"/>
  <c r="L47" i="48"/>
  <c r="N315" i="48"/>
  <c r="N96" i="48"/>
  <c r="G564" i="48"/>
  <c r="L564" i="48" s="1"/>
  <c r="K513" i="48"/>
  <c r="N143" i="48"/>
  <c r="K47" i="48"/>
  <c r="G45" i="48"/>
  <c r="G44" i="48" s="1"/>
  <c r="G647" i="48"/>
  <c r="G639" i="48" s="1"/>
  <c r="G638" i="48" s="1"/>
  <c r="G637" i="48" s="1"/>
  <c r="N513" i="48"/>
  <c r="L48" i="48"/>
  <c r="I699" i="48"/>
  <c r="I698" i="48" s="1"/>
  <c r="K412" i="48"/>
  <c r="J411" i="48"/>
  <c r="J410" i="48" s="1"/>
  <c r="L218" i="48"/>
  <c r="I186" i="48"/>
  <c r="I179" i="48" s="1"/>
  <c r="L45" i="47"/>
  <c r="J532" i="47"/>
  <c r="N636" i="47"/>
  <c r="N630" i="47"/>
  <c r="L189" i="47"/>
  <c r="K189" i="47"/>
  <c r="I188" i="47"/>
  <c r="I181" i="47" s="1"/>
  <c r="L44" i="47"/>
  <c r="K44" i="47"/>
  <c r="M128" i="47"/>
  <c r="L388" i="47"/>
  <c r="K388" i="47"/>
  <c r="L529" i="47"/>
  <c r="K529" i="47"/>
  <c r="L261" i="47"/>
  <c r="K355" i="47"/>
  <c r="N434" i="47"/>
  <c r="L15" i="47"/>
  <c r="N659" i="47"/>
  <c r="L413" i="47"/>
  <c r="K413" i="47"/>
  <c r="K621" i="47"/>
  <c r="L621" i="47"/>
  <c r="N388" i="47"/>
  <c r="L583" i="47"/>
  <c r="L46" i="47"/>
  <c r="K46" i="47"/>
  <c r="K142" i="47"/>
  <c r="L142" i="47"/>
  <c r="K735" i="47"/>
  <c r="G12" i="47"/>
  <c r="G11" i="47" s="1"/>
  <c r="G10" i="47" s="1"/>
  <c r="L298" i="47"/>
  <c r="K298" i="47"/>
  <c r="N191" i="47"/>
  <c r="M190" i="47"/>
  <c r="N190" i="47" s="1"/>
  <c r="M189" i="47"/>
  <c r="N189" i="47" s="1"/>
  <c r="F179" i="48"/>
  <c r="K15" i="48"/>
  <c r="J480" i="48"/>
  <c r="K480" i="48" s="1"/>
  <c r="L350" i="48"/>
  <c r="K84" i="48"/>
  <c r="I111" i="48"/>
  <c r="K222" i="48"/>
  <c r="L135" i="48"/>
  <c r="N253" i="48"/>
  <c r="N127" i="48"/>
  <c r="N182" i="48"/>
  <c r="F9" i="48"/>
  <c r="F8" i="48" s="1"/>
  <c r="F478" i="48"/>
  <c r="F477" i="48" s="1"/>
  <c r="N200" i="48"/>
  <c r="F61" i="48"/>
  <c r="F60" i="48" s="1"/>
  <c r="F31" i="48" s="1"/>
  <c r="G579" i="48"/>
  <c r="I508" i="48"/>
  <c r="I507" i="48" s="1"/>
  <c r="I506" i="48" s="1"/>
  <c r="K535" i="48"/>
  <c r="I439" i="48"/>
  <c r="I438" i="48" s="1"/>
  <c r="I437" i="48" s="1"/>
  <c r="I436" i="48" s="1"/>
  <c r="N117" i="48"/>
  <c r="K583" i="48"/>
  <c r="I385" i="48"/>
  <c r="K200" i="48"/>
  <c r="F330" i="48"/>
  <c r="F329" i="48" s="1"/>
  <c r="F546" i="48"/>
  <c r="F545" i="48" s="1"/>
  <c r="F544" i="48" s="1"/>
  <c r="N394" i="48"/>
  <c r="J193" i="48"/>
  <c r="N259" i="48"/>
  <c r="L153" i="48"/>
  <c r="N112" i="48"/>
  <c r="J100" i="48"/>
  <c r="J99" i="48" s="1"/>
  <c r="L181" i="48"/>
  <c r="K66" i="48"/>
  <c r="F230" i="48"/>
  <c r="K404" i="48"/>
  <c r="K389" i="48"/>
  <c r="G300" i="48"/>
  <c r="G331" i="48"/>
  <c r="N181" i="48"/>
  <c r="L108" i="48"/>
  <c r="N567" i="48"/>
  <c r="I61" i="48"/>
  <c r="J560" i="48"/>
  <c r="J611" i="48"/>
  <c r="L611" i="48" s="1"/>
  <c r="J516" i="48"/>
  <c r="L389" i="48"/>
  <c r="I357" i="48"/>
  <c r="I356" i="48" s="1"/>
  <c r="I355" i="48" s="1"/>
  <c r="K334" i="48"/>
  <c r="K278" i="48"/>
  <c r="L182" i="48"/>
  <c r="L96" i="48"/>
  <c r="J92" i="48"/>
  <c r="N92" i="48" s="1"/>
  <c r="N108" i="48"/>
  <c r="L526" i="48"/>
  <c r="K338" i="48"/>
  <c r="K115" i="48"/>
  <c r="K74" i="48"/>
  <c r="K612" i="48"/>
  <c r="L554" i="48"/>
  <c r="L451" i="48"/>
  <c r="L315" i="48"/>
  <c r="K212" i="48"/>
  <c r="K78" i="48"/>
  <c r="M239" i="48"/>
  <c r="M238" i="48" s="1"/>
  <c r="N66" i="48"/>
  <c r="I300" i="48"/>
  <c r="I268" i="48" s="1"/>
  <c r="I230" i="48" s="1"/>
  <c r="N218" i="48"/>
  <c r="J217" i="48"/>
  <c r="N222" i="48"/>
  <c r="J221" i="48"/>
  <c r="K181" i="48"/>
  <c r="J180" i="48"/>
  <c r="L162" i="48"/>
  <c r="J161" i="48"/>
  <c r="K162" i="48"/>
  <c r="N317" i="48"/>
  <c r="L171" i="48"/>
  <c r="G170" i="48"/>
  <c r="K518" i="48"/>
  <c r="K443" i="48"/>
  <c r="K89" i="48"/>
  <c r="L89" i="48"/>
  <c r="L702" i="48"/>
  <c r="J701" i="48"/>
  <c r="M586" i="48"/>
  <c r="N586" i="48" s="1"/>
  <c r="N587" i="48"/>
  <c r="N554" i="48"/>
  <c r="F505" i="48"/>
  <c r="F504" i="48" s="1"/>
  <c r="L189" i="48"/>
  <c r="J188" i="48"/>
  <c r="K189" i="48"/>
  <c r="J187" i="48"/>
  <c r="K362" i="48"/>
  <c r="N165" i="48"/>
  <c r="M160" i="48"/>
  <c r="K140" i="48"/>
  <c r="L140" i="48"/>
  <c r="L66" i="48"/>
  <c r="K710" i="48"/>
  <c r="J639" i="48"/>
  <c r="K640" i="48"/>
  <c r="L640" i="48"/>
  <c r="K677" i="48"/>
  <c r="G676" i="48"/>
  <c r="G675" i="48" s="1"/>
  <c r="G674" i="48" s="1"/>
  <c r="G673" i="48" s="1"/>
  <c r="G666" i="48" s="1"/>
  <c r="L686" i="48"/>
  <c r="G685" i="48"/>
  <c r="L606" i="48"/>
  <c r="J590" i="48"/>
  <c r="N590" i="48" s="1"/>
  <c r="L591" i="48"/>
  <c r="K591" i="48"/>
  <c r="K625" i="48"/>
  <c r="L625" i="48"/>
  <c r="K606" i="48"/>
  <c r="G551" i="48"/>
  <c r="K552" i="48"/>
  <c r="G532" i="48"/>
  <c r="K533" i="48"/>
  <c r="G520" i="48"/>
  <c r="K521" i="48"/>
  <c r="N597" i="48"/>
  <c r="L433" i="48"/>
  <c r="K433" i="48"/>
  <c r="G440" i="48"/>
  <c r="G439" i="48" s="1"/>
  <c r="G438" i="48" s="1"/>
  <c r="G437" i="48" s="1"/>
  <c r="G436" i="48" s="1"/>
  <c r="K441" i="48"/>
  <c r="I546" i="48"/>
  <c r="I545" i="48" s="1"/>
  <c r="I544" i="48" s="1"/>
  <c r="L523" i="48"/>
  <c r="K523" i="48"/>
  <c r="K501" i="48"/>
  <c r="L501" i="48"/>
  <c r="J500" i="48"/>
  <c r="N500" i="48" s="1"/>
  <c r="K484" i="48"/>
  <c r="L484" i="48"/>
  <c r="N467" i="48"/>
  <c r="M466" i="48"/>
  <c r="K398" i="48"/>
  <c r="L398" i="48"/>
  <c r="J397" i="48"/>
  <c r="K368" i="48"/>
  <c r="L368" i="48"/>
  <c r="L348" i="48"/>
  <c r="K348" i="48"/>
  <c r="L404" i="48"/>
  <c r="J393" i="48"/>
  <c r="N393" i="48" s="1"/>
  <c r="L394" i="48"/>
  <c r="K394" i="48"/>
  <c r="N399" i="48"/>
  <c r="M398" i="48"/>
  <c r="N369" i="48"/>
  <c r="M368" i="48"/>
  <c r="N368" i="48" s="1"/>
  <c r="L277" i="48"/>
  <c r="K277" i="48"/>
  <c r="K195" i="48"/>
  <c r="G194" i="48"/>
  <c r="K350" i="48"/>
  <c r="K314" i="48"/>
  <c r="L278" i="48"/>
  <c r="J322" i="48"/>
  <c r="N322" i="48" s="1"/>
  <c r="L326" i="48"/>
  <c r="K326" i="48"/>
  <c r="L311" i="48"/>
  <c r="K311" i="48"/>
  <c r="J310" i="48"/>
  <c r="K295" i="48"/>
  <c r="G294" i="48"/>
  <c r="L295" i="48"/>
  <c r="K259" i="48"/>
  <c r="L259" i="48"/>
  <c r="L127" i="48"/>
  <c r="K127" i="48"/>
  <c r="J126" i="48"/>
  <c r="K88" i="48"/>
  <c r="J87" i="48"/>
  <c r="L88" i="48"/>
  <c r="M80" i="48"/>
  <c r="N81" i="48"/>
  <c r="L69" i="48"/>
  <c r="K69" i="48"/>
  <c r="J62" i="48"/>
  <c r="N62" i="48" s="1"/>
  <c r="N57" i="48"/>
  <c r="M56" i="48"/>
  <c r="L42" i="48"/>
  <c r="L17" i="48"/>
  <c r="K17" i="48"/>
  <c r="L336" i="48"/>
  <c r="K336" i="48"/>
  <c r="N336" i="48"/>
  <c r="N326" i="48"/>
  <c r="N227" i="48"/>
  <c r="M226" i="48"/>
  <c r="L115" i="48"/>
  <c r="M21" i="48"/>
  <c r="N22" i="48"/>
  <c r="K333" i="48"/>
  <c r="M106" i="48"/>
  <c r="L76" i="48"/>
  <c r="G52" i="48"/>
  <c r="L53" i="48"/>
  <c r="K53" i="48"/>
  <c r="G27" i="48"/>
  <c r="L28" i="48"/>
  <c r="K28" i="48"/>
  <c r="G39" i="48"/>
  <c r="G38" i="48" s="1"/>
  <c r="G37" i="48" s="1"/>
  <c r="K716" i="48"/>
  <c r="G715" i="48"/>
  <c r="N659" i="48"/>
  <c r="M658" i="48"/>
  <c r="L705" i="48"/>
  <c r="N580" i="48"/>
  <c r="M579" i="48"/>
  <c r="J682" i="48"/>
  <c r="K580" i="48"/>
  <c r="L580" i="48"/>
  <c r="J579" i="48"/>
  <c r="L570" i="48"/>
  <c r="K570" i="48"/>
  <c r="N570" i="48"/>
  <c r="N591" i="48"/>
  <c r="K466" i="48"/>
  <c r="L466" i="48"/>
  <c r="J465" i="48"/>
  <c r="L452" i="48"/>
  <c r="M426" i="48"/>
  <c r="N430" i="48"/>
  <c r="L524" i="48"/>
  <c r="N481" i="48"/>
  <c r="M480" i="48"/>
  <c r="L458" i="48"/>
  <c r="K458" i="48"/>
  <c r="M439" i="48"/>
  <c r="N501" i="48"/>
  <c r="N365" i="48"/>
  <c r="M411" i="48"/>
  <c r="N412" i="48"/>
  <c r="L388" i="48"/>
  <c r="J387" i="48"/>
  <c r="N387" i="48" s="1"/>
  <c r="K388" i="48"/>
  <c r="K366" i="48"/>
  <c r="G365" i="48"/>
  <c r="N352" i="48"/>
  <c r="M348" i="48"/>
  <c r="M347" i="48" s="1"/>
  <c r="G342" i="48"/>
  <c r="G341" i="48"/>
  <c r="L245" i="48"/>
  <c r="K245" i="48"/>
  <c r="N388" i="48"/>
  <c r="L349" i="48"/>
  <c r="L334" i="48"/>
  <c r="M321" i="48"/>
  <c r="N311" i="48"/>
  <c r="M310" i="48"/>
  <c r="K275" i="48"/>
  <c r="G274" i="48"/>
  <c r="G270" i="48" s="1"/>
  <c r="G269" i="48" s="1"/>
  <c r="L253" i="48"/>
  <c r="K253" i="48"/>
  <c r="L338" i="48"/>
  <c r="L314" i="48"/>
  <c r="N153" i="48"/>
  <c r="M126" i="48"/>
  <c r="K323" i="48"/>
  <c r="G322" i="48"/>
  <c r="G321" i="48" s="1"/>
  <c r="G320" i="48" s="1"/>
  <c r="L323" i="48"/>
  <c r="J270" i="48"/>
  <c r="L209" i="48"/>
  <c r="K209" i="48"/>
  <c r="J205" i="48"/>
  <c r="L143" i="48"/>
  <c r="K143" i="48"/>
  <c r="L195" i="48"/>
  <c r="N102" i="48"/>
  <c r="G93" i="48"/>
  <c r="K94" i="48"/>
  <c r="N52" i="48"/>
  <c r="M51" i="48"/>
  <c r="N34" i="48"/>
  <c r="M33" i="48"/>
  <c r="L112" i="48"/>
  <c r="K112" i="48"/>
  <c r="L332" i="48"/>
  <c r="K332" i="48"/>
  <c r="N332" i="48"/>
  <c r="J331" i="48"/>
  <c r="L118" i="48"/>
  <c r="J80" i="48"/>
  <c r="N46" i="48"/>
  <c r="L23" i="48"/>
  <c r="K23" i="48"/>
  <c r="G22" i="48"/>
  <c r="K315" i="48"/>
  <c r="M231" i="48"/>
  <c r="M72" i="48"/>
  <c r="N72" i="48" s="1"/>
  <c r="N73" i="48"/>
  <c r="L13" i="48"/>
  <c r="K13" i="48"/>
  <c r="G12" i="48"/>
  <c r="G11" i="48" s="1"/>
  <c r="G10" i="48" s="1"/>
  <c r="K721" i="48"/>
  <c r="G720" i="48"/>
  <c r="J713" i="48"/>
  <c r="N713" i="48" s="1"/>
  <c r="L652" i="48"/>
  <c r="K652" i="48"/>
  <c r="J675" i="48"/>
  <c r="N612" i="48"/>
  <c r="M611" i="48"/>
  <c r="M596" i="48" s="1"/>
  <c r="K548" i="48"/>
  <c r="L548" i="48"/>
  <c r="J547" i="48"/>
  <c r="L605" i="48"/>
  <c r="K605" i="48"/>
  <c r="J601" i="48"/>
  <c r="L557" i="48"/>
  <c r="K557" i="48"/>
  <c r="M516" i="48"/>
  <c r="N517" i="48"/>
  <c r="K497" i="48"/>
  <c r="N497" i="48"/>
  <c r="L497" i="48"/>
  <c r="J496" i="48"/>
  <c r="J439" i="48"/>
  <c r="L427" i="48"/>
  <c r="K427" i="48"/>
  <c r="L529" i="48"/>
  <c r="K529" i="48"/>
  <c r="L510" i="48"/>
  <c r="K510" i="48"/>
  <c r="N510" i="48"/>
  <c r="J509" i="48"/>
  <c r="K491" i="48"/>
  <c r="L491" i="48"/>
  <c r="K457" i="48"/>
  <c r="M392" i="48"/>
  <c r="N491" i="48"/>
  <c r="G406" i="48"/>
  <c r="G402" i="48" s="1"/>
  <c r="G391" i="48" s="1"/>
  <c r="G385" i="48" s="1"/>
  <c r="K407" i="48"/>
  <c r="L403" i="48"/>
  <c r="J402" i="48"/>
  <c r="N402" i="48" s="1"/>
  <c r="K403" i="48"/>
  <c r="M386" i="48"/>
  <c r="L256" i="48"/>
  <c r="K256" i="48"/>
  <c r="N304" i="48"/>
  <c r="M303" i="48"/>
  <c r="L234" i="48"/>
  <c r="J233" i="48"/>
  <c r="K234" i="48"/>
  <c r="L148" i="48"/>
  <c r="K148" i="48"/>
  <c r="L132" i="48"/>
  <c r="K132" i="48"/>
  <c r="L306" i="48"/>
  <c r="N306" i="48"/>
  <c r="K306" i="48"/>
  <c r="K289" i="48"/>
  <c r="G288" i="48"/>
  <c r="L289" i="48"/>
  <c r="N132" i="48"/>
  <c r="N27" i="48"/>
  <c r="M26" i="48"/>
  <c r="L337" i="48"/>
  <c r="L240" i="48"/>
  <c r="G117" i="48"/>
  <c r="K120" i="48"/>
  <c r="N88" i="48"/>
  <c r="M87" i="48"/>
  <c r="J19" i="48"/>
  <c r="G73" i="48"/>
  <c r="J44" i="48"/>
  <c r="J718" i="48"/>
  <c r="M712" i="48"/>
  <c r="L710" i="48"/>
  <c r="K705" i="48"/>
  <c r="L721" i="48"/>
  <c r="M676" i="48"/>
  <c r="N677" i="48"/>
  <c r="J615" i="48"/>
  <c r="N640" i="48"/>
  <c r="N686" i="48"/>
  <c r="M685" i="48"/>
  <c r="N670" i="48"/>
  <c r="M669" i="48"/>
  <c r="K654" i="48"/>
  <c r="L654" i="48"/>
  <c r="G619" i="48"/>
  <c r="K620" i="48"/>
  <c r="N574" i="48"/>
  <c r="M573" i="48"/>
  <c r="N557" i="48"/>
  <c r="L518" i="48"/>
  <c r="N618" i="48"/>
  <c r="M617" i="48"/>
  <c r="G598" i="48"/>
  <c r="K599" i="48"/>
  <c r="K586" i="48"/>
  <c r="L586" i="48"/>
  <c r="L567" i="48"/>
  <c r="K567" i="48"/>
  <c r="N548" i="48"/>
  <c r="M547" i="48"/>
  <c r="L573" i="48"/>
  <c r="M494" i="48"/>
  <c r="M472" i="48"/>
  <c r="K517" i="48"/>
  <c r="N564" i="48"/>
  <c r="K524" i="48"/>
  <c r="K474" i="48"/>
  <c r="L474" i="48"/>
  <c r="J473" i="48"/>
  <c r="N473" i="48" s="1"/>
  <c r="N460" i="48"/>
  <c r="L460" i="48"/>
  <c r="K460" i="48"/>
  <c r="L430" i="48"/>
  <c r="K430" i="48"/>
  <c r="J426" i="48"/>
  <c r="K452" i="48"/>
  <c r="N484" i="48"/>
  <c r="K373" i="48"/>
  <c r="G372" i="48"/>
  <c r="L373" i="48"/>
  <c r="L366" i="48"/>
  <c r="K349" i="48"/>
  <c r="M342" i="48"/>
  <c r="N342" i="48" s="1"/>
  <c r="M341" i="48"/>
  <c r="N343" i="48"/>
  <c r="J239" i="48"/>
  <c r="K317" i="48"/>
  <c r="L317" i="48"/>
  <c r="J287" i="48"/>
  <c r="L297" i="48"/>
  <c r="K297" i="48"/>
  <c r="N288" i="48"/>
  <c r="N277" i="48"/>
  <c r="L275" i="48"/>
  <c r="L343" i="48"/>
  <c r="K304" i="48"/>
  <c r="L304" i="48"/>
  <c r="J303" i="48"/>
  <c r="K248" i="48"/>
  <c r="G247" i="48"/>
  <c r="G239" i="48" s="1"/>
  <c r="G238" i="48" s="1"/>
  <c r="G237" i="48" s="1"/>
  <c r="N212" i="48"/>
  <c r="M205" i="48"/>
  <c r="L94" i="48"/>
  <c r="L82" i="48"/>
  <c r="L64" i="48"/>
  <c r="G63" i="48"/>
  <c r="K64" i="48"/>
  <c r="L46" i="48"/>
  <c r="K46" i="48"/>
  <c r="J38" i="48"/>
  <c r="N12" i="48"/>
  <c r="J11" i="48"/>
  <c r="K337" i="48"/>
  <c r="L333" i="48"/>
  <c r="G57" i="48"/>
  <c r="L58" i="48"/>
  <c r="K58" i="48"/>
  <c r="G34" i="48"/>
  <c r="L35" i="48"/>
  <c r="K35" i="48"/>
  <c r="N148" i="48"/>
  <c r="G81" i="48"/>
  <c r="G80" i="48" s="1"/>
  <c r="N69" i="48"/>
  <c r="N39" i="48"/>
  <c r="N45" i="48"/>
  <c r="K740" i="47"/>
  <c r="K734" i="47"/>
  <c r="J733" i="47"/>
  <c r="N733" i="47" s="1"/>
  <c r="L734" i="47"/>
  <c r="L740" i="47"/>
  <c r="G673" i="47"/>
  <c r="K674" i="47"/>
  <c r="L662" i="47"/>
  <c r="G539" i="47"/>
  <c r="K540" i="47"/>
  <c r="N621" i="47"/>
  <c r="M617" i="47"/>
  <c r="N617" i="47" s="1"/>
  <c r="M613" i="47"/>
  <c r="N614" i="47"/>
  <c r="L603" i="47"/>
  <c r="J602" i="47"/>
  <c r="N590" i="47"/>
  <c r="M589" i="47"/>
  <c r="K483" i="47"/>
  <c r="L483" i="47"/>
  <c r="J482" i="47"/>
  <c r="N483" i="47"/>
  <c r="N456" i="47"/>
  <c r="L613" i="47"/>
  <c r="K613" i="47"/>
  <c r="L352" i="47"/>
  <c r="K352" i="47"/>
  <c r="J351" i="47"/>
  <c r="L338" i="47"/>
  <c r="K338" i="47"/>
  <c r="K345" i="47"/>
  <c r="J344" i="47"/>
  <c r="L345" i="47"/>
  <c r="L434" i="47"/>
  <c r="K434" i="47"/>
  <c r="L379" i="47"/>
  <c r="K379" i="47"/>
  <c r="G372" i="47"/>
  <c r="K373" i="47"/>
  <c r="N369" i="47"/>
  <c r="M368" i="47"/>
  <c r="N368" i="47" s="1"/>
  <c r="N337" i="47"/>
  <c r="M336" i="47"/>
  <c r="N336" i="47" s="1"/>
  <c r="K330" i="47"/>
  <c r="G329" i="47"/>
  <c r="L330" i="47"/>
  <c r="K314" i="47"/>
  <c r="G313" i="47"/>
  <c r="K276" i="47"/>
  <c r="J269" i="47"/>
  <c r="L276" i="47"/>
  <c r="L256" i="47"/>
  <c r="G255" i="47"/>
  <c r="K256" i="47"/>
  <c r="L246" i="47"/>
  <c r="K246" i="47"/>
  <c r="K239" i="47"/>
  <c r="J238" i="47"/>
  <c r="L239" i="47"/>
  <c r="K183" i="47"/>
  <c r="N183" i="47"/>
  <c r="L183" i="47"/>
  <c r="J182" i="47"/>
  <c r="J204" i="47"/>
  <c r="L211" i="47"/>
  <c r="K211" i="47"/>
  <c r="K178" i="47"/>
  <c r="N178" i="47"/>
  <c r="L178" i="47"/>
  <c r="J177" i="47"/>
  <c r="G167" i="47"/>
  <c r="K168" i="47"/>
  <c r="K155" i="47"/>
  <c r="L155" i="47"/>
  <c r="J128" i="47"/>
  <c r="N128" i="47" s="1"/>
  <c r="L314" i="47"/>
  <c r="L242" i="47"/>
  <c r="K242" i="47"/>
  <c r="N196" i="47"/>
  <c r="G57" i="47"/>
  <c r="K58" i="47"/>
  <c r="G27" i="47"/>
  <c r="K28" i="47"/>
  <c r="L129" i="47"/>
  <c r="K129" i="47"/>
  <c r="L120" i="47"/>
  <c r="K120" i="47"/>
  <c r="J86" i="47"/>
  <c r="G119" i="47"/>
  <c r="L119" i="47" s="1"/>
  <c r="L89" i="47"/>
  <c r="K89" i="47"/>
  <c r="G88" i="47"/>
  <c r="G39" i="47"/>
  <c r="K40" i="47"/>
  <c r="L58" i="47"/>
  <c r="L23" i="47"/>
  <c r="K23" i="47"/>
  <c r="G22" i="47"/>
  <c r="K739" i="47"/>
  <c r="J738" i="47"/>
  <c r="N738" i="47" s="1"/>
  <c r="L739" i="47"/>
  <c r="M732" i="47"/>
  <c r="K705" i="47"/>
  <c r="L705" i="47"/>
  <c r="G704" i="47"/>
  <c r="G703" i="47" s="1"/>
  <c r="G702" i="47" s="1"/>
  <c r="G701" i="47" s="1"/>
  <c r="N653" i="47"/>
  <c r="M635" i="47"/>
  <c r="M652" i="47"/>
  <c r="N652" i="47" s="1"/>
  <c r="N595" i="47"/>
  <c r="G536" i="47"/>
  <c r="K537" i="47"/>
  <c r="K525" i="47"/>
  <c r="J524" i="47"/>
  <c r="L525" i="47"/>
  <c r="G595" i="47"/>
  <c r="L595" i="47" s="1"/>
  <c r="L599" i="47"/>
  <c r="K599" i="47"/>
  <c r="L449" i="47"/>
  <c r="K449" i="47"/>
  <c r="N449" i="47"/>
  <c r="J442" i="47"/>
  <c r="M526" i="47"/>
  <c r="N527" i="47"/>
  <c r="K513" i="47"/>
  <c r="N513" i="47"/>
  <c r="L513" i="47"/>
  <c r="J512" i="47"/>
  <c r="K497" i="47"/>
  <c r="N497" i="47"/>
  <c r="L497" i="47"/>
  <c r="J496" i="47"/>
  <c r="L459" i="47"/>
  <c r="K459" i="47"/>
  <c r="L391" i="47"/>
  <c r="K391" i="47"/>
  <c r="N428" i="47"/>
  <c r="M427" i="47"/>
  <c r="K404" i="47"/>
  <c r="L404" i="47"/>
  <c r="J403" i="47"/>
  <c r="N404" i="47"/>
  <c r="N372" i="47"/>
  <c r="M371" i="47"/>
  <c r="N371" i="47" s="1"/>
  <c r="J296" i="47"/>
  <c r="L297" i="47"/>
  <c r="K297" i="47"/>
  <c r="M375" i="47"/>
  <c r="G333" i="47"/>
  <c r="L334" i="47"/>
  <c r="K334" i="47"/>
  <c r="M351" i="47"/>
  <c r="M345" i="47"/>
  <c r="N346" i="47"/>
  <c r="K336" i="47"/>
  <c r="L336" i="47"/>
  <c r="N311" i="47"/>
  <c r="M310" i="47"/>
  <c r="L227" i="47"/>
  <c r="G226" i="47"/>
  <c r="K227" i="47"/>
  <c r="K284" i="47"/>
  <c r="L284" i="47"/>
  <c r="N284" i="47"/>
  <c r="J283" i="47"/>
  <c r="N221" i="47"/>
  <c r="M220" i="47"/>
  <c r="N220" i="47" s="1"/>
  <c r="N217" i="47"/>
  <c r="M216" i="47"/>
  <c r="J100" i="47"/>
  <c r="L84" i="47"/>
  <c r="G81" i="47"/>
  <c r="K84" i="47"/>
  <c r="N73" i="47"/>
  <c r="M72" i="47"/>
  <c r="N72" i="47" s="1"/>
  <c r="J19" i="47"/>
  <c r="M101" i="47"/>
  <c r="N102" i="47"/>
  <c r="M113" i="47"/>
  <c r="L145" i="47"/>
  <c r="K145" i="47"/>
  <c r="K110" i="47"/>
  <c r="J109" i="47"/>
  <c r="L110" i="47"/>
  <c r="N110" i="47"/>
  <c r="L76" i="47"/>
  <c r="K76" i="47"/>
  <c r="L106" i="47"/>
  <c r="G101" i="47"/>
  <c r="G100" i="47" s="1"/>
  <c r="G99" i="47" s="1"/>
  <c r="K106" i="47"/>
  <c r="G731" i="47"/>
  <c r="M737" i="47"/>
  <c r="N724" i="47"/>
  <c r="M720" i="47"/>
  <c r="L724" i="47"/>
  <c r="G720" i="47"/>
  <c r="L669" i="47"/>
  <c r="N734" i="47"/>
  <c r="K729" i="47"/>
  <c r="K652" i="47"/>
  <c r="G567" i="47"/>
  <c r="K568" i="47"/>
  <c r="L671" i="47"/>
  <c r="G533" i="47"/>
  <c r="K534" i="47"/>
  <c r="L568" i="47"/>
  <c r="N533" i="47"/>
  <c r="M532" i="47"/>
  <c r="N532" i="47" s="1"/>
  <c r="K428" i="47"/>
  <c r="L428" i="47"/>
  <c r="J611" i="47"/>
  <c r="L540" i="47"/>
  <c r="L443" i="47"/>
  <c r="K443" i="47"/>
  <c r="N415" i="47"/>
  <c r="M414" i="47"/>
  <c r="L368" i="47"/>
  <c r="K368" i="47"/>
  <c r="G348" i="47"/>
  <c r="K349" i="47"/>
  <c r="M442" i="47"/>
  <c r="N446" i="47"/>
  <c r="N410" i="47"/>
  <c r="M409" i="47"/>
  <c r="L397" i="47"/>
  <c r="K397" i="47"/>
  <c r="M362" i="47"/>
  <c r="N363" i="47"/>
  <c r="N329" i="47"/>
  <c r="M328" i="47"/>
  <c r="N398" i="47"/>
  <c r="M397" i="47"/>
  <c r="N397" i="47" s="1"/>
  <c r="N379" i="47"/>
  <c r="J408" i="47"/>
  <c r="N391" i="47"/>
  <c r="N352" i="47"/>
  <c r="J194" i="47"/>
  <c r="M276" i="47"/>
  <c r="N277" i="47"/>
  <c r="G258" i="47"/>
  <c r="K259" i="47"/>
  <c r="K232" i="47"/>
  <c r="L232" i="47"/>
  <c r="N232" i="47"/>
  <c r="J231" i="47"/>
  <c r="L218" i="47"/>
  <c r="G217" i="47"/>
  <c r="K218" i="47"/>
  <c r="K184" i="47"/>
  <c r="L184" i="47"/>
  <c r="N184" i="47"/>
  <c r="G173" i="47"/>
  <c r="K174" i="47"/>
  <c r="J361" i="47"/>
  <c r="G293" i="47"/>
  <c r="K294" i="47"/>
  <c r="L273" i="47"/>
  <c r="K273" i="47"/>
  <c r="L250" i="47"/>
  <c r="K250" i="47"/>
  <c r="G249" i="47"/>
  <c r="N205" i="47"/>
  <c r="M204" i="47"/>
  <c r="L168" i="47"/>
  <c r="L174" i="47"/>
  <c r="L69" i="47"/>
  <c r="K69" i="47"/>
  <c r="L117" i="47"/>
  <c r="K117" i="47"/>
  <c r="G114" i="47"/>
  <c r="L94" i="47"/>
  <c r="G93" i="47"/>
  <c r="K94" i="47"/>
  <c r="G34" i="47"/>
  <c r="K35" i="47"/>
  <c r="K119" i="47"/>
  <c r="N155" i="47"/>
  <c r="N81" i="47"/>
  <c r="M80" i="47"/>
  <c r="N80" i="47" s="1"/>
  <c r="N51" i="47"/>
  <c r="M50" i="47"/>
  <c r="N50" i="47" s="1"/>
  <c r="N27" i="47"/>
  <c r="M26" i="47"/>
  <c r="L12" i="47"/>
  <c r="J11" i="47"/>
  <c r="K12" i="47"/>
  <c r="N69" i="47"/>
  <c r="N47" i="47"/>
  <c r="M45" i="47"/>
  <c r="M46" i="47"/>
  <c r="N46" i="47" s="1"/>
  <c r="J703" i="47"/>
  <c r="M704" i="47"/>
  <c r="N714" i="47"/>
  <c r="G666" i="47"/>
  <c r="K667" i="47"/>
  <c r="L667" i="47"/>
  <c r="J576" i="47"/>
  <c r="L589" i="47"/>
  <c r="L695" i="47"/>
  <c r="K695" i="47"/>
  <c r="J694" i="47"/>
  <c r="N695" i="47"/>
  <c r="G659" i="47"/>
  <c r="L644" i="47"/>
  <c r="K644" i="47"/>
  <c r="G618" i="47"/>
  <c r="K619" i="47"/>
  <c r="L677" i="47"/>
  <c r="J676" i="47"/>
  <c r="K677" i="47"/>
  <c r="N666" i="47"/>
  <c r="M658" i="47"/>
  <c r="N602" i="47"/>
  <c r="N687" i="47"/>
  <c r="M686" i="47"/>
  <c r="K607" i="47"/>
  <c r="J606" i="47"/>
  <c r="L607" i="47"/>
  <c r="L468" i="47"/>
  <c r="G467" i="47"/>
  <c r="K468" i="47"/>
  <c r="L548" i="47"/>
  <c r="K548" i="47"/>
  <c r="N548" i="47"/>
  <c r="K507" i="47"/>
  <c r="L507" i="47"/>
  <c r="N507" i="47"/>
  <c r="K476" i="47"/>
  <c r="L476" i="47"/>
  <c r="N476" i="47"/>
  <c r="M464" i="47"/>
  <c r="N464" i="47" s="1"/>
  <c r="N465" i="47"/>
  <c r="G637" i="47"/>
  <c r="L638" i="47"/>
  <c r="K638" i="47"/>
  <c r="L545" i="47"/>
  <c r="K545" i="47"/>
  <c r="N607" i="47"/>
  <c r="K517" i="47"/>
  <c r="N517" i="47"/>
  <c r="L517" i="47"/>
  <c r="J516" i="47"/>
  <c r="K489" i="47"/>
  <c r="N489" i="47"/>
  <c r="L489" i="47"/>
  <c r="J488" i="47"/>
  <c r="K473" i="47"/>
  <c r="N473" i="47"/>
  <c r="L473" i="47"/>
  <c r="L457" i="47"/>
  <c r="K457" i="47"/>
  <c r="G456" i="47"/>
  <c r="K418" i="47"/>
  <c r="L418" i="47"/>
  <c r="G410" i="47"/>
  <c r="K411" i="47"/>
  <c r="K385" i="47"/>
  <c r="L385" i="47"/>
  <c r="N385" i="47"/>
  <c r="N323" i="47"/>
  <c r="M322" i="47"/>
  <c r="J455" i="47"/>
  <c r="K464" i="47"/>
  <c r="L464" i="47"/>
  <c r="J427" i="47"/>
  <c r="K437" i="47"/>
  <c r="N437" i="47"/>
  <c r="L437" i="47"/>
  <c r="N418" i="47"/>
  <c r="K376" i="47"/>
  <c r="N376" i="47"/>
  <c r="J375" i="47"/>
  <c r="L376" i="47"/>
  <c r="M239" i="47"/>
  <c r="N240" i="47"/>
  <c r="N302" i="47"/>
  <c r="M297" i="47"/>
  <c r="M290" i="47"/>
  <c r="N291" i="47"/>
  <c r="L264" i="47"/>
  <c r="K264" i="47"/>
  <c r="G205" i="47"/>
  <c r="K206" i="47"/>
  <c r="G196" i="47"/>
  <c r="K197" i="47"/>
  <c r="K163" i="47"/>
  <c r="J162" i="47"/>
  <c r="L163" i="47"/>
  <c r="L223" i="47"/>
  <c r="G222" i="47"/>
  <c r="K223" i="47"/>
  <c r="K287" i="47"/>
  <c r="N287" i="47"/>
  <c r="L287" i="47"/>
  <c r="K253" i="47"/>
  <c r="G252" i="47"/>
  <c r="N247" i="47"/>
  <c r="M246" i="47"/>
  <c r="N246" i="47" s="1"/>
  <c r="N200" i="47"/>
  <c r="M199" i="47"/>
  <c r="N199" i="47" s="1"/>
  <c r="G52" i="47"/>
  <c r="K53" i="47"/>
  <c r="M11" i="47"/>
  <c r="N12" i="47"/>
  <c r="G125" i="47"/>
  <c r="K126" i="47"/>
  <c r="M91" i="47"/>
  <c r="L82" i="47"/>
  <c r="K82" i="47"/>
  <c r="K63" i="47"/>
  <c r="N63" i="47"/>
  <c r="J62" i="47"/>
  <c r="N62" i="47" s="1"/>
  <c r="L63" i="47"/>
  <c r="N39" i="47"/>
  <c r="M38" i="47"/>
  <c r="N33" i="47"/>
  <c r="M32" i="47"/>
  <c r="M21" i="47"/>
  <c r="N22" i="47"/>
  <c r="L137" i="47"/>
  <c r="K137" i="47"/>
  <c r="J92" i="47"/>
  <c r="K96" i="47"/>
  <c r="L96" i="47"/>
  <c r="N96" i="47"/>
  <c r="L78" i="47"/>
  <c r="K78" i="47"/>
  <c r="L74" i="47"/>
  <c r="G73" i="47"/>
  <c r="K74" i="47"/>
  <c r="N57" i="47"/>
  <c r="M56" i="47"/>
  <c r="L126" i="47"/>
  <c r="N88" i="47"/>
  <c r="M87" i="47"/>
  <c r="G746" i="44"/>
  <c r="M228" i="44"/>
  <c r="M201" i="44"/>
  <c r="M180" i="44"/>
  <c r="G560" i="48" l="1"/>
  <c r="L560" i="48" s="1"/>
  <c r="G358" i="48"/>
  <c r="K358" i="48" s="1"/>
  <c r="L359" i="48"/>
  <c r="J106" i="48"/>
  <c r="L106" i="48" s="1"/>
  <c r="K564" i="48"/>
  <c r="M358" i="48"/>
  <c r="N358" i="48" s="1"/>
  <c r="I505" i="48"/>
  <c r="I504" i="48" s="1"/>
  <c r="M287" i="48"/>
  <c r="M286" i="48" s="1"/>
  <c r="F742" i="47"/>
  <c r="J317" i="47"/>
  <c r="G238" i="47"/>
  <c r="G237" i="47" s="1"/>
  <c r="G236" i="47" s="1"/>
  <c r="N351" i="47"/>
  <c r="L100" i="48"/>
  <c r="N601" i="48"/>
  <c r="J596" i="48"/>
  <c r="K704" i="47"/>
  <c r="K595" i="47"/>
  <c r="L704" i="47"/>
  <c r="L318" i="47"/>
  <c r="L107" i="48"/>
  <c r="L480" i="48"/>
  <c r="J667" i="48"/>
  <c r="L667" i="48" s="1"/>
  <c r="N193" i="48"/>
  <c r="K45" i="48"/>
  <c r="J479" i="48"/>
  <c r="K479" i="48" s="1"/>
  <c r="M357" i="48"/>
  <c r="K107" i="48"/>
  <c r="K668" i="48"/>
  <c r="L123" i="48"/>
  <c r="L45" i="48"/>
  <c r="L701" i="48"/>
  <c r="I60" i="48"/>
  <c r="I31" i="48" s="1"/>
  <c r="I30" i="48" s="1"/>
  <c r="K440" i="48"/>
  <c r="L647" i="48"/>
  <c r="K100" i="48"/>
  <c r="L101" i="48"/>
  <c r="J192" i="48"/>
  <c r="N192" i="48" s="1"/>
  <c r="J91" i="48"/>
  <c r="N91" i="48" s="1"/>
  <c r="K101" i="48"/>
  <c r="K647" i="48"/>
  <c r="L410" i="48"/>
  <c r="K410" i="48"/>
  <c r="K676" i="48"/>
  <c r="L411" i="48"/>
  <c r="K411" i="48"/>
  <c r="J409" i="48"/>
  <c r="L409" i="48" s="1"/>
  <c r="I30" i="47"/>
  <c r="I742" i="47" s="1"/>
  <c r="M195" i="47"/>
  <c r="N195" i="47" s="1"/>
  <c r="N375" i="47"/>
  <c r="L317" i="47"/>
  <c r="J316" i="47"/>
  <c r="K317" i="47"/>
  <c r="J356" i="48"/>
  <c r="F30" i="48"/>
  <c r="F723" i="48" s="1"/>
  <c r="K39" i="48"/>
  <c r="L39" i="48"/>
  <c r="K560" i="48"/>
  <c r="L12" i="48"/>
  <c r="M61" i="48"/>
  <c r="N611" i="48"/>
  <c r="G516" i="48"/>
  <c r="G508" i="48" s="1"/>
  <c r="G507" i="48" s="1"/>
  <c r="G506" i="48" s="1"/>
  <c r="K611" i="48"/>
  <c r="L440" i="48"/>
  <c r="K12" i="48"/>
  <c r="L372" i="48"/>
  <c r="N372" i="48"/>
  <c r="L676" i="48"/>
  <c r="L187" i="48"/>
  <c r="K187" i="48"/>
  <c r="N187" i="48"/>
  <c r="J700" i="48"/>
  <c r="N701" i="48"/>
  <c r="K701" i="48"/>
  <c r="K180" i="48"/>
  <c r="L180" i="48"/>
  <c r="N180" i="48"/>
  <c r="N217" i="48"/>
  <c r="J216" i="48"/>
  <c r="L217" i="48"/>
  <c r="K217" i="48"/>
  <c r="M159" i="48"/>
  <c r="L170" i="48"/>
  <c r="G169" i="48"/>
  <c r="K170" i="48"/>
  <c r="L188" i="48"/>
  <c r="K188" i="48"/>
  <c r="N188" i="48"/>
  <c r="J160" i="48"/>
  <c r="N160" i="48" s="1"/>
  <c r="K161" i="48"/>
  <c r="L161" i="48"/>
  <c r="N161" i="48"/>
  <c r="L221" i="48"/>
  <c r="K221" i="48"/>
  <c r="G357" i="48"/>
  <c r="G356" i="48" s="1"/>
  <c r="G355" i="48" s="1"/>
  <c r="J346" i="48"/>
  <c r="L347" i="48"/>
  <c r="K347" i="48"/>
  <c r="M340" i="48"/>
  <c r="N341" i="48"/>
  <c r="L426" i="48"/>
  <c r="K426" i="48"/>
  <c r="J425" i="48"/>
  <c r="M471" i="48"/>
  <c r="N303" i="48"/>
  <c r="M302" i="48"/>
  <c r="L402" i="48"/>
  <c r="K402" i="48"/>
  <c r="N516" i="48"/>
  <c r="M508" i="48"/>
  <c r="K601" i="48"/>
  <c r="L601" i="48"/>
  <c r="G92" i="48"/>
  <c r="L93" i="48"/>
  <c r="K93" i="48"/>
  <c r="N480" i="48"/>
  <c r="M479" i="48"/>
  <c r="N426" i="48"/>
  <c r="M425" i="48"/>
  <c r="N579" i="48"/>
  <c r="L294" i="48"/>
  <c r="K294" i="48"/>
  <c r="N398" i="48"/>
  <c r="M397" i="48"/>
  <c r="N397" i="48" s="1"/>
  <c r="K393" i="48"/>
  <c r="J392" i="48"/>
  <c r="N392" i="48" s="1"/>
  <c r="L393" i="48"/>
  <c r="K397" i="48"/>
  <c r="L397" i="48"/>
  <c r="G56" i="48"/>
  <c r="L57" i="48"/>
  <c r="K57" i="48"/>
  <c r="N205" i="48"/>
  <c r="M204" i="48"/>
  <c r="K303" i="48"/>
  <c r="L303" i="48"/>
  <c r="J302" i="48"/>
  <c r="N669" i="48"/>
  <c r="M668" i="48"/>
  <c r="L44" i="48"/>
  <c r="K44" i="48"/>
  <c r="K117" i="48"/>
  <c r="L117" i="48"/>
  <c r="N26" i="48"/>
  <c r="M25" i="48"/>
  <c r="N25" i="48" s="1"/>
  <c r="L233" i="48"/>
  <c r="K233" i="48"/>
  <c r="J232" i="48"/>
  <c r="N233" i="48"/>
  <c r="L509" i="48"/>
  <c r="K509" i="48"/>
  <c r="J508" i="48"/>
  <c r="N509" i="48"/>
  <c r="L22" i="48"/>
  <c r="K22" i="48"/>
  <c r="G21" i="48"/>
  <c r="K81" i="48"/>
  <c r="L331" i="48"/>
  <c r="N331" i="48"/>
  <c r="J330" i="48"/>
  <c r="K331" i="48"/>
  <c r="N51" i="48"/>
  <c r="M50" i="48"/>
  <c r="N50" i="48" s="1"/>
  <c r="N101" i="48"/>
  <c r="M100" i="48"/>
  <c r="L270" i="48"/>
  <c r="J269" i="48"/>
  <c r="K270" i="48"/>
  <c r="N270" i="48"/>
  <c r="N126" i="48"/>
  <c r="M111" i="48"/>
  <c r="M309" i="48"/>
  <c r="N310" i="48"/>
  <c r="G340" i="48"/>
  <c r="L341" i="48"/>
  <c r="K341" i="48"/>
  <c r="L365" i="48"/>
  <c r="K365" i="48"/>
  <c r="M410" i="48"/>
  <c r="N411" i="48"/>
  <c r="K372" i="48"/>
  <c r="K579" i="48"/>
  <c r="L579" i="48"/>
  <c r="G714" i="48"/>
  <c r="K715" i="48"/>
  <c r="L715" i="48"/>
  <c r="G51" i="48"/>
  <c r="L52" i="48"/>
  <c r="K52" i="48"/>
  <c r="N226" i="48"/>
  <c r="M221" i="48"/>
  <c r="J61" i="48"/>
  <c r="N80" i="48"/>
  <c r="G111" i="48"/>
  <c r="K520" i="48"/>
  <c r="L520" i="48"/>
  <c r="K551" i="48"/>
  <c r="G547" i="48"/>
  <c r="G546" i="48" s="1"/>
  <c r="G545" i="48" s="1"/>
  <c r="G544" i="48" s="1"/>
  <c r="L551" i="48"/>
  <c r="K590" i="48"/>
  <c r="L590" i="48"/>
  <c r="J638" i="48"/>
  <c r="L639" i="48"/>
  <c r="K639" i="48"/>
  <c r="N639" i="48"/>
  <c r="N718" i="48"/>
  <c r="G33" i="48"/>
  <c r="L34" i="48"/>
  <c r="K34" i="48"/>
  <c r="L11" i="48"/>
  <c r="J10" i="48"/>
  <c r="K11" i="48"/>
  <c r="N11" i="48"/>
  <c r="J238" i="48"/>
  <c r="N238" i="48" s="1"/>
  <c r="K239" i="48"/>
  <c r="L239" i="48"/>
  <c r="K473" i="48"/>
  <c r="L473" i="48"/>
  <c r="J472" i="48"/>
  <c r="N472" i="48" s="1"/>
  <c r="N547" i="48"/>
  <c r="G597" i="48"/>
  <c r="K598" i="48"/>
  <c r="L598" i="48"/>
  <c r="G618" i="48"/>
  <c r="K619" i="48"/>
  <c r="L619" i="48"/>
  <c r="M675" i="48"/>
  <c r="N676" i="48"/>
  <c r="G72" i="48"/>
  <c r="K73" i="48"/>
  <c r="L73" i="48"/>
  <c r="N87" i="48"/>
  <c r="M86" i="48"/>
  <c r="L439" i="48"/>
  <c r="J438" i="48"/>
  <c r="K439" i="48"/>
  <c r="G719" i="48"/>
  <c r="K720" i="48"/>
  <c r="L720" i="48"/>
  <c r="M237" i="48"/>
  <c r="L80" i="48"/>
  <c r="K80" i="48"/>
  <c r="L205" i="48"/>
  <c r="K205" i="48"/>
  <c r="J204" i="48"/>
  <c r="K342" i="48"/>
  <c r="L342" i="48"/>
  <c r="L387" i="48"/>
  <c r="K387" i="48"/>
  <c r="J386" i="48"/>
  <c r="K465" i="48"/>
  <c r="L465" i="48"/>
  <c r="N658" i="48"/>
  <c r="M657" i="48"/>
  <c r="G26" i="48"/>
  <c r="L27" i="48"/>
  <c r="K27" i="48"/>
  <c r="N44" i="48"/>
  <c r="L126" i="48"/>
  <c r="J111" i="48"/>
  <c r="K126" i="48"/>
  <c r="L310" i="48"/>
  <c r="K310" i="48"/>
  <c r="J309" i="48"/>
  <c r="N466" i="48"/>
  <c r="M465" i="48"/>
  <c r="N465" i="48" s="1"/>
  <c r="K500" i="48"/>
  <c r="L500" i="48"/>
  <c r="J37" i="48"/>
  <c r="L38" i="48"/>
  <c r="K38" i="48"/>
  <c r="N38" i="48"/>
  <c r="L63" i="48"/>
  <c r="K63" i="48"/>
  <c r="G62" i="48"/>
  <c r="K99" i="48"/>
  <c r="L99" i="48"/>
  <c r="L247" i="48"/>
  <c r="K247" i="48"/>
  <c r="J286" i="48"/>
  <c r="N617" i="48"/>
  <c r="M616" i="48"/>
  <c r="M560" i="48"/>
  <c r="N560" i="48" s="1"/>
  <c r="N573" i="48"/>
  <c r="M684" i="48"/>
  <c r="N685" i="48"/>
  <c r="M699" i="48"/>
  <c r="G287" i="48"/>
  <c r="G286" i="48" s="1"/>
  <c r="G268" i="48" s="1"/>
  <c r="G230" i="48" s="1"/>
  <c r="L288" i="48"/>
  <c r="K288" i="48"/>
  <c r="K406" i="48"/>
  <c r="L406" i="48"/>
  <c r="K496" i="48"/>
  <c r="L496" i="48"/>
  <c r="J495" i="48"/>
  <c r="N496" i="48"/>
  <c r="J546" i="48"/>
  <c r="K675" i="48"/>
  <c r="L675" i="48"/>
  <c r="J674" i="48"/>
  <c r="J712" i="48"/>
  <c r="N712" i="48" s="1"/>
  <c r="N239" i="48"/>
  <c r="L81" i="48"/>
  <c r="N33" i="48"/>
  <c r="M32" i="48"/>
  <c r="K274" i="48"/>
  <c r="L274" i="48"/>
  <c r="M320" i="48"/>
  <c r="N348" i="48"/>
  <c r="M438" i="48"/>
  <c r="N439" i="48"/>
  <c r="M20" i="48"/>
  <c r="N21" i="48"/>
  <c r="N56" i="48"/>
  <c r="M55" i="48"/>
  <c r="N55" i="48" s="1"/>
  <c r="L87" i="48"/>
  <c r="K87" i="48"/>
  <c r="J86" i="48"/>
  <c r="J321" i="48"/>
  <c r="N321" i="48" s="1"/>
  <c r="L322" i="48"/>
  <c r="K322" i="48"/>
  <c r="G193" i="48"/>
  <c r="L194" i="48"/>
  <c r="K194" i="48"/>
  <c r="K532" i="48"/>
  <c r="L532" i="48"/>
  <c r="G684" i="48"/>
  <c r="K685" i="48"/>
  <c r="L685" i="48"/>
  <c r="K666" i="47"/>
  <c r="L666" i="47"/>
  <c r="K512" i="47"/>
  <c r="L512" i="47"/>
  <c r="J511" i="47"/>
  <c r="N512" i="47"/>
  <c r="J91" i="47"/>
  <c r="M20" i="47"/>
  <c r="N21" i="47"/>
  <c r="N92" i="47"/>
  <c r="M10" i="47"/>
  <c r="N11" i="47"/>
  <c r="L252" i="47"/>
  <c r="K252" i="47"/>
  <c r="G195" i="47"/>
  <c r="K196" i="47"/>
  <c r="L196" i="47"/>
  <c r="K427" i="47"/>
  <c r="J426" i="47"/>
  <c r="L427" i="47"/>
  <c r="M318" i="47"/>
  <c r="N322" i="47"/>
  <c r="L637" i="47"/>
  <c r="K637" i="47"/>
  <c r="G636" i="47"/>
  <c r="K606" i="47"/>
  <c r="L606" i="47"/>
  <c r="N606" i="47"/>
  <c r="L676" i="47"/>
  <c r="J657" i="47"/>
  <c r="K676" i="47"/>
  <c r="L694" i="47"/>
  <c r="K694" i="47"/>
  <c r="J693" i="47"/>
  <c r="N694" i="47"/>
  <c r="K576" i="47"/>
  <c r="J562" i="47"/>
  <c r="L576" i="47"/>
  <c r="J702" i="47"/>
  <c r="K703" i="47"/>
  <c r="L703" i="47"/>
  <c r="N26" i="47"/>
  <c r="M25" i="47"/>
  <c r="N25" i="47" s="1"/>
  <c r="L93" i="47"/>
  <c r="G92" i="47"/>
  <c r="G91" i="47" s="1"/>
  <c r="K93" i="47"/>
  <c r="L249" i="47"/>
  <c r="K249" i="47"/>
  <c r="K231" i="47"/>
  <c r="J230" i="47"/>
  <c r="L231" i="47"/>
  <c r="N231" i="47"/>
  <c r="J188" i="47"/>
  <c r="M361" i="47"/>
  <c r="N362" i="47"/>
  <c r="K348" i="47"/>
  <c r="G344" i="47"/>
  <c r="G343" i="47" s="1"/>
  <c r="G342" i="47" s="1"/>
  <c r="G341" i="47" s="1"/>
  <c r="L348" i="47"/>
  <c r="K567" i="47"/>
  <c r="L567" i="47"/>
  <c r="G563" i="47"/>
  <c r="L81" i="47"/>
  <c r="G80" i="47"/>
  <c r="K81" i="47"/>
  <c r="K101" i="47"/>
  <c r="M525" i="47"/>
  <c r="N526" i="47"/>
  <c r="N676" i="47"/>
  <c r="L738" i="47"/>
  <c r="K738" i="47"/>
  <c r="J737" i="47"/>
  <c r="G87" i="47"/>
  <c r="K88" i="47"/>
  <c r="L88" i="47"/>
  <c r="G26" i="47"/>
  <c r="K27" i="47"/>
  <c r="L27" i="47"/>
  <c r="K128" i="47"/>
  <c r="J113" i="47"/>
  <c r="L128" i="47"/>
  <c r="K167" i="47"/>
  <c r="L167" i="47"/>
  <c r="G162" i="47"/>
  <c r="G161" i="47" s="1"/>
  <c r="G160" i="47" s="1"/>
  <c r="K182" i="47"/>
  <c r="N182" i="47"/>
  <c r="L182" i="47"/>
  <c r="K482" i="47"/>
  <c r="N482" i="47"/>
  <c r="L482" i="47"/>
  <c r="J481" i="47"/>
  <c r="M612" i="47"/>
  <c r="N613" i="47"/>
  <c r="K539" i="47"/>
  <c r="L539" i="47"/>
  <c r="N87" i="47"/>
  <c r="M86" i="47"/>
  <c r="N86" i="47" s="1"/>
  <c r="N91" i="47"/>
  <c r="J454" i="47"/>
  <c r="K488" i="47"/>
  <c r="L488" i="47"/>
  <c r="J487" i="47"/>
  <c r="N488" i="47"/>
  <c r="G617" i="47"/>
  <c r="K618" i="47"/>
  <c r="L618" i="47"/>
  <c r="N276" i="47"/>
  <c r="M269" i="47"/>
  <c r="N414" i="47"/>
  <c r="M413" i="47"/>
  <c r="N413" i="47" s="1"/>
  <c r="L101" i="47"/>
  <c r="L226" i="47"/>
  <c r="G225" i="47"/>
  <c r="K226" i="47"/>
  <c r="J161" i="47"/>
  <c r="N162" i="47"/>
  <c r="G172" i="47"/>
  <c r="K173" i="47"/>
  <c r="L173" i="47"/>
  <c r="K258" i="47"/>
  <c r="L258" i="47"/>
  <c r="N328" i="47"/>
  <c r="M327" i="47"/>
  <c r="L533" i="47"/>
  <c r="K533" i="47"/>
  <c r="G532" i="47"/>
  <c r="L720" i="47"/>
  <c r="G719" i="47"/>
  <c r="K720" i="47"/>
  <c r="N737" i="47"/>
  <c r="M61" i="47"/>
  <c r="K109" i="47"/>
  <c r="L109" i="47"/>
  <c r="J108" i="47"/>
  <c r="N109" i="47"/>
  <c r="M100" i="47"/>
  <c r="N101" i="47"/>
  <c r="N310" i="47"/>
  <c r="M306" i="47"/>
  <c r="N427" i="47"/>
  <c r="M426" i="47"/>
  <c r="K442" i="47"/>
  <c r="J441" i="47"/>
  <c r="L442" i="47"/>
  <c r="J523" i="47"/>
  <c r="M731" i="47"/>
  <c r="N177" i="47"/>
  <c r="L177" i="47"/>
  <c r="J176" i="47"/>
  <c r="K177" i="47"/>
  <c r="J237" i="47"/>
  <c r="L238" i="47"/>
  <c r="L269" i="47"/>
  <c r="J268" i="47"/>
  <c r="K269" i="47"/>
  <c r="G371" i="47"/>
  <c r="K372" i="47"/>
  <c r="L372" i="47"/>
  <c r="M455" i="47"/>
  <c r="L602" i="47"/>
  <c r="K602" i="47"/>
  <c r="N38" i="47"/>
  <c r="M37" i="47"/>
  <c r="N37" i="47" s="1"/>
  <c r="N297" i="47"/>
  <c r="K516" i="47"/>
  <c r="L516" i="47"/>
  <c r="N516" i="47"/>
  <c r="J407" i="47"/>
  <c r="N409" i="47"/>
  <c r="M408" i="47"/>
  <c r="N720" i="47"/>
  <c r="M719" i="47"/>
  <c r="M634" i="47"/>
  <c r="N634" i="47" s="1"/>
  <c r="N635" i="47"/>
  <c r="L73" i="47"/>
  <c r="G72" i="47"/>
  <c r="K73" i="47"/>
  <c r="N32" i="47"/>
  <c r="K375" i="47"/>
  <c r="L375" i="47"/>
  <c r="G455" i="47"/>
  <c r="G454" i="47" s="1"/>
  <c r="G453" i="47" s="1"/>
  <c r="G452" i="47" s="1"/>
  <c r="K456" i="47"/>
  <c r="L456" i="47"/>
  <c r="L467" i="47"/>
  <c r="K467" i="47"/>
  <c r="N658" i="47"/>
  <c r="M657" i="47"/>
  <c r="N704" i="47"/>
  <c r="M703" i="47"/>
  <c r="N56" i="47"/>
  <c r="M55" i="47"/>
  <c r="N55" i="47" s="1"/>
  <c r="K62" i="47"/>
  <c r="L62" i="47"/>
  <c r="J61" i="47"/>
  <c r="L125" i="47"/>
  <c r="K125" i="47"/>
  <c r="G51" i="47"/>
  <c r="K52" i="47"/>
  <c r="L52" i="47"/>
  <c r="L222" i="47"/>
  <c r="G221" i="47"/>
  <c r="K222" i="47"/>
  <c r="G204" i="47"/>
  <c r="G203" i="47" s="1"/>
  <c r="G202" i="47" s="1"/>
  <c r="K205" i="47"/>
  <c r="L205" i="47"/>
  <c r="M283" i="47"/>
  <c r="N290" i="47"/>
  <c r="M238" i="47"/>
  <c r="N239" i="47"/>
  <c r="G409" i="47"/>
  <c r="L410" i="47"/>
  <c r="K410" i="47"/>
  <c r="N686" i="47"/>
  <c r="M685" i="47"/>
  <c r="L659" i="47"/>
  <c r="G658" i="47"/>
  <c r="K659" i="47"/>
  <c r="N45" i="47"/>
  <c r="M44" i="47"/>
  <c r="N44" i="47" s="1"/>
  <c r="L11" i="47"/>
  <c r="J10" i="47"/>
  <c r="K11" i="47"/>
  <c r="L34" i="47"/>
  <c r="G33" i="47"/>
  <c r="K34" i="47"/>
  <c r="G113" i="47"/>
  <c r="L114" i="47"/>
  <c r="K114" i="47"/>
  <c r="N204" i="47"/>
  <c r="M203" i="47"/>
  <c r="K293" i="47"/>
  <c r="G283" i="47"/>
  <c r="G282" i="47" s="1"/>
  <c r="L293" i="47"/>
  <c r="L217" i="47"/>
  <c r="G216" i="47"/>
  <c r="K217" i="47"/>
  <c r="M441" i="47"/>
  <c r="N442" i="47"/>
  <c r="J610" i="47"/>
  <c r="N113" i="47"/>
  <c r="K100" i="47"/>
  <c r="L100" i="47"/>
  <c r="J99" i="47"/>
  <c r="N216" i="47"/>
  <c r="M215" i="47"/>
  <c r="J282" i="47"/>
  <c r="M344" i="47"/>
  <c r="N345" i="47"/>
  <c r="G332" i="47"/>
  <c r="L333" i="47"/>
  <c r="K333" i="47"/>
  <c r="K403" i="47"/>
  <c r="N403" i="47"/>
  <c r="L403" i="47"/>
  <c r="J402" i="47"/>
  <c r="K536" i="47"/>
  <c r="L536" i="47"/>
  <c r="G21" i="47"/>
  <c r="L22" i="47"/>
  <c r="K22" i="47"/>
  <c r="G56" i="47"/>
  <c r="K57" i="47"/>
  <c r="L57" i="47"/>
  <c r="L255" i="47"/>
  <c r="K255" i="47"/>
  <c r="G328" i="47"/>
  <c r="L329" i="47"/>
  <c r="K329" i="47"/>
  <c r="L733" i="47"/>
  <c r="K733" i="47"/>
  <c r="J732" i="47"/>
  <c r="N732" i="47" s="1"/>
  <c r="K361" i="47"/>
  <c r="J360" i="47"/>
  <c r="L361" i="47"/>
  <c r="K496" i="47"/>
  <c r="L496" i="47"/>
  <c r="J495" i="47"/>
  <c r="N496" i="47"/>
  <c r="G38" i="47"/>
  <c r="K39" i="47"/>
  <c r="L39" i="47"/>
  <c r="M194" i="47"/>
  <c r="J203" i="47"/>
  <c r="L204" i="47"/>
  <c r="K313" i="47"/>
  <c r="L313" i="47"/>
  <c r="G306" i="47"/>
  <c r="J343" i="47"/>
  <c r="K351" i="47"/>
  <c r="L351" i="47"/>
  <c r="N589" i="47"/>
  <c r="M576" i="47"/>
  <c r="K673" i="47"/>
  <c r="L673" i="47"/>
  <c r="M312" i="44"/>
  <c r="L358" i="48" l="1"/>
  <c r="K106" i="48"/>
  <c r="N106" i="48"/>
  <c r="N287" i="48"/>
  <c r="I723" i="48"/>
  <c r="L479" i="48"/>
  <c r="L283" i="47"/>
  <c r="K238" i="47"/>
  <c r="L344" i="47"/>
  <c r="K667" i="48"/>
  <c r="J186" i="48"/>
  <c r="N186" i="48" s="1"/>
  <c r="K516" i="48"/>
  <c r="L516" i="48"/>
  <c r="K409" i="48"/>
  <c r="L547" i="48"/>
  <c r="L92" i="47"/>
  <c r="L316" i="47"/>
  <c r="K316" i="47"/>
  <c r="K283" i="47"/>
  <c r="L455" i="47"/>
  <c r="K92" i="47"/>
  <c r="K547" i="48"/>
  <c r="K357" i="48"/>
  <c r="N216" i="48"/>
  <c r="J215" i="48"/>
  <c r="K216" i="48"/>
  <c r="L216" i="48"/>
  <c r="L287" i="48"/>
  <c r="G61" i="48"/>
  <c r="K61" i="48" s="1"/>
  <c r="L357" i="48"/>
  <c r="J159" i="48"/>
  <c r="N159" i="48" s="1"/>
  <c r="L160" i="48"/>
  <c r="K160" i="48"/>
  <c r="M158" i="48"/>
  <c r="L169" i="48"/>
  <c r="G168" i="48"/>
  <c r="K169" i="48"/>
  <c r="K700" i="48"/>
  <c r="N700" i="48"/>
  <c r="L700" i="48"/>
  <c r="M437" i="48"/>
  <c r="N438" i="48"/>
  <c r="M19" i="48"/>
  <c r="N20" i="48"/>
  <c r="N347" i="48"/>
  <c r="M346" i="48"/>
  <c r="N616" i="48"/>
  <c r="M615" i="48"/>
  <c r="N615" i="48" s="1"/>
  <c r="K286" i="48"/>
  <c r="L286" i="48"/>
  <c r="L309" i="48"/>
  <c r="K309" i="48"/>
  <c r="L111" i="48"/>
  <c r="K111" i="48"/>
  <c r="G617" i="48"/>
  <c r="K618" i="48"/>
  <c r="L618" i="48"/>
  <c r="J355" i="48"/>
  <c r="L356" i="48"/>
  <c r="K356" i="48"/>
  <c r="N10" i="48"/>
  <c r="L10" i="48"/>
  <c r="J9" i="48"/>
  <c r="K10" i="48"/>
  <c r="L33" i="48"/>
  <c r="K33" i="48"/>
  <c r="G32" i="48"/>
  <c r="J60" i="48"/>
  <c r="J31" i="48" s="1"/>
  <c r="N309" i="48"/>
  <c r="J329" i="48"/>
  <c r="K21" i="48"/>
  <c r="G20" i="48"/>
  <c r="L21" i="48"/>
  <c r="K508" i="48"/>
  <c r="L508" i="48"/>
  <c r="J507" i="48"/>
  <c r="M391" i="48"/>
  <c r="N204" i="48"/>
  <c r="M203" i="48"/>
  <c r="L56" i="48"/>
  <c r="K56" i="48"/>
  <c r="G55" i="48"/>
  <c r="G91" i="48"/>
  <c r="L92" i="48"/>
  <c r="K92" i="48"/>
  <c r="M507" i="48"/>
  <c r="N508" i="48"/>
  <c r="G683" i="48"/>
  <c r="K684" i="48"/>
  <c r="L684" i="48"/>
  <c r="J320" i="48"/>
  <c r="N320" i="48" s="1"/>
  <c r="L321" i="48"/>
  <c r="K321" i="48"/>
  <c r="K495" i="48"/>
  <c r="L495" i="48"/>
  <c r="J494" i="48"/>
  <c r="N495" i="48"/>
  <c r="M683" i="48"/>
  <c r="N684" i="48"/>
  <c r="N286" i="48"/>
  <c r="L37" i="48"/>
  <c r="K37" i="48"/>
  <c r="N37" i="48"/>
  <c r="L26" i="48"/>
  <c r="K26" i="48"/>
  <c r="G25" i="48"/>
  <c r="L386" i="48"/>
  <c r="K386" i="48"/>
  <c r="L438" i="48"/>
  <c r="J437" i="48"/>
  <c r="K438" i="48"/>
  <c r="M674" i="48"/>
  <c r="N675" i="48"/>
  <c r="M546" i="48"/>
  <c r="L62" i="48"/>
  <c r="M409" i="48"/>
  <c r="N409" i="48" s="1"/>
  <c r="N410" i="48"/>
  <c r="N111" i="48"/>
  <c r="K269" i="48"/>
  <c r="N269" i="48"/>
  <c r="L269" i="48"/>
  <c r="N61" i="48"/>
  <c r="K302" i="48"/>
  <c r="L302" i="48"/>
  <c r="J301" i="48"/>
  <c r="N479" i="48"/>
  <c r="M478" i="48"/>
  <c r="J595" i="48"/>
  <c r="M470" i="48"/>
  <c r="G192" i="48"/>
  <c r="L193" i="48"/>
  <c r="K193" i="48"/>
  <c r="L86" i="48"/>
  <c r="K86" i="48"/>
  <c r="N32" i="48"/>
  <c r="L674" i="48"/>
  <c r="J673" i="48"/>
  <c r="K674" i="48"/>
  <c r="K546" i="48"/>
  <c r="J545" i="48"/>
  <c r="L546" i="48"/>
  <c r="K287" i="48"/>
  <c r="N657" i="48"/>
  <c r="M638" i="48"/>
  <c r="L204" i="48"/>
  <c r="K204" i="48"/>
  <c r="J203" i="48"/>
  <c r="N386" i="48"/>
  <c r="J637" i="48"/>
  <c r="K638" i="48"/>
  <c r="L638" i="48"/>
  <c r="K62" i="48"/>
  <c r="G713" i="48"/>
  <c r="L714" i="48"/>
  <c r="K714" i="48"/>
  <c r="N357" i="48"/>
  <c r="M356" i="48"/>
  <c r="K340" i="48"/>
  <c r="L340" i="48"/>
  <c r="G330" i="48"/>
  <c r="G329" i="48" s="1"/>
  <c r="L232" i="48"/>
  <c r="K232" i="48"/>
  <c r="J231" i="48"/>
  <c r="N232" i="48"/>
  <c r="J699" i="48"/>
  <c r="N699" i="48" s="1"/>
  <c r="M698" i="48"/>
  <c r="M595" i="48"/>
  <c r="N596" i="48"/>
  <c r="G718" i="48"/>
  <c r="L719" i="48"/>
  <c r="K719" i="48"/>
  <c r="N86" i="48"/>
  <c r="L72" i="48"/>
  <c r="K72" i="48"/>
  <c r="G596" i="48"/>
  <c r="G595" i="48" s="1"/>
  <c r="G594" i="48" s="1"/>
  <c r="L597" i="48"/>
  <c r="K597" i="48"/>
  <c r="K472" i="48"/>
  <c r="L472" i="48"/>
  <c r="J471" i="48"/>
  <c r="N471" i="48" s="1"/>
  <c r="J237" i="48"/>
  <c r="L238" i="48"/>
  <c r="K238" i="48"/>
  <c r="N221" i="48"/>
  <c r="M215" i="48"/>
  <c r="L51" i="48"/>
  <c r="K51" i="48"/>
  <c r="G50" i="48"/>
  <c r="N100" i="48"/>
  <c r="M99" i="48"/>
  <c r="N99" i="48" s="1"/>
  <c r="N668" i="48"/>
  <c r="M667" i="48"/>
  <c r="L392" i="48"/>
  <c r="J391" i="48"/>
  <c r="K392" i="48"/>
  <c r="N425" i="48"/>
  <c r="M424" i="48"/>
  <c r="N302" i="48"/>
  <c r="M301" i="48"/>
  <c r="L425" i="48"/>
  <c r="K425" i="48"/>
  <c r="J424" i="48"/>
  <c r="M330" i="48"/>
  <c r="N340" i="48"/>
  <c r="J345" i="48"/>
  <c r="L346" i="48"/>
  <c r="K346" i="48"/>
  <c r="J202" i="47"/>
  <c r="L203" i="47"/>
  <c r="K203" i="47"/>
  <c r="N203" i="47"/>
  <c r="M202" i="47"/>
  <c r="M282" i="47"/>
  <c r="N282" i="47" s="1"/>
  <c r="N283" i="47"/>
  <c r="J60" i="47"/>
  <c r="K343" i="47"/>
  <c r="J342" i="47"/>
  <c r="L343" i="47"/>
  <c r="K99" i="47"/>
  <c r="L99" i="47"/>
  <c r="N441" i="47"/>
  <c r="M440" i="47"/>
  <c r="L221" i="47"/>
  <c r="G220" i="47"/>
  <c r="K221" i="47"/>
  <c r="G50" i="47"/>
  <c r="K51" i="47"/>
  <c r="L51" i="47"/>
  <c r="K237" i="47"/>
  <c r="J236" i="47"/>
  <c r="L237" i="47"/>
  <c r="L441" i="47"/>
  <c r="J440" i="47"/>
  <c r="K441" i="47"/>
  <c r="N61" i="47"/>
  <c r="N327" i="47"/>
  <c r="M326" i="47"/>
  <c r="L162" i="47"/>
  <c r="L225" i="47"/>
  <c r="K225" i="47"/>
  <c r="J453" i="47"/>
  <c r="K454" i="47"/>
  <c r="L454" i="47"/>
  <c r="K481" i="47"/>
  <c r="N481" i="47"/>
  <c r="L481" i="47"/>
  <c r="G86" i="47"/>
  <c r="L87" i="47"/>
  <c r="K87" i="47"/>
  <c r="K230" i="47"/>
  <c r="L230" i="47"/>
  <c r="N230" i="47"/>
  <c r="L693" i="47"/>
  <c r="K693" i="47"/>
  <c r="N693" i="47"/>
  <c r="J692" i="47"/>
  <c r="K344" i="47"/>
  <c r="K204" i="47"/>
  <c r="G327" i="47"/>
  <c r="L328" i="47"/>
  <c r="K328" i="47"/>
  <c r="G20" i="47"/>
  <c r="K21" i="47"/>
  <c r="L21" i="47"/>
  <c r="L33" i="47"/>
  <c r="G32" i="47"/>
  <c r="K33" i="47"/>
  <c r="G657" i="47"/>
  <c r="G656" i="47" s="1"/>
  <c r="L658" i="47"/>
  <c r="K658" i="47"/>
  <c r="M237" i="47"/>
  <c r="N238" i="47"/>
  <c r="L268" i="47"/>
  <c r="J267" i="47"/>
  <c r="J229" i="47" s="1"/>
  <c r="K268" i="47"/>
  <c r="J522" i="47"/>
  <c r="K108" i="47"/>
  <c r="N108" i="47"/>
  <c r="L108" i="47"/>
  <c r="G524" i="47"/>
  <c r="L532" i="47"/>
  <c r="K532" i="47"/>
  <c r="K161" i="47"/>
  <c r="J160" i="47"/>
  <c r="L161" i="47"/>
  <c r="N161" i="47"/>
  <c r="N269" i="47"/>
  <c r="M268" i="47"/>
  <c r="L617" i="47"/>
  <c r="K617" i="47"/>
  <c r="G612" i="47"/>
  <c r="L737" i="47"/>
  <c r="K737" i="47"/>
  <c r="L80" i="47"/>
  <c r="K80" i="47"/>
  <c r="J561" i="47"/>
  <c r="L636" i="47"/>
  <c r="G635" i="47"/>
  <c r="K636" i="47"/>
  <c r="N318" i="47"/>
  <c r="M317" i="47"/>
  <c r="L91" i="47"/>
  <c r="K91" i="47"/>
  <c r="N576" i="47"/>
  <c r="M562" i="47"/>
  <c r="G408" i="47"/>
  <c r="L409" i="47"/>
  <c r="K409" i="47"/>
  <c r="K371" i="47"/>
  <c r="L371" i="47"/>
  <c r="G360" i="47"/>
  <c r="G359" i="47" s="1"/>
  <c r="G358" i="47" s="1"/>
  <c r="G37" i="47"/>
  <c r="K38" i="47"/>
  <c r="L38" i="47"/>
  <c r="L732" i="47"/>
  <c r="K732" i="47"/>
  <c r="J731" i="47"/>
  <c r="N731" i="47" s="1"/>
  <c r="K402" i="47"/>
  <c r="N402" i="47"/>
  <c r="L402" i="47"/>
  <c r="L332" i="47"/>
  <c r="K332" i="47"/>
  <c r="K10" i="47"/>
  <c r="L10" i="47"/>
  <c r="J9" i="47"/>
  <c r="N703" i="47"/>
  <c r="M702" i="47"/>
  <c r="L306" i="47"/>
  <c r="G305" i="47"/>
  <c r="K306" i="47"/>
  <c r="K495" i="47"/>
  <c r="L495" i="47"/>
  <c r="N495" i="47"/>
  <c r="J359" i="47"/>
  <c r="G55" i="47"/>
  <c r="K56" i="47"/>
  <c r="L56" i="47"/>
  <c r="M343" i="47"/>
  <c r="N344" i="47"/>
  <c r="N215" i="47"/>
  <c r="M214" i="47"/>
  <c r="N214" i="47" s="1"/>
  <c r="L216" i="47"/>
  <c r="G215" i="47"/>
  <c r="K216" i="47"/>
  <c r="N657" i="47"/>
  <c r="M656" i="47"/>
  <c r="L72" i="47"/>
  <c r="K72" i="47"/>
  <c r="G61" i="47"/>
  <c r="K61" i="47" s="1"/>
  <c r="M407" i="47"/>
  <c r="N408" i="47"/>
  <c r="N426" i="47"/>
  <c r="M425" i="47"/>
  <c r="G171" i="47"/>
  <c r="K172" i="47"/>
  <c r="L172" i="47"/>
  <c r="K162" i="47"/>
  <c r="K455" i="47"/>
  <c r="M524" i="47"/>
  <c r="N525" i="47"/>
  <c r="M360" i="47"/>
  <c r="N361" i="47"/>
  <c r="M19" i="47"/>
  <c r="N19" i="47" s="1"/>
  <c r="N20" i="47"/>
  <c r="K282" i="47"/>
  <c r="L282" i="47"/>
  <c r="K176" i="47"/>
  <c r="N176" i="47"/>
  <c r="L176" i="47"/>
  <c r="J170" i="47"/>
  <c r="M99" i="47"/>
  <c r="N99" i="47" s="1"/>
  <c r="N100" i="47"/>
  <c r="L719" i="47"/>
  <c r="G718" i="47"/>
  <c r="G717" i="47" s="1"/>
  <c r="K719" i="47"/>
  <c r="K487" i="47"/>
  <c r="L487" i="47"/>
  <c r="J486" i="47"/>
  <c r="N487" i="47"/>
  <c r="M611" i="47"/>
  <c r="N612" i="47"/>
  <c r="K113" i="47"/>
  <c r="L113" i="47"/>
  <c r="G25" i="47"/>
  <c r="K26" i="47"/>
  <c r="L26" i="47"/>
  <c r="L563" i="47"/>
  <c r="G562" i="47"/>
  <c r="G561" i="47" s="1"/>
  <c r="G560" i="47" s="1"/>
  <c r="K563" i="47"/>
  <c r="J701" i="47"/>
  <c r="K702" i="47"/>
  <c r="L702" i="47"/>
  <c r="K426" i="47"/>
  <c r="L426" i="47"/>
  <c r="J425" i="47"/>
  <c r="G194" i="47"/>
  <c r="L195" i="47"/>
  <c r="K195" i="47"/>
  <c r="N10" i="47"/>
  <c r="K511" i="47"/>
  <c r="L511" i="47"/>
  <c r="J510" i="47"/>
  <c r="J494" i="47" s="1"/>
  <c r="N511" i="47"/>
  <c r="N194" i="47"/>
  <c r="M188" i="47"/>
  <c r="N188" i="47" s="1"/>
  <c r="N719" i="47"/>
  <c r="M718" i="47"/>
  <c r="N455" i="47"/>
  <c r="M454" i="47"/>
  <c r="M305" i="47"/>
  <c r="N306" i="47"/>
  <c r="J656" i="47"/>
  <c r="M466" i="44"/>
  <c r="M370" i="44"/>
  <c r="M324" i="44"/>
  <c r="L657" i="47" l="1"/>
  <c r="K657" i="47"/>
  <c r="G60" i="48"/>
  <c r="G31" i="48" s="1"/>
  <c r="L31" i="48" s="1"/>
  <c r="L61" i="48"/>
  <c r="N215" i="48"/>
  <c r="N440" i="47"/>
  <c r="L61" i="47"/>
  <c r="N425" i="47"/>
  <c r="N656" i="47"/>
  <c r="N424" i="48"/>
  <c r="J158" i="48"/>
  <c r="N158" i="48" s="1"/>
  <c r="K159" i="48"/>
  <c r="L159" i="48"/>
  <c r="L168" i="48"/>
  <c r="K168" i="48"/>
  <c r="L215" i="48"/>
  <c r="K215" i="48"/>
  <c r="L345" i="48"/>
  <c r="K345" i="48"/>
  <c r="N638" i="48"/>
  <c r="M637" i="48"/>
  <c r="N637" i="48" s="1"/>
  <c r="K545" i="48"/>
  <c r="J544" i="48"/>
  <c r="L545" i="48"/>
  <c r="G186" i="48"/>
  <c r="L192" i="48"/>
  <c r="K192" i="48"/>
  <c r="K596" i="48"/>
  <c r="K301" i="48"/>
  <c r="L301" i="48"/>
  <c r="J300" i="48"/>
  <c r="M545" i="48"/>
  <c r="N546" i="48"/>
  <c r="L437" i="48"/>
  <c r="J436" i="48"/>
  <c r="K437" i="48"/>
  <c r="N391" i="48"/>
  <c r="M385" i="48"/>
  <c r="L329" i="48"/>
  <c r="K329" i="48"/>
  <c r="M436" i="48"/>
  <c r="N437" i="48"/>
  <c r="L391" i="48"/>
  <c r="K391" i="48"/>
  <c r="N595" i="48"/>
  <c r="M594" i="48"/>
  <c r="L231" i="48"/>
  <c r="K231" i="48"/>
  <c r="N231" i="48"/>
  <c r="L203" i="48"/>
  <c r="K203" i="48"/>
  <c r="J179" i="48"/>
  <c r="L596" i="48"/>
  <c r="K25" i="48"/>
  <c r="L25" i="48"/>
  <c r="K494" i="48"/>
  <c r="L494" i="48"/>
  <c r="J478" i="48"/>
  <c r="N478" i="48" s="1"/>
  <c r="N494" i="48"/>
  <c r="G682" i="48"/>
  <c r="K683" i="48"/>
  <c r="L683" i="48"/>
  <c r="K507" i="48"/>
  <c r="L507" i="48"/>
  <c r="J506" i="48"/>
  <c r="G19" i="48"/>
  <c r="K20" i="48"/>
  <c r="L20" i="48"/>
  <c r="L330" i="48"/>
  <c r="M60" i="48"/>
  <c r="M329" i="48"/>
  <c r="N329" i="48" s="1"/>
  <c r="N330" i="48"/>
  <c r="N301" i="48"/>
  <c r="M300" i="48"/>
  <c r="K237" i="48"/>
  <c r="L237" i="48"/>
  <c r="L718" i="48"/>
  <c r="K718" i="48"/>
  <c r="J698" i="48"/>
  <c r="N698" i="48" s="1"/>
  <c r="M477" i="48"/>
  <c r="M673" i="48"/>
  <c r="N673" i="48" s="1"/>
  <c r="N674" i="48"/>
  <c r="L320" i="48"/>
  <c r="K320" i="48"/>
  <c r="L91" i="48"/>
  <c r="K91" i="48"/>
  <c r="N203" i="48"/>
  <c r="M179" i="48"/>
  <c r="N179" i="48" s="1"/>
  <c r="K32" i="48"/>
  <c r="L32" i="48"/>
  <c r="J8" i="48"/>
  <c r="G616" i="48"/>
  <c r="K617" i="48"/>
  <c r="L617" i="48"/>
  <c r="N19" i="48"/>
  <c r="M9" i="48"/>
  <c r="K424" i="48"/>
  <c r="L424" i="48"/>
  <c r="N667" i="48"/>
  <c r="K50" i="48"/>
  <c r="L50" i="48"/>
  <c r="K471" i="48"/>
  <c r="L471" i="48"/>
  <c r="J470" i="48"/>
  <c r="N470" i="48" s="1"/>
  <c r="N237" i="48"/>
  <c r="N356" i="48"/>
  <c r="M355" i="48"/>
  <c r="N355" i="48" s="1"/>
  <c r="G712" i="48"/>
  <c r="L713" i="48"/>
  <c r="K713" i="48"/>
  <c r="L637" i="48"/>
  <c r="K637" i="48"/>
  <c r="K673" i="48"/>
  <c r="L673" i="48"/>
  <c r="J666" i="48"/>
  <c r="L595" i="48"/>
  <c r="J594" i="48"/>
  <c r="K595" i="48"/>
  <c r="J385" i="48"/>
  <c r="M682" i="48"/>
  <c r="N682" i="48" s="1"/>
  <c r="N683" i="48"/>
  <c r="M506" i="48"/>
  <c r="N507" i="48"/>
  <c r="K55" i="48"/>
  <c r="L55" i="48"/>
  <c r="K330" i="48"/>
  <c r="L355" i="48"/>
  <c r="K355" i="48"/>
  <c r="N346" i="48"/>
  <c r="M345" i="48"/>
  <c r="N345" i="48" s="1"/>
  <c r="K494" i="47"/>
  <c r="N494" i="47"/>
  <c r="L494" i="47"/>
  <c r="J493" i="47"/>
  <c r="K701" i="47"/>
  <c r="L701" i="47"/>
  <c r="K486" i="47"/>
  <c r="N486" i="47"/>
  <c r="L486" i="47"/>
  <c r="N170" i="47"/>
  <c r="M523" i="47"/>
  <c r="N524" i="47"/>
  <c r="K55" i="47"/>
  <c r="L55" i="47"/>
  <c r="M236" i="47"/>
  <c r="N237" i="47"/>
  <c r="L692" i="47"/>
  <c r="K692" i="47"/>
  <c r="J685" i="47"/>
  <c r="N692" i="47"/>
  <c r="K86" i="47"/>
  <c r="L86" i="47"/>
  <c r="K50" i="47"/>
  <c r="L50" i="47"/>
  <c r="L202" i="47"/>
  <c r="K202" i="47"/>
  <c r="J181" i="47"/>
  <c r="K656" i="47"/>
  <c r="L656" i="47"/>
  <c r="G170" i="47"/>
  <c r="L170" i="47" s="1"/>
  <c r="K171" i="47"/>
  <c r="L171" i="47"/>
  <c r="M342" i="47"/>
  <c r="N343" i="47"/>
  <c r="L360" i="47"/>
  <c r="G296" i="47"/>
  <c r="L305" i="47"/>
  <c r="K305" i="47"/>
  <c r="J8" i="47"/>
  <c r="G407" i="47"/>
  <c r="K408" i="47"/>
  <c r="L408" i="47"/>
  <c r="L635" i="47"/>
  <c r="G634" i="47"/>
  <c r="K635" i="47"/>
  <c r="K562" i="47"/>
  <c r="N268" i="47"/>
  <c r="K160" i="47"/>
  <c r="L160" i="47"/>
  <c r="N160" i="47"/>
  <c r="G523" i="47"/>
  <c r="K524" i="47"/>
  <c r="L524" i="47"/>
  <c r="L32" i="47"/>
  <c r="K32" i="47"/>
  <c r="L327" i="47"/>
  <c r="K327" i="47"/>
  <c r="G326" i="47"/>
  <c r="M60" i="47"/>
  <c r="K342" i="47"/>
  <c r="J341" i="47"/>
  <c r="L342" i="47"/>
  <c r="N454" i="47"/>
  <c r="M453" i="47"/>
  <c r="M610" i="47"/>
  <c r="N610" i="47" s="1"/>
  <c r="N611" i="47"/>
  <c r="M359" i="47"/>
  <c r="N360" i="47"/>
  <c r="M401" i="47"/>
  <c r="N407" i="47"/>
  <c r="G19" i="47"/>
  <c r="L20" i="47"/>
  <c r="K20" i="47"/>
  <c r="M717" i="47"/>
  <c r="M9" i="47"/>
  <c r="G188" i="47"/>
  <c r="L194" i="47"/>
  <c r="K194" i="47"/>
  <c r="L25" i="47"/>
  <c r="K25" i="47"/>
  <c r="L215" i="47"/>
  <c r="G214" i="47"/>
  <c r="K215" i="47"/>
  <c r="K359" i="47"/>
  <c r="J358" i="47"/>
  <c r="L359" i="47"/>
  <c r="L731" i="47"/>
  <c r="J718" i="47"/>
  <c r="N718" i="47" s="1"/>
  <c r="K731" i="47"/>
  <c r="N562" i="47"/>
  <c r="M561" i="47"/>
  <c r="N317" i="47"/>
  <c r="M316" i="47"/>
  <c r="N316" i="47" s="1"/>
  <c r="G611" i="47"/>
  <c r="K612" i="47"/>
  <c r="L612" i="47"/>
  <c r="J452" i="47"/>
  <c r="L453" i="47"/>
  <c r="K453" i="47"/>
  <c r="N326" i="47"/>
  <c r="M325" i="47"/>
  <c r="N325" i="47" s="1"/>
  <c r="K236" i="47"/>
  <c r="L236" i="47"/>
  <c r="L220" i="47"/>
  <c r="K220" i="47"/>
  <c r="N305" i="47"/>
  <c r="M296" i="47"/>
  <c r="N296" i="47" s="1"/>
  <c r="K510" i="47"/>
  <c r="N510" i="47"/>
  <c r="L510" i="47"/>
  <c r="K425" i="47"/>
  <c r="L425" i="47"/>
  <c r="G60" i="47"/>
  <c r="G31" i="47" s="1"/>
  <c r="K360" i="47"/>
  <c r="N702" i="47"/>
  <c r="M701" i="47"/>
  <c r="N701" i="47" s="1"/>
  <c r="J401" i="47"/>
  <c r="K37" i="47"/>
  <c r="L37" i="47"/>
  <c r="L562" i="47"/>
  <c r="K440" i="47"/>
  <c r="L440" i="47"/>
  <c r="J31" i="47"/>
  <c r="K561" i="47"/>
  <c r="J560" i="47"/>
  <c r="J521" i="47" s="1"/>
  <c r="L561" i="47"/>
  <c r="N202" i="47"/>
  <c r="M181" i="47"/>
  <c r="M301" i="44"/>
  <c r="J301" i="44"/>
  <c r="M244" i="44"/>
  <c r="N181" i="47" l="1"/>
  <c r="L60" i="47"/>
  <c r="M666" i="48"/>
  <c r="N666" i="48" s="1"/>
  <c r="K60" i="48"/>
  <c r="L60" i="48"/>
  <c r="K170" i="47"/>
  <c r="K60" i="47"/>
  <c r="N436" i="48"/>
  <c r="K31" i="48"/>
  <c r="K158" i="48"/>
  <c r="L158" i="48"/>
  <c r="L594" i="48"/>
  <c r="K594" i="48"/>
  <c r="K506" i="48"/>
  <c r="J505" i="48"/>
  <c r="L506" i="48"/>
  <c r="G179" i="48"/>
  <c r="L179" i="48" s="1"/>
  <c r="L186" i="48"/>
  <c r="K186" i="48"/>
  <c r="N506" i="48"/>
  <c r="G699" i="48"/>
  <c r="L712" i="48"/>
  <c r="K712" i="48"/>
  <c r="L682" i="48"/>
  <c r="K682" i="48"/>
  <c r="N594" i="48"/>
  <c r="M544" i="48"/>
  <c r="N544" i="48" s="1"/>
  <c r="N545" i="48"/>
  <c r="L385" i="48"/>
  <c r="K385" i="48"/>
  <c r="L666" i="48"/>
  <c r="K666" i="48"/>
  <c r="K470" i="48"/>
  <c r="L470" i="48"/>
  <c r="L436" i="48"/>
  <c r="K436" i="48"/>
  <c r="K300" i="48"/>
  <c r="L300" i="48"/>
  <c r="J268" i="48"/>
  <c r="K544" i="48"/>
  <c r="L544" i="48"/>
  <c r="M8" i="48"/>
  <c r="N9" i="48"/>
  <c r="G615" i="48"/>
  <c r="L616" i="48"/>
  <c r="K616" i="48"/>
  <c r="N300" i="48"/>
  <c r="M268" i="48"/>
  <c r="N60" i="48"/>
  <c r="M31" i="48"/>
  <c r="L19" i="48"/>
  <c r="G9" i="48"/>
  <c r="K19" i="48"/>
  <c r="K478" i="48"/>
  <c r="L478" i="48"/>
  <c r="J477" i="48"/>
  <c r="N477" i="48" s="1"/>
  <c r="N385" i="48"/>
  <c r="J520" i="47"/>
  <c r="M358" i="47"/>
  <c r="N358" i="47" s="1"/>
  <c r="N359" i="47"/>
  <c r="L31" i="47"/>
  <c r="J30" i="47"/>
  <c r="K31" i="47"/>
  <c r="N561" i="47"/>
  <c r="M560" i="47"/>
  <c r="N560" i="47" s="1"/>
  <c r="M8" i="47"/>
  <c r="N9" i="47"/>
  <c r="N453" i="47"/>
  <c r="M452" i="47"/>
  <c r="N452" i="47" s="1"/>
  <c r="G522" i="47"/>
  <c r="K523" i="47"/>
  <c r="L523" i="47"/>
  <c r="M267" i="47"/>
  <c r="N267" i="47" s="1"/>
  <c r="L634" i="47"/>
  <c r="K634" i="47"/>
  <c r="G401" i="47"/>
  <c r="K407" i="47"/>
  <c r="L407" i="47"/>
  <c r="K493" i="47"/>
  <c r="N493" i="47"/>
  <c r="L493" i="47"/>
  <c r="K560" i="47"/>
  <c r="L560" i="47"/>
  <c r="G610" i="47"/>
  <c r="L611" i="47"/>
  <c r="K611" i="47"/>
  <c r="N60" i="47"/>
  <c r="M31" i="47"/>
  <c r="M341" i="47"/>
  <c r="N341" i="47" s="1"/>
  <c r="N342" i="47"/>
  <c r="K358" i="47"/>
  <c r="L358" i="47"/>
  <c r="K326" i="47"/>
  <c r="G325" i="47"/>
  <c r="L326" i="47"/>
  <c r="L296" i="47"/>
  <c r="K296" i="47"/>
  <c r="G267" i="47"/>
  <c r="L214" i="47"/>
  <c r="K214" i="47"/>
  <c r="G9" i="47"/>
  <c r="L19" i="47"/>
  <c r="K19" i="47"/>
  <c r="K401" i="47"/>
  <c r="L401" i="47"/>
  <c r="K452" i="47"/>
  <c r="L452" i="47"/>
  <c r="J717" i="47"/>
  <c r="L718" i="47"/>
  <c r="K718" i="47"/>
  <c r="G181" i="47"/>
  <c r="K181" i="47" s="1"/>
  <c r="L188" i="47"/>
  <c r="K188" i="47"/>
  <c r="N401" i="47"/>
  <c r="K341" i="47"/>
  <c r="L341" i="47"/>
  <c r="K685" i="47"/>
  <c r="L685" i="47"/>
  <c r="N685" i="47"/>
  <c r="N236" i="47"/>
  <c r="M522" i="47"/>
  <c r="N523" i="47"/>
  <c r="M77" i="44"/>
  <c r="B26" i="43"/>
  <c r="J742" i="47" l="1"/>
  <c r="L181" i="47"/>
  <c r="K477" i="48"/>
  <c r="L477" i="48"/>
  <c r="G8" i="48"/>
  <c r="L9" i="48"/>
  <c r="K9" i="48"/>
  <c r="N268" i="48"/>
  <c r="M230" i="48"/>
  <c r="K615" i="48"/>
  <c r="L615" i="48"/>
  <c r="G505" i="48"/>
  <c r="G504" i="48" s="1"/>
  <c r="K179" i="48"/>
  <c r="G698" i="48"/>
  <c r="L699" i="48"/>
  <c r="K699" i="48"/>
  <c r="G30" i="48"/>
  <c r="N31" i="48"/>
  <c r="N8" i="48"/>
  <c r="L268" i="48"/>
  <c r="K268" i="48"/>
  <c r="J230" i="48"/>
  <c r="M505" i="48"/>
  <c r="J504" i="48"/>
  <c r="G229" i="47"/>
  <c r="L267" i="47"/>
  <c r="K267" i="47"/>
  <c r="L325" i="47"/>
  <c r="K325" i="47"/>
  <c r="G521" i="47"/>
  <c r="K522" i="47"/>
  <c r="L522" i="47"/>
  <c r="N8" i="47"/>
  <c r="N31" i="47"/>
  <c r="G8" i="47"/>
  <c r="L9" i="47"/>
  <c r="K9" i="47"/>
  <c r="M521" i="47"/>
  <c r="N522" i="47"/>
  <c r="L717" i="47"/>
  <c r="K717" i="47"/>
  <c r="K610" i="47"/>
  <c r="L610" i="47"/>
  <c r="M229" i="47"/>
  <c r="N229" i="47" s="1"/>
  <c r="N717" i="47"/>
  <c r="G469" i="44"/>
  <c r="G275" i="44"/>
  <c r="G260" i="44"/>
  <c r="K505" i="48" l="1"/>
  <c r="L505" i="48"/>
  <c r="M504" i="48"/>
  <c r="N504" i="48" s="1"/>
  <c r="N505" i="48"/>
  <c r="L698" i="48"/>
  <c r="K698" i="48"/>
  <c r="N230" i="48"/>
  <c r="G723" i="48"/>
  <c r="G727" i="48" s="1"/>
  <c r="K8" i="48"/>
  <c r="L8" i="48"/>
  <c r="L230" i="48"/>
  <c r="K230" i="48"/>
  <c r="J30" i="48"/>
  <c r="K504" i="48"/>
  <c r="L504" i="48"/>
  <c r="M30" i="48"/>
  <c r="M520" i="47"/>
  <c r="N520" i="47" s="1"/>
  <c r="N521" i="47"/>
  <c r="M30" i="47"/>
  <c r="G520" i="47"/>
  <c r="K521" i="47"/>
  <c r="L521" i="47"/>
  <c r="K229" i="47"/>
  <c r="L229" i="47"/>
  <c r="G30" i="47"/>
  <c r="K8" i="47"/>
  <c r="L8" i="47"/>
  <c r="G59" i="44"/>
  <c r="G742" i="47" l="1"/>
  <c r="G746" i="47" s="1"/>
  <c r="L30" i="48"/>
  <c r="K30" i="48"/>
  <c r="J723" i="48"/>
  <c r="N30" i="48"/>
  <c r="M723" i="48"/>
  <c r="K520" i="47"/>
  <c r="L520" i="47"/>
  <c r="N30" i="47"/>
  <c r="M742" i="47"/>
  <c r="N742" i="47" s="1"/>
  <c r="L30" i="47"/>
  <c r="K30" i="47"/>
  <c r="M291" i="44"/>
  <c r="M278" i="44"/>
  <c r="M241" i="44"/>
  <c r="M240" i="44" s="1"/>
  <c r="M235" i="44"/>
  <c r="M103" i="44"/>
  <c r="N103" i="44" s="1"/>
  <c r="N14" i="44"/>
  <c r="N16" i="44"/>
  <c r="N18" i="44"/>
  <c r="N24" i="44"/>
  <c r="N29" i="44"/>
  <c r="N36" i="44"/>
  <c r="N41" i="44"/>
  <c r="N43" i="44"/>
  <c r="N49" i="44"/>
  <c r="N54" i="44"/>
  <c r="N59" i="44"/>
  <c r="N65" i="44"/>
  <c r="N68" i="44"/>
  <c r="N71" i="44"/>
  <c r="N75" i="44"/>
  <c r="N77" i="44"/>
  <c r="N79" i="44"/>
  <c r="N83" i="44"/>
  <c r="N85" i="44"/>
  <c r="N90" i="44"/>
  <c r="N95" i="44"/>
  <c r="N98" i="44"/>
  <c r="N105" i="44"/>
  <c r="N107" i="44"/>
  <c r="N112" i="44"/>
  <c r="N116" i="44"/>
  <c r="N118" i="44"/>
  <c r="N121" i="44"/>
  <c r="N123" i="44"/>
  <c r="N124" i="44"/>
  <c r="N127" i="44"/>
  <c r="N131" i="44"/>
  <c r="N133" i="44"/>
  <c r="N136" i="44"/>
  <c r="N139" i="44"/>
  <c r="N141" i="44"/>
  <c r="N144" i="44"/>
  <c r="N147" i="44"/>
  <c r="N149" i="44"/>
  <c r="N152" i="44"/>
  <c r="N154" i="44"/>
  <c r="N157" i="44"/>
  <c r="N159" i="44"/>
  <c r="N166" i="44"/>
  <c r="N169" i="44"/>
  <c r="N175" i="44"/>
  <c r="N180" i="44"/>
  <c r="N187" i="44"/>
  <c r="N193" i="44"/>
  <c r="N198" i="44"/>
  <c r="N201" i="44"/>
  <c r="N207" i="44"/>
  <c r="N210" i="44"/>
  <c r="N213" i="44"/>
  <c r="N219" i="44"/>
  <c r="N224" i="44"/>
  <c r="N228" i="44"/>
  <c r="N241" i="44"/>
  <c r="N243" i="44"/>
  <c r="N245" i="44"/>
  <c r="N248" i="44"/>
  <c r="N251" i="44"/>
  <c r="N254" i="44"/>
  <c r="N257" i="44"/>
  <c r="N260" i="44"/>
  <c r="N263" i="44"/>
  <c r="N266" i="44"/>
  <c r="N272" i="44"/>
  <c r="N275" i="44"/>
  <c r="N278" i="44"/>
  <c r="N281" i="44"/>
  <c r="N286" i="44"/>
  <c r="N289" i="44"/>
  <c r="N295" i="44"/>
  <c r="N301" i="44"/>
  <c r="N304" i="44"/>
  <c r="N309" i="44"/>
  <c r="N312" i="44"/>
  <c r="N315" i="44"/>
  <c r="N321" i="44"/>
  <c r="N324" i="44"/>
  <c r="N331" i="44"/>
  <c r="N335" i="44"/>
  <c r="N340" i="44"/>
  <c r="N347" i="44"/>
  <c r="N350" i="44"/>
  <c r="N354" i="44"/>
  <c r="N357" i="44"/>
  <c r="N364" i="44"/>
  <c r="N367" i="44"/>
  <c r="N370" i="44"/>
  <c r="N374" i="44"/>
  <c r="N378" i="44"/>
  <c r="N381" i="44"/>
  <c r="N384" i="44"/>
  <c r="N387" i="44"/>
  <c r="N390" i="44"/>
  <c r="N393" i="44"/>
  <c r="N396" i="44"/>
  <c r="N400" i="44"/>
  <c r="N406" i="44"/>
  <c r="N412" i="44"/>
  <c r="N417" i="44"/>
  <c r="N421" i="44"/>
  <c r="N424" i="44"/>
  <c r="N430" i="44"/>
  <c r="N432" i="44"/>
  <c r="N433" i="44"/>
  <c r="N436" i="44"/>
  <c r="N439" i="44"/>
  <c r="N445" i="44"/>
  <c r="N448" i="44"/>
  <c r="N451" i="44"/>
  <c r="N458" i="44"/>
  <c r="N460" i="44"/>
  <c r="N461" i="44"/>
  <c r="N462" i="44"/>
  <c r="N463" i="44"/>
  <c r="N466" i="44"/>
  <c r="N469" i="44"/>
  <c r="N472" i="44"/>
  <c r="N475" i="44"/>
  <c r="N478" i="44"/>
  <c r="N480" i="44"/>
  <c r="N485" i="44"/>
  <c r="N492" i="44"/>
  <c r="N499" i="44"/>
  <c r="N502" i="44"/>
  <c r="N504" i="44"/>
  <c r="N506" i="44"/>
  <c r="N509" i="44"/>
  <c r="N515" i="44"/>
  <c r="N519" i="44"/>
  <c r="N528" i="44"/>
  <c r="N531" i="44"/>
  <c r="N535" i="44"/>
  <c r="N538" i="44"/>
  <c r="N541" i="44"/>
  <c r="N544" i="44"/>
  <c r="N547" i="44"/>
  <c r="N550" i="44"/>
  <c r="N553" i="44"/>
  <c r="N556" i="44"/>
  <c r="N559" i="44"/>
  <c r="N566" i="44"/>
  <c r="N569" i="44"/>
  <c r="N572" i="44"/>
  <c r="N575" i="44"/>
  <c r="N579" i="44"/>
  <c r="N582" i="44"/>
  <c r="N585" i="44"/>
  <c r="N588" i="44"/>
  <c r="N591" i="44"/>
  <c r="N594" i="44"/>
  <c r="N598" i="44"/>
  <c r="N601" i="44"/>
  <c r="N605" i="44"/>
  <c r="N609" i="44"/>
  <c r="N616" i="44"/>
  <c r="N620" i="44"/>
  <c r="N623" i="44"/>
  <c r="N626" i="44"/>
  <c r="N627" i="44"/>
  <c r="N628" i="44"/>
  <c r="N629" i="44"/>
  <c r="N630" i="44"/>
  <c r="N631" i="44"/>
  <c r="N632" i="44"/>
  <c r="N636" i="44"/>
  <c r="N643" i="44"/>
  <c r="N644" i="44"/>
  <c r="N645" i="44"/>
  <c r="N646" i="44"/>
  <c r="N647" i="44"/>
  <c r="N648" i="44"/>
  <c r="N649" i="44"/>
  <c r="N650" i="44"/>
  <c r="N651" i="44"/>
  <c r="N652" i="44"/>
  <c r="N653" i="44"/>
  <c r="N654" i="44"/>
  <c r="N658" i="44"/>
  <c r="N664" i="44"/>
  <c r="N666" i="44"/>
  <c r="N668" i="44"/>
  <c r="N671" i="44"/>
  <c r="N673" i="44"/>
  <c r="N675" i="44"/>
  <c r="N678" i="44"/>
  <c r="N683" i="44"/>
  <c r="N685" i="44"/>
  <c r="N687" i="44"/>
  <c r="N694" i="44"/>
  <c r="N701" i="44"/>
  <c r="N703" i="44"/>
  <c r="N710" i="44"/>
  <c r="N711" i="44"/>
  <c r="N712" i="44"/>
  <c r="N713" i="44"/>
  <c r="N716" i="44"/>
  <c r="N719" i="44"/>
  <c r="N726" i="44"/>
  <c r="N729" i="44"/>
  <c r="N731" i="44"/>
  <c r="N733" i="44"/>
  <c r="N739" i="44"/>
  <c r="N744" i="44"/>
  <c r="M743" i="44"/>
  <c r="M742" i="44" s="1"/>
  <c r="M741" i="44" s="1"/>
  <c r="M740" i="44" s="1"/>
  <c r="M738" i="44"/>
  <c r="M737" i="44" s="1"/>
  <c r="M736" i="44" s="1"/>
  <c r="M735" i="44" s="1"/>
  <c r="M734" i="44" s="1"/>
  <c r="M732" i="44"/>
  <c r="M730" i="44"/>
  <c r="M728" i="44"/>
  <c r="M725" i="44"/>
  <c r="M724" i="44" s="1"/>
  <c r="M718" i="44"/>
  <c r="M715" i="44"/>
  <c r="M714" i="44"/>
  <c r="M709" i="44"/>
  <c r="M702" i="44"/>
  <c r="M700" i="44"/>
  <c r="M693" i="44"/>
  <c r="M692" i="44" s="1"/>
  <c r="M691" i="44" s="1"/>
  <c r="M690" i="44" s="1"/>
  <c r="M689" i="44" s="1"/>
  <c r="M686" i="44"/>
  <c r="M684" i="44"/>
  <c r="M682" i="44"/>
  <c r="M677" i="44"/>
  <c r="M676" i="44" s="1"/>
  <c r="M674" i="44"/>
  <c r="M672" i="44"/>
  <c r="M670" i="44"/>
  <c r="M667" i="44"/>
  <c r="M665" i="44"/>
  <c r="M663" i="44"/>
  <c r="M657" i="44"/>
  <c r="M656" i="44" s="1"/>
  <c r="M655" i="44" s="1"/>
  <c r="M642" i="44"/>
  <c r="M641" i="44" s="1"/>
  <c r="M640" i="44" s="1"/>
  <c r="M639" i="44" s="1"/>
  <c r="M635" i="44"/>
  <c r="M634" i="44" s="1"/>
  <c r="M633" i="44" s="1"/>
  <c r="M625" i="44"/>
  <c r="M624" i="44" s="1"/>
  <c r="M622" i="44"/>
  <c r="M621" i="44" s="1"/>
  <c r="M619" i="44"/>
  <c r="M618" i="44" s="1"/>
  <c r="M615" i="44"/>
  <c r="M614" i="44" s="1"/>
  <c r="M613" i="44" s="1"/>
  <c r="M608" i="44"/>
  <c r="M607" i="44" s="1"/>
  <c r="M606" i="44" s="1"/>
  <c r="M604" i="44"/>
  <c r="M603" i="44" s="1"/>
  <c r="M602" i="44" s="1"/>
  <c r="M600" i="44"/>
  <c r="M599" i="44" s="1"/>
  <c r="M597" i="44"/>
  <c r="M596" i="44" s="1"/>
  <c r="M593" i="44"/>
  <c r="M592" i="44" s="1"/>
  <c r="M590" i="44"/>
  <c r="M589" i="44" s="1"/>
  <c r="M587" i="44"/>
  <c r="M586" i="44" s="1"/>
  <c r="M584" i="44"/>
  <c r="M581" i="44"/>
  <c r="M580" i="44" s="1"/>
  <c r="M578" i="44"/>
  <c r="M577" i="44" s="1"/>
  <c r="M574" i="44"/>
  <c r="M573" i="44" s="1"/>
  <c r="M571" i="44"/>
  <c r="M570" i="44" s="1"/>
  <c r="M568" i="44"/>
  <c r="M565" i="44"/>
  <c r="M564" i="44" s="1"/>
  <c r="M558" i="44"/>
  <c r="M557" i="44" s="1"/>
  <c r="M555" i="44"/>
  <c r="M554" i="44" s="1"/>
  <c r="M552" i="44"/>
  <c r="M551" i="44" s="1"/>
  <c r="M549" i="44"/>
  <c r="M548" i="44" s="1"/>
  <c r="M546" i="44"/>
  <c r="M545" i="44" s="1"/>
  <c r="M543" i="44"/>
  <c r="M542" i="44" s="1"/>
  <c r="M540" i="44"/>
  <c r="M539" i="44" s="1"/>
  <c r="M537" i="44"/>
  <c r="M536" i="44" s="1"/>
  <c r="M534" i="44"/>
  <c r="M533" i="44" s="1"/>
  <c r="M530" i="44"/>
  <c r="M529" i="44" s="1"/>
  <c r="M527" i="44"/>
  <c r="M526" i="44" s="1"/>
  <c r="M518" i="44"/>
  <c r="M514" i="44"/>
  <c r="M513" i="44" s="1"/>
  <c r="M508" i="44"/>
  <c r="M507" i="44" s="1"/>
  <c r="M505" i="44"/>
  <c r="M503" i="44"/>
  <c r="M501" i="44"/>
  <c r="M498" i="44"/>
  <c r="M497" i="44" s="1"/>
  <c r="M491" i="44"/>
  <c r="M484" i="44"/>
  <c r="M479" i="44"/>
  <c r="M477" i="44"/>
  <c r="M474" i="44"/>
  <c r="M471" i="44"/>
  <c r="M470" i="44" s="1"/>
  <c r="M468" i="44"/>
  <c r="M465" i="44"/>
  <c r="M464" i="44" s="1"/>
  <c r="M459" i="44"/>
  <c r="M457" i="44"/>
  <c r="M450" i="44"/>
  <c r="M449" i="44" s="1"/>
  <c r="M447" i="44"/>
  <c r="M446" i="44" s="1"/>
  <c r="M444" i="44"/>
  <c r="M443" i="44" s="1"/>
  <c r="M438" i="44"/>
  <c r="M435" i="44"/>
  <c r="M434" i="44" s="1"/>
  <c r="M431" i="44"/>
  <c r="M429" i="44"/>
  <c r="M423" i="44"/>
  <c r="M422" i="44" s="1"/>
  <c r="M420" i="44"/>
  <c r="M416" i="44"/>
  <c r="M415" i="44" s="1"/>
  <c r="M414" i="44" s="1"/>
  <c r="M411" i="44"/>
  <c r="M405" i="44"/>
  <c r="M404" i="44" s="1"/>
  <c r="M399" i="44"/>
  <c r="M398" i="44" s="1"/>
  <c r="M395" i="44"/>
  <c r="M394" i="44" s="1"/>
  <c r="M392" i="44"/>
  <c r="M391" i="44" s="1"/>
  <c r="M389" i="44"/>
  <c r="M388" i="44" s="1"/>
  <c r="M386" i="44"/>
  <c r="M385" i="44" s="1"/>
  <c r="M383" i="44"/>
  <c r="M382" i="44" s="1"/>
  <c r="M380" i="44"/>
  <c r="M377" i="44"/>
  <c r="M376" i="44" s="1"/>
  <c r="M373" i="44"/>
  <c r="M369" i="44"/>
  <c r="M368" i="44" s="1"/>
  <c r="M366" i="44"/>
  <c r="M363" i="44"/>
  <c r="M362" i="44" s="1"/>
  <c r="M356" i="44"/>
  <c r="M353" i="44"/>
  <c r="M352" i="44" s="1"/>
  <c r="M349" i="44"/>
  <c r="M348" i="44" s="1"/>
  <c r="M346" i="44"/>
  <c r="M339" i="44"/>
  <c r="M337" i="44" s="1"/>
  <c r="M336" i="44" s="1"/>
  <c r="M334" i="44"/>
  <c r="M330" i="44"/>
  <c r="M323" i="44"/>
  <c r="M322" i="44" s="1"/>
  <c r="M320" i="44"/>
  <c r="M314" i="44"/>
  <c r="M311" i="44"/>
  <c r="M308" i="44"/>
  <c r="M303" i="44"/>
  <c r="M302" i="44" s="1"/>
  <c r="M300" i="44"/>
  <c r="M294" i="44"/>
  <c r="M288" i="44"/>
  <c r="M285" i="44"/>
  <c r="M284" i="44" s="1"/>
  <c r="M280" i="44"/>
  <c r="M279" i="44" s="1"/>
  <c r="M277" i="44"/>
  <c r="M276" i="44" s="1"/>
  <c r="M274" i="44"/>
  <c r="M273" i="44"/>
  <c r="M271" i="44"/>
  <c r="M265" i="44"/>
  <c r="M264" i="44" s="1"/>
  <c r="M262" i="44"/>
  <c r="M259" i="44"/>
  <c r="M258" i="44" s="1"/>
  <c r="M256" i="44"/>
  <c r="M253" i="44"/>
  <c r="M250" i="44"/>
  <c r="M247" i="44"/>
  <c r="M246" i="44" s="1"/>
  <c r="M242" i="44"/>
  <c r="M234" i="44"/>
  <c r="M233" i="44" s="1"/>
  <c r="M232" i="44" s="1"/>
  <c r="M231" i="44" s="1"/>
  <c r="M230" i="44" s="1"/>
  <c r="M227" i="44"/>
  <c r="M223" i="44"/>
  <c r="M218" i="44"/>
  <c r="M212" i="44"/>
  <c r="M209" i="44"/>
  <c r="M206" i="44"/>
  <c r="M200" i="44"/>
  <c r="M197" i="44"/>
  <c r="M192" i="44"/>
  <c r="M186" i="44"/>
  <c r="M179" i="44"/>
  <c r="M174" i="44"/>
  <c r="M173" i="44" s="1"/>
  <c r="M168" i="44"/>
  <c r="M165" i="44"/>
  <c r="M164" i="44" s="1"/>
  <c r="M163" i="44" s="1"/>
  <c r="M158" i="44"/>
  <c r="M156" i="44"/>
  <c r="M153" i="44"/>
  <c r="M151" i="44"/>
  <c r="M148" i="44"/>
  <c r="M146" i="44"/>
  <c r="M143" i="44"/>
  <c r="M142" i="44" s="1"/>
  <c r="M140" i="44"/>
  <c r="M138" i="44"/>
  <c r="M135" i="44"/>
  <c r="M134" i="44" s="1"/>
  <c r="M132" i="44"/>
  <c r="M130" i="44"/>
  <c r="M126" i="44"/>
  <c r="M122" i="44"/>
  <c r="M120" i="44"/>
  <c r="M117" i="44"/>
  <c r="M115" i="44"/>
  <c r="M111" i="44"/>
  <c r="M110" i="44" s="1"/>
  <c r="M109" i="44" s="1"/>
  <c r="M106" i="44"/>
  <c r="M104" i="44"/>
  <c r="M102" i="44"/>
  <c r="M97" i="44"/>
  <c r="M96" i="44" s="1"/>
  <c r="M94" i="44"/>
  <c r="M93" i="44" s="1"/>
  <c r="M89" i="44"/>
  <c r="M88" i="44" s="1"/>
  <c r="M87" i="44" s="1"/>
  <c r="M86" i="44" s="1"/>
  <c r="M84" i="44"/>
  <c r="M82" i="44"/>
  <c r="M78" i="44"/>
  <c r="M76" i="44"/>
  <c r="M74" i="44"/>
  <c r="M70" i="44"/>
  <c r="M69" i="44" s="1"/>
  <c r="M67" i="44"/>
  <c r="M64" i="44"/>
  <c r="M58" i="44"/>
  <c r="M53" i="44"/>
  <c r="M52" i="44" s="1"/>
  <c r="M48" i="44"/>
  <c r="M42" i="44"/>
  <c r="M40" i="44"/>
  <c r="M35" i="44"/>
  <c r="M28" i="44"/>
  <c r="M23" i="44"/>
  <c r="M17" i="44"/>
  <c r="M15" i="44"/>
  <c r="M13" i="44"/>
  <c r="K742" i="47" l="1"/>
  <c r="L742" i="47"/>
  <c r="L723" i="48"/>
  <c r="K723" i="48"/>
  <c r="N723" i="48"/>
  <c r="M345" i="44"/>
  <c r="O345" i="44" s="1"/>
  <c r="O346" i="44"/>
  <c r="N292" i="44"/>
  <c r="M456" i="44"/>
  <c r="M73" i="44"/>
  <c r="M72" i="44" s="1"/>
  <c r="M669" i="44"/>
  <c r="M81" i="44"/>
  <c r="M80" i="44" s="1"/>
  <c r="M525" i="44"/>
  <c r="M617" i="44"/>
  <c r="M12" i="44"/>
  <c r="M11" i="44" s="1"/>
  <c r="M681" i="44"/>
  <c r="M680" i="44" s="1"/>
  <c r="M679" i="44" s="1"/>
  <c r="M476" i="44"/>
  <c r="M108" i="44"/>
  <c r="M178" i="44"/>
  <c r="M226" i="44"/>
  <c r="M22" i="44"/>
  <c r="M63" i="44"/>
  <c r="M145" i="44"/>
  <c r="M167" i="44"/>
  <c r="M162" i="44" s="1"/>
  <c r="M199" i="44"/>
  <c r="M27" i="44"/>
  <c r="M66" i="44"/>
  <c r="M119" i="44"/>
  <c r="M150" i="44"/>
  <c r="M172" i="44"/>
  <c r="M185" i="44"/>
  <c r="M34" i="44"/>
  <c r="M47" i="44"/>
  <c r="M46" i="44" s="1"/>
  <c r="M57" i="44"/>
  <c r="M114" i="44"/>
  <c r="M125" i="44"/>
  <c r="M191" i="44"/>
  <c r="M51" i="44"/>
  <c r="M137" i="44"/>
  <c r="M205" i="44"/>
  <c r="M217" i="44"/>
  <c r="M255" i="44"/>
  <c r="M293" i="44"/>
  <c r="M307" i="44"/>
  <c r="M319" i="44"/>
  <c r="M413" i="44"/>
  <c r="M500" i="44"/>
  <c r="M496" i="44" s="1"/>
  <c r="M662" i="44"/>
  <c r="M699" i="44"/>
  <c r="M727" i="44"/>
  <c r="M723" i="44" s="1"/>
  <c r="M39" i="44"/>
  <c r="M129" i="44"/>
  <c r="M155" i="44"/>
  <c r="M196" i="44"/>
  <c r="M208" i="44"/>
  <c r="M222" i="44"/>
  <c r="M249" i="44"/>
  <c r="M299" i="44"/>
  <c r="M310" i="44"/>
  <c r="M355" i="44"/>
  <c r="M351" i="44" s="1"/>
  <c r="M372" i="44"/>
  <c r="M403" i="44"/>
  <c r="M428" i="44"/>
  <c r="M437" i="44"/>
  <c r="M473" i="44"/>
  <c r="M490" i="44"/>
  <c r="M517" i="44"/>
  <c r="M567" i="44"/>
  <c r="M563" i="44" s="1"/>
  <c r="M583" i="44"/>
  <c r="M595" i="44"/>
  <c r="M708" i="44"/>
  <c r="M717" i="44"/>
  <c r="M211" i="44"/>
  <c r="M252" i="44"/>
  <c r="M270" i="44"/>
  <c r="M269" i="44" s="1"/>
  <c r="M287" i="44"/>
  <c r="M329" i="44"/>
  <c r="M410" i="44"/>
  <c r="M419" i="44"/>
  <c r="M467" i="44"/>
  <c r="M512" i="44"/>
  <c r="M261" i="44"/>
  <c r="M333" i="44"/>
  <c r="M313" i="44"/>
  <c r="M365" i="44"/>
  <c r="M361" i="44" s="1"/>
  <c r="M92" i="44"/>
  <c r="M379" i="44"/>
  <c r="M375" i="44" s="1"/>
  <c r="M397" i="44"/>
  <c r="M442" i="44"/>
  <c r="M483" i="44"/>
  <c r="M290" i="44"/>
  <c r="M239" i="44"/>
  <c r="M101" i="44"/>
  <c r="M45" i="44"/>
  <c r="M344" i="44"/>
  <c r="O344" i="44" s="1"/>
  <c r="M189" i="44"/>
  <c r="M612" i="44"/>
  <c r="M638" i="44"/>
  <c r="M532" i="44"/>
  <c r="M338" i="44"/>
  <c r="M455" i="44" l="1"/>
  <c r="M427" i="44"/>
  <c r="M426" i="44" s="1"/>
  <c r="M306" i="44"/>
  <c r="M305" i="44" s="1"/>
  <c r="M283" i="44"/>
  <c r="M343" i="44"/>
  <c r="O343" i="44" s="1"/>
  <c r="M637" i="44"/>
  <c r="M44" i="44"/>
  <c r="M524" i="44"/>
  <c r="M161" i="44"/>
  <c r="M454" i="44"/>
  <c r="M332" i="44"/>
  <c r="M441" i="44"/>
  <c r="M409" i="44"/>
  <c r="M489" i="44"/>
  <c r="M221" i="44"/>
  <c r="M195" i="44"/>
  <c r="M38" i="44"/>
  <c r="M661" i="44"/>
  <c r="M318" i="44"/>
  <c r="M190" i="44"/>
  <c r="M184" i="44"/>
  <c r="M183" i="44"/>
  <c r="M10" i="44"/>
  <c r="M177" i="44"/>
  <c r="M328" i="44"/>
  <c r="M402" i="44"/>
  <c r="M298" i="44"/>
  <c r="M576" i="44"/>
  <c r="M562" i="44" s="1"/>
  <c r="M33" i="44"/>
  <c r="M482" i="44"/>
  <c r="M722" i="44"/>
  <c r="M511" i="44"/>
  <c r="M204" i="44"/>
  <c r="M50" i="44"/>
  <c r="M128" i="44"/>
  <c r="M21" i="44"/>
  <c r="M611" i="44"/>
  <c r="M91" i="44"/>
  <c r="M495" i="44"/>
  <c r="M418" i="44"/>
  <c r="M707" i="44"/>
  <c r="M516" i="44"/>
  <c r="M371" i="44"/>
  <c r="M698" i="44"/>
  <c r="M216" i="44"/>
  <c r="M56" i="44"/>
  <c r="M171" i="44"/>
  <c r="M26" i="44"/>
  <c r="M62" i="44"/>
  <c r="M225" i="44"/>
  <c r="M282" i="44"/>
  <c r="M268" i="44"/>
  <c r="M238" i="44"/>
  <c r="M100" i="44"/>
  <c r="M360" i="44"/>
  <c r="J789" i="44"/>
  <c r="G744" i="44"/>
  <c r="K744" i="44" s="1"/>
  <c r="J743" i="44"/>
  <c r="N743" i="44" s="1"/>
  <c r="I743" i="44"/>
  <c r="I742" i="44" s="1"/>
  <c r="I741" i="44" s="1"/>
  <c r="I740" i="44" s="1"/>
  <c r="G739" i="44"/>
  <c r="J738" i="44"/>
  <c r="I738" i="44"/>
  <c r="I737" i="44" s="1"/>
  <c r="I736" i="44" s="1"/>
  <c r="I735" i="44" s="1"/>
  <c r="G738" i="44"/>
  <c r="G737" i="44" s="1"/>
  <c r="G736" i="44" s="1"/>
  <c r="G735" i="44" s="1"/>
  <c r="G733" i="44"/>
  <c r="K733" i="44" s="1"/>
  <c r="J732" i="44"/>
  <c r="N732" i="44" s="1"/>
  <c r="I732" i="44"/>
  <c r="G731" i="44"/>
  <c r="K731" i="44" s="1"/>
  <c r="J730" i="44"/>
  <c r="I730" i="44"/>
  <c r="F730" i="44"/>
  <c r="G729" i="44"/>
  <c r="K729" i="44" s="1"/>
  <c r="J728" i="44"/>
  <c r="N728" i="44" s="1"/>
  <c r="I728" i="44"/>
  <c r="F728" i="44"/>
  <c r="G726" i="44"/>
  <c r="G725" i="44" s="1"/>
  <c r="J725" i="44"/>
  <c r="N725" i="44" s="1"/>
  <c r="I725" i="44"/>
  <c r="I724" i="44" s="1"/>
  <c r="F725" i="44"/>
  <c r="F724" i="44" s="1"/>
  <c r="J724" i="44"/>
  <c r="N724" i="44" s="1"/>
  <c r="K719" i="44"/>
  <c r="J718" i="44"/>
  <c r="I718" i="44"/>
  <c r="I717" i="44" s="1"/>
  <c r="G718" i="44"/>
  <c r="K716" i="44"/>
  <c r="J715" i="44"/>
  <c r="N715" i="44" s="1"/>
  <c r="I715" i="44"/>
  <c r="G715" i="44"/>
  <c r="J714" i="44"/>
  <c r="N714" i="44" s="1"/>
  <c r="I714" i="44"/>
  <c r="G714" i="44"/>
  <c r="K713" i="44"/>
  <c r="K712" i="44"/>
  <c r="F712" i="44"/>
  <c r="F711" i="44" s="1"/>
  <c r="K711" i="44"/>
  <c r="K710" i="44"/>
  <c r="J709" i="44"/>
  <c r="I709" i="44"/>
  <c r="I708" i="44" s="1"/>
  <c r="G709" i="44"/>
  <c r="G708" i="44" s="1"/>
  <c r="F709" i="44"/>
  <c r="F708" i="44" s="1"/>
  <c r="K703" i="44"/>
  <c r="J702" i="44"/>
  <c r="N702" i="44" s="1"/>
  <c r="I702" i="44"/>
  <c r="G702" i="44"/>
  <c r="F702" i="44"/>
  <c r="K701" i="44"/>
  <c r="J700" i="44"/>
  <c r="N700" i="44" s="1"/>
  <c r="I700" i="44"/>
  <c r="G700" i="44"/>
  <c r="F700" i="44"/>
  <c r="K694" i="44"/>
  <c r="J693" i="44"/>
  <c r="I693" i="44"/>
  <c r="I692" i="44" s="1"/>
  <c r="I691" i="44" s="1"/>
  <c r="I690" i="44" s="1"/>
  <c r="I689" i="44" s="1"/>
  <c r="G693" i="44"/>
  <c r="G692" i="44" s="1"/>
  <c r="G691" i="44" s="1"/>
  <c r="G690" i="44" s="1"/>
  <c r="G689" i="44" s="1"/>
  <c r="F693" i="44"/>
  <c r="F692" i="44" s="1"/>
  <c r="F691" i="44" s="1"/>
  <c r="F690" i="44" s="1"/>
  <c r="F689" i="44" s="1"/>
  <c r="K687" i="44"/>
  <c r="J686" i="44"/>
  <c r="N686" i="44" s="1"/>
  <c r="I686" i="44"/>
  <c r="G686" i="44"/>
  <c r="F686" i="44"/>
  <c r="K685" i="44"/>
  <c r="J684" i="44"/>
  <c r="N684" i="44" s="1"/>
  <c r="I684" i="44"/>
  <c r="G684" i="44"/>
  <c r="F684" i="44"/>
  <c r="K683" i="44"/>
  <c r="J682" i="44"/>
  <c r="N682" i="44" s="1"/>
  <c r="I682" i="44"/>
  <c r="G682" i="44"/>
  <c r="F682" i="44"/>
  <c r="I680" i="44"/>
  <c r="I679" i="44" s="1"/>
  <c r="G680" i="44"/>
  <c r="G679" i="44" s="1"/>
  <c r="F680" i="44"/>
  <c r="F679" i="44" s="1"/>
  <c r="G678" i="44"/>
  <c r="K678" i="44" s="1"/>
  <c r="J677" i="44"/>
  <c r="N677" i="44" s="1"/>
  <c r="I677" i="44"/>
  <c r="I676" i="44" s="1"/>
  <c r="F677" i="44"/>
  <c r="F676" i="44" s="1"/>
  <c r="J676" i="44"/>
  <c r="N676" i="44" s="1"/>
  <c r="G675" i="44"/>
  <c r="K675" i="44" s="1"/>
  <c r="J674" i="44"/>
  <c r="N674" i="44" s="1"/>
  <c r="I674" i="44"/>
  <c r="G673" i="44"/>
  <c r="K673" i="44" s="1"/>
  <c r="J672" i="44"/>
  <c r="N672" i="44" s="1"/>
  <c r="I672" i="44"/>
  <c r="F672" i="44"/>
  <c r="G671" i="44"/>
  <c r="K671" i="44" s="1"/>
  <c r="J670" i="44"/>
  <c r="N670" i="44" s="1"/>
  <c r="I670" i="44"/>
  <c r="F670" i="44"/>
  <c r="I668" i="44"/>
  <c r="G668" i="44"/>
  <c r="G667" i="44" s="1"/>
  <c r="J667" i="44"/>
  <c r="I667" i="44"/>
  <c r="G666" i="44"/>
  <c r="K666" i="44" s="1"/>
  <c r="J665" i="44"/>
  <c r="I665" i="44"/>
  <c r="F665" i="44"/>
  <c r="G664" i="44"/>
  <c r="K664" i="44" s="1"/>
  <c r="J663" i="44"/>
  <c r="N663" i="44" s="1"/>
  <c r="I663" i="44"/>
  <c r="F663" i="44"/>
  <c r="F662" i="44" s="1"/>
  <c r="F661" i="44" s="1"/>
  <c r="F660" i="44" s="1"/>
  <c r="F659" i="44" s="1"/>
  <c r="G658" i="44"/>
  <c r="K658" i="44" s="1"/>
  <c r="J657" i="44"/>
  <c r="I657" i="44"/>
  <c r="I656" i="44" s="1"/>
  <c r="I655" i="44" s="1"/>
  <c r="F657" i="44"/>
  <c r="F656" i="44" s="1"/>
  <c r="F655" i="44" s="1"/>
  <c r="K654" i="44"/>
  <c r="K653" i="44"/>
  <c r="K652" i="44"/>
  <c r="K651" i="44"/>
  <c r="K650" i="44"/>
  <c r="K649" i="44"/>
  <c r="I648" i="44"/>
  <c r="I647" i="44" s="1"/>
  <c r="G648" i="44"/>
  <c r="G647" i="44" s="1"/>
  <c r="K646" i="44"/>
  <c r="K645" i="44"/>
  <c r="F645" i="44"/>
  <c r="K644" i="44"/>
  <c r="F644" i="44"/>
  <c r="G643" i="44"/>
  <c r="J642" i="44"/>
  <c r="N642" i="44" s="1"/>
  <c r="I642" i="44"/>
  <c r="I641" i="44" s="1"/>
  <c r="I640" i="44" s="1"/>
  <c r="F642" i="44"/>
  <c r="F641" i="44" s="1"/>
  <c r="F640" i="44" s="1"/>
  <c r="F639" i="44" s="1"/>
  <c r="K636" i="44"/>
  <c r="J635" i="44"/>
  <c r="I635" i="44"/>
  <c r="I634" i="44" s="1"/>
  <c r="I633" i="44" s="1"/>
  <c r="G635" i="44"/>
  <c r="G634" i="44" s="1"/>
  <c r="G633" i="44" s="1"/>
  <c r="G632" i="44"/>
  <c r="I631" i="44"/>
  <c r="I630" i="44" s="1"/>
  <c r="F631" i="44"/>
  <c r="F630" i="44" s="1"/>
  <c r="K629" i="44"/>
  <c r="K628" i="44"/>
  <c r="F628" i="44"/>
  <c r="F627" i="44" s="1"/>
  <c r="K627" i="44"/>
  <c r="K626" i="44"/>
  <c r="I626" i="44"/>
  <c r="I625" i="44" s="1"/>
  <c r="I624" i="44" s="1"/>
  <c r="G626" i="44"/>
  <c r="J625" i="44"/>
  <c r="N625" i="44" s="1"/>
  <c r="G625" i="44"/>
  <c r="G624" i="44" s="1"/>
  <c r="F625" i="44"/>
  <c r="F624" i="44" s="1"/>
  <c r="G623" i="44"/>
  <c r="K623" i="44" s="1"/>
  <c r="J622" i="44"/>
  <c r="N622" i="44" s="1"/>
  <c r="I622" i="44"/>
  <c r="I621" i="44" s="1"/>
  <c r="G620" i="44"/>
  <c r="K620" i="44" s="1"/>
  <c r="J619" i="44"/>
  <c r="N619" i="44" s="1"/>
  <c r="I619" i="44"/>
  <c r="I618" i="44" s="1"/>
  <c r="F619" i="44"/>
  <c r="F618" i="44" s="1"/>
  <c r="G616" i="44"/>
  <c r="K616" i="44" s="1"/>
  <c r="J615" i="44"/>
  <c r="N615" i="44" s="1"/>
  <c r="I615" i="44"/>
  <c r="I614" i="44" s="1"/>
  <c r="I613" i="44" s="1"/>
  <c r="F615" i="44"/>
  <c r="F614" i="44" s="1"/>
  <c r="F613" i="44" s="1"/>
  <c r="K609" i="44"/>
  <c r="J608" i="44"/>
  <c r="N608" i="44" s="1"/>
  <c r="I608" i="44"/>
  <c r="I607" i="44" s="1"/>
  <c r="I606" i="44" s="1"/>
  <c r="G608" i="44"/>
  <c r="G607" i="44" s="1"/>
  <c r="G606" i="44" s="1"/>
  <c r="K605" i="44"/>
  <c r="I605" i="44"/>
  <c r="I604" i="44" s="1"/>
  <c r="I603" i="44" s="1"/>
  <c r="I602" i="44" s="1"/>
  <c r="J604" i="44"/>
  <c r="G604" i="44"/>
  <c r="G603" i="44" s="1"/>
  <c r="K601" i="44"/>
  <c r="J600" i="44"/>
  <c r="I600" i="44"/>
  <c r="I599" i="44" s="1"/>
  <c r="G600" i="44"/>
  <c r="G599" i="44" s="1"/>
  <c r="F600" i="44"/>
  <c r="F599" i="44" s="1"/>
  <c r="K598" i="44"/>
  <c r="J597" i="44"/>
  <c r="I597" i="44"/>
  <c r="I596" i="44" s="1"/>
  <c r="G597" i="44"/>
  <c r="G596" i="44" s="1"/>
  <c r="F597" i="44"/>
  <c r="F596" i="44" s="1"/>
  <c r="K594" i="44"/>
  <c r="J593" i="44"/>
  <c r="I593" i="44"/>
  <c r="I592" i="44" s="1"/>
  <c r="G593" i="44"/>
  <c r="G592" i="44" s="1"/>
  <c r="F593" i="44"/>
  <c r="F592" i="44" s="1"/>
  <c r="G591" i="44"/>
  <c r="J590" i="44"/>
  <c r="N590" i="44" s="1"/>
  <c r="I590" i="44"/>
  <c r="I589" i="44" s="1"/>
  <c r="F590" i="44"/>
  <c r="F589" i="44" s="1"/>
  <c r="I588" i="44"/>
  <c r="I587" i="44" s="1"/>
  <c r="I586" i="44" s="1"/>
  <c r="G588" i="44"/>
  <c r="K588" i="44" s="1"/>
  <c r="J587" i="44"/>
  <c r="N587" i="44" s="1"/>
  <c r="F587" i="44"/>
  <c r="F586" i="44" s="1"/>
  <c r="K585" i="44"/>
  <c r="J584" i="44"/>
  <c r="N584" i="44" s="1"/>
  <c r="I584" i="44"/>
  <c r="I583" i="44" s="1"/>
  <c r="G584" i="44"/>
  <c r="G583" i="44" s="1"/>
  <c r="F584" i="44"/>
  <c r="F583" i="44" s="1"/>
  <c r="G582" i="44"/>
  <c r="K582" i="44" s="1"/>
  <c r="J581" i="44"/>
  <c r="N581" i="44" s="1"/>
  <c r="I581" i="44"/>
  <c r="I580" i="44" s="1"/>
  <c r="G581" i="44"/>
  <c r="G580" i="44" s="1"/>
  <c r="F581" i="44"/>
  <c r="F580" i="44" s="1"/>
  <c r="G579" i="44"/>
  <c r="K579" i="44" s="1"/>
  <c r="J578" i="44"/>
  <c r="N578" i="44" s="1"/>
  <c r="I578" i="44"/>
  <c r="I577" i="44" s="1"/>
  <c r="F578" i="44"/>
  <c r="F577" i="44" s="1"/>
  <c r="K575" i="44"/>
  <c r="J574" i="44"/>
  <c r="I574" i="44"/>
  <c r="I573" i="44" s="1"/>
  <c r="G574" i="44"/>
  <c r="G573" i="44" s="1"/>
  <c r="F574" i="44"/>
  <c r="F573" i="44" s="1"/>
  <c r="K572" i="44"/>
  <c r="J571" i="44"/>
  <c r="N571" i="44" s="1"/>
  <c r="I571" i="44"/>
  <c r="I570" i="44" s="1"/>
  <c r="G571" i="44"/>
  <c r="G570" i="44" s="1"/>
  <c r="F571" i="44"/>
  <c r="F570" i="44" s="1"/>
  <c r="J570" i="44"/>
  <c r="N570" i="44" s="1"/>
  <c r="G569" i="44"/>
  <c r="K569" i="44" s="1"/>
  <c r="J568" i="44"/>
  <c r="N568" i="44" s="1"/>
  <c r="I568" i="44"/>
  <c r="I567" i="44" s="1"/>
  <c r="F568" i="44"/>
  <c r="F567" i="44" s="1"/>
  <c r="J567" i="44"/>
  <c r="N567" i="44" s="1"/>
  <c r="K566" i="44"/>
  <c r="J565" i="44"/>
  <c r="N565" i="44" s="1"/>
  <c r="I565" i="44"/>
  <c r="G565" i="44"/>
  <c r="F565" i="44"/>
  <c r="F564" i="44" s="1"/>
  <c r="J564" i="44"/>
  <c r="N564" i="44" s="1"/>
  <c r="I564" i="44"/>
  <c r="G559" i="44"/>
  <c r="K559" i="44" s="1"/>
  <c r="J558" i="44"/>
  <c r="I558" i="44"/>
  <c r="I557" i="44" s="1"/>
  <c r="I556" i="44"/>
  <c r="I555" i="44" s="1"/>
  <c r="I554" i="44" s="1"/>
  <c r="G556" i="44"/>
  <c r="K556" i="44" s="1"/>
  <c r="J555" i="44"/>
  <c r="N555" i="44" s="1"/>
  <c r="K553" i="44"/>
  <c r="J552" i="44"/>
  <c r="N552" i="44" s="1"/>
  <c r="I552" i="44"/>
  <c r="G552" i="44"/>
  <c r="G551" i="44" s="1"/>
  <c r="F552" i="44"/>
  <c r="F551" i="44" s="1"/>
  <c r="J551" i="44"/>
  <c r="N551" i="44" s="1"/>
  <c r="I551" i="44"/>
  <c r="G550" i="44"/>
  <c r="K550" i="44" s="1"/>
  <c r="J549" i="44"/>
  <c r="N549" i="44" s="1"/>
  <c r="I549" i="44"/>
  <c r="I548" i="44" s="1"/>
  <c r="F549" i="44"/>
  <c r="F548" i="44" s="1"/>
  <c r="G547" i="44"/>
  <c r="K547" i="44" s="1"/>
  <c r="J546" i="44"/>
  <c r="N546" i="44" s="1"/>
  <c r="I546" i="44"/>
  <c r="I545" i="44" s="1"/>
  <c r="G546" i="44"/>
  <c r="G545" i="44" s="1"/>
  <c r="K544" i="44"/>
  <c r="J543" i="44"/>
  <c r="N543" i="44" s="1"/>
  <c r="I543" i="44"/>
  <c r="I542" i="44" s="1"/>
  <c r="G543" i="44"/>
  <c r="G542" i="44" s="1"/>
  <c r="G541" i="44"/>
  <c r="K541" i="44" s="1"/>
  <c r="J540" i="44"/>
  <c r="N540" i="44" s="1"/>
  <c r="I540" i="44"/>
  <c r="G540" i="44"/>
  <c r="F540" i="44"/>
  <c r="F539" i="44" s="1"/>
  <c r="J539" i="44"/>
  <c r="N539" i="44" s="1"/>
  <c r="I539" i="44"/>
  <c r="G539" i="44"/>
  <c r="G538" i="44"/>
  <c r="K538" i="44" s="1"/>
  <c r="J537" i="44"/>
  <c r="N537" i="44" s="1"/>
  <c r="I537" i="44"/>
  <c r="I536" i="44" s="1"/>
  <c r="F537" i="44"/>
  <c r="F536" i="44" s="1"/>
  <c r="G535" i="44"/>
  <c r="K535" i="44" s="1"/>
  <c r="J534" i="44"/>
  <c r="N534" i="44" s="1"/>
  <c r="I534" i="44"/>
  <c r="I533" i="44" s="1"/>
  <c r="K531" i="44"/>
  <c r="J530" i="44"/>
  <c r="N530" i="44" s="1"/>
  <c r="I530" i="44"/>
  <c r="G530" i="44"/>
  <c r="G529" i="44" s="1"/>
  <c r="F530" i="44"/>
  <c r="F529" i="44" s="1"/>
  <c r="J529" i="44"/>
  <c r="N529" i="44" s="1"/>
  <c r="I529" i="44"/>
  <c r="G528" i="44"/>
  <c r="J527" i="44"/>
  <c r="N527" i="44" s="1"/>
  <c r="I527" i="44"/>
  <c r="I526" i="44" s="1"/>
  <c r="F527" i="44"/>
  <c r="F526" i="44" s="1"/>
  <c r="G519" i="44"/>
  <c r="K519" i="44" s="1"/>
  <c r="J518" i="44"/>
  <c r="N518" i="44" s="1"/>
  <c r="I518" i="44"/>
  <c r="I517" i="44" s="1"/>
  <c r="I516" i="44" s="1"/>
  <c r="F518" i="44"/>
  <c r="F517" i="44" s="1"/>
  <c r="F516" i="44" s="1"/>
  <c r="G515" i="44"/>
  <c r="J514" i="44"/>
  <c r="N514" i="44" s="1"/>
  <c r="I514" i="44"/>
  <c r="I513" i="44" s="1"/>
  <c r="I512" i="44" s="1"/>
  <c r="I511" i="44" s="1"/>
  <c r="I510" i="44" s="1"/>
  <c r="F514" i="44"/>
  <c r="F513" i="44" s="1"/>
  <c r="F512" i="44" s="1"/>
  <c r="F511" i="44" s="1"/>
  <c r="K509" i="44"/>
  <c r="G509" i="44"/>
  <c r="J508" i="44"/>
  <c r="N508" i="44" s="1"/>
  <c r="I508" i="44"/>
  <c r="I507" i="44" s="1"/>
  <c r="G508" i="44"/>
  <c r="G507" i="44" s="1"/>
  <c r="F508" i="44"/>
  <c r="F507" i="44" s="1"/>
  <c r="J507" i="44"/>
  <c r="N507" i="44" s="1"/>
  <c r="G506" i="44"/>
  <c r="J505" i="44"/>
  <c r="N505" i="44" s="1"/>
  <c r="I505" i="44"/>
  <c r="F505" i="44"/>
  <c r="G504" i="44"/>
  <c r="K504" i="44" s="1"/>
  <c r="J503" i="44"/>
  <c r="N503" i="44" s="1"/>
  <c r="I503" i="44"/>
  <c r="F503" i="44"/>
  <c r="G502" i="44"/>
  <c r="K502" i="44" s="1"/>
  <c r="J501" i="44"/>
  <c r="N501" i="44" s="1"/>
  <c r="I501" i="44"/>
  <c r="F501" i="44"/>
  <c r="G499" i="44"/>
  <c r="K499" i="44" s="1"/>
  <c r="J498" i="44"/>
  <c r="N498" i="44" s="1"/>
  <c r="I498" i="44"/>
  <c r="I497" i="44" s="1"/>
  <c r="F498" i="44"/>
  <c r="F497" i="44" s="1"/>
  <c r="G492" i="44"/>
  <c r="K492" i="44" s="1"/>
  <c r="J491" i="44"/>
  <c r="N491" i="44" s="1"/>
  <c r="I491" i="44"/>
  <c r="I490" i="44" s="1"/>
  <c r="I489" i="44" s="1"/>
  <c r="I488" i="44" s="1"/>
  <c r="I487" i="44" s="1"/>
  <c r="I486" i="44" s="1"/>
  <c r="F491" i="44"/>
  <c r="F490" i="44" s="1"/>
  <c r="F489" i="44" s="1"/>
  <c r="F488" i="44" s="1"/>
  <c r="F487" i="44" s="1"/>
  <c r="F486" i="44" s="1"/>
  <c r="G485" i="44"/>
  <c r="K485" i="44" s="1"/>
  <c r="J484" i="44"/>
  <c r="N484" i="44" s="1"/>
  <c r="I484" i="44"/>
  <c r="I483" i="44" s="1"/>
  <c r="I482" i="44" s="1"/>
  <c r="I481" i="44" s="1"/>
  <c r="G484" i="44"/>
  <c r="F484" i="44"/>
  <c r="F483" i="44" s="1"/>
  <c r="F482" i="44" s="1"/>
  <c r="F481" i="44" s="1"/>
  <c r="G480" i="44"/>
  <c r="K480" i="44" s="1"/>
  <c r="J479" i="44"/>
  <c r="N479" i="44" s="1"/>
  <c r="I479" i="44"/>
  <c r="K478" i="44"/>
  <c r="J477" i="44"/>
  <c r="N477" i="44" s="1"/>
  <c r="I477" i="44"/>
  <c r="I476" i="44" s="1"/>
  <c r="G477" i="44"/>
  <c r="F477" i="44"/>
  <c r="F476" i="44" s="1"/>
  <c r="G475" i="44"/>
  <c r="K475" i="44" s="1"/>
  <c r="J474" i="44"/>
  <c r="N474" i="44" s="1"/>
  <c r="I474" i="44"/>
  <c r="I473" i="44" s="1"/>
  <c r="F474" i="44"/>
  <c r="F473" i="44" s="1"/>
  <c r="K472" i="44"/>
  <c r="J471" i="44"/>
  <c r="N471" i="44" s="1"/>
  <c r="I471" i="44"/>
  <c r="I470" i="44" s="1"/>
  <c r="G471" i="44"/>
  <c r="G470" i="44" s="1"/>
  <c r="F471" i="44"/>
  <c r="F470" i="44" s="1"/>
  <c r="J470" i="44"/>
  <c r="N470" i="44" s="1"/>
  <c r="K469" i="44"/>
  <c r="J468" i="44"/>
  <c r="N468" i="44" s="1"/>
  <c r="I468" i="44"/>
  <c r="I467" i="44" s="1"/>
  <c r="G468" i="44"/>
  <c r="G467" i="44" s="1"/>
  <c r="G466" i="44"/>
  <c r="K466" i="44" s="1"/>
  <c r="J465" i="44"/>
  <c r="N465" i="44" s="1"/>
  <c r="I465" i="44"/>
  <c r="I464" i="44" s="1"/>
  <c r="F465" i="44"/>
  <c r="F464" i="44" s="1"/>
  <c r="K463" i="44"/>
  <c r="K462" i="44"/>
  <c r="K461" i="44"/>
  <c r="G460" i="44"/>
  <c r="J459" i="44"/>
  <c r="N459" i="44" s="1"/>
  <c r="I459" i="44"/>
  <c r="F459" i="44"/>
  <c r="G458" i="44"/>
  <c r="K458" i="44" s="1"/>
  <c r="J457" i="44"/>
  <c r="N457" i="44" s="1"/>
  <c r="I457" i="44"/>
  <c r="F457" i="44"/>
  <c r="K451" i="44"/>
  <c r="J450" i="44"/>
  <c r="I450" i="44"/>
  <c r="I449" i="44" s="1"/>
  <c r="G450" i="44"/>
  <c r="K448" i="44"/>
  <c r="J447" i="44"/>
  <c r="I447" i="44"/>
  <c r="I446" i="44" s="1"/>
  <c r="G447" i="44"/>
  <c r="G446" i="44" s="1"/>
  <c r="K445" i="44"/>
  <c r="J444" i="44"/>
  <c r="N444" i="44" s="1"/>
  <c r="I444" i="44"/>
  <c r="I443" i="44" s="1"/>
  <c r="G444" i="44"/>
  <c r="G443" i="44" s="1"/>
  <c r="K439" i="44"/>
  <c r="J438" i="44"/>
  <c r="N438" i="44" s="1"/>
  <c r="I438" i="44"/>
  <c r="I437" i="44" s="1"/>
  <c r="G438" i="44"/>
  <c r="G437" i="44" s="1"/>
  <c r="F438" i="44"/>
  <c r="F437" i="44" s="1"/>
  <c r="K436" i="44"/>
  <c r="J435" i="44"/>
  <c r="N435" i="44" s="1"/>
  <c r="I435" i="44"/>
  <c r="I434" i="44" s="1"/>
  <c r="G435" i="44"/>
  <c r="G434" i="44" s="1"/>
  <c r="F435" i="44"/>
  <c r="F434" i="44" s="1"/>
  <c r="K433" i="44"/>
  <c r="K432" i="44"/>
  <c r="I432" i="44"/>
  <c r="I431" i="44" s="1"/>
  <c r="J431" i="44"/>
  <c r="N431" i="44" s="1"/>
  <c r="G431" i="44"/>
  <c r="F431" i="44"/>
  <c r="K430" i="44"/>
  <c r="J429" i="44"/>
  <c r="N429" i="44" s="1"/>
  <c r="I429" i="44"/>
  <c r="G429" i="44"/>
  <c r="F429" i="44"/>
  <c r="J428" i="44"/>
  <c r="N428" i="44" s="1"/>
  <c r="I426" i="44"/>
  <c r="I425" i="44" s="1"/>
  <c r="G426" i="44"/>
  <c r="G425" i="44" s="1"/>
  <c r="F426" i="44"/>
  <c r="F425" i="44" s="1"/>
  <c r="K424" i="44"/>
  <c r="G424" i="44"/>
  <c r="J423" i="44"/>
  <c r="N423" i="44" s="1"/>
  <c r="I423" i="44"/>
  <c r="I422" i="44" s="1"/>
  <c r="G423" i="44"/>
  <c r="G422" i="44" s="1"/>
  <c r="F423" i="44"/>
  <c r="F422" i="44" s="1"/>
  <c r="J422" i="44"/>
  <c r="N422" i="44" s="1"/>
  <c r="G421" i="44"/>
  <c r="K421" i="44" s="1"/>
  <c r="J420" i="44"/>
  <c r="N420" i="44" s="1"/>
  <c r="I420" i="44"/>
  <c r="I419" i="44" s="1"/>
  <c r="F420" i="44"/>
  <c r="F419" i="44" s="1"/>
  <c r="F418" i="44" s="1"/>
  <c r="J419" i="44"/>
  <c r="N419" i="44" s="1"/>
  <c r="K417" i="44"/>
  <c r="J416" i="44"/>
  <c r="N416" i="44" s="1"/>
  <c r="I416" i="44"/>
  <c r="I415" i="44" s="1"/>
  <c r="I414" i="44" s="1"/>
  <c r="I413" i="44" s="1"/>
  <c r="G416" i="44"/>
  <c r="G415" i="44" s="1"/>
  <c r="G414" i="44" s="1"/>
  <c r="G413" i="44" s="1"/>
  <c r="F416" i="44"/>
  <c r="F415" i="44" s="1"/>
  <c r="F414" i="44" s="1"/>
  <c r="F413" i="44" s="1"/>
  <c r="F408" i="44" s="1"/>
  <c r="F407" i="44" s="1"/>
  <c r="J415" i="44"/>
  <c r="N415" i="44" s="1"/>
  <c r="G412" i="44"/>
  <c r="K412" i="44" s="1"/>
  <c r="J411" i="44"/>
  <c r="N411" i="44" s="1"/>
  <c r="I411" i="44"/>
  <c r="I410" i="44" s="1"/>
  <c r="I409" i="44" s="1"/>
  <c r="I408" i="44" s="1"/>
  <c r="G406" i="44"/>
  <c r="G789" i="44" s="1"/>
  <c r="J405" i="44"/>
  <c r="N405" i="44" s="1"/>
  <c r="I405" i="44"/>
  <c r="I404" i="44" s="1"/>
  <c r="I403" i="44" s="1"/>
  <c r="I402" i="44" s="1"/>
  <c r="F405" i="44"/>
  <c r="F404" i="44" s="1"/>
  <c r="F403" i="44" s="1"/>
  <c r="F402" i="44" s="1"/>
  <c r="K400" i="44"/>
  <c r="J399" i="44"/>
  <c r="I399" i="44"/>
  <c r="I398" i="44" s="1"/>
  <c r="I397" i="44" s="1"/>
  <c r="G399" i="44"/>
  <c r="G398" i="44" s="1"/>
  <c r="G397" i="44" s="1"/>
  <c r="K396" i="44"/>
  <c r="J395" i="44"/>
  <c r="I395" i="44"/>
  <c r="I394" i="44" s="1"/>
  <c r="G395" i="44"/>
  <c r="G394" i="44" s="1"/>
  <c r="K393" i="44"/>
  <c r="J392" i="44"/>
  <c r="N392" i="44" s="1"/>
  <c r="I392" i="44"/>
  <c r="I391" i="44" s="1"/>
  <c r="G392" i="44"/>
  <c r="G391" i="44" s="1"/>
  <c r="K390" i="44"/>
  <c r="G390" i="44"/>
  <c r="G389" i="44" s="1"/>
  <c r="G388" i="44" s="1"/>
  <c r="F390" i="44"/>
  <c r="F389" i="44" s="1"/>
  <c r="F388" i="44" s="1"/>
  <c r="J389" i="44"/>
  <c r="N389" i="44" s="1"/>
  <c r="I389" i="44"/>
  <c r="I388" i="44" s="1"/>
  <c r="K387" i="44"/>
  <c r="G387" i="44"/>
  <c r="F387" i="44"/>
  <c r="J386" i="44"/>
  <c r="N386" i="44" s="1"/>
  <c r="I386" i="44"/>
  <c r="I385" i="44" s="1"/>
  <c r="G386" i="44"/>
  <c r="G385" i="44" s="1"/>
  <c r="F386" i="44"/>
  <c r="F385" i="44" s="1"/>
  <c r="K384" i="44"/>
  <c r="J383" i="44"/>
  <c r="I383" i="44"/>
  <c r="I382" i="44" s="1"/>
  <c r="G383" i="44"/>
  <c r="G382" i="44" s="1"/>
  <c r="K381" i="44"/>
  <c r="J380" i="44"/>
  <c r="N380" i="44" s="1"/>
  <c r="I380" i="44"/>
  <c r="I379" i="44" s="1"/>
  <c r="G380" i="44"/>
  <c r="G379" i="44" s="1"/>
  <c r="G378" i="44"/>
  <c r="K378" i="44" s="1"/>
  <c r="J377" i="44"/>
  <c r="N377" i="44" s="1"/>
  <c r="I377" i="44"/>
  <c r="I376" i="44" s="1"/>
  <c r="F377" i="44"/>
  <c r="F376" i="44" s="1"/>
  <c r="F375" i="44" s="1"/>
  <c r="G374" i="44"/>
  <c r="K374" i="44" s="1"/>
  <c r="J373" i="44"/>
  <c r="N373" i="44" s="1"/>
  <c r="I373" i="44"/>
  <c r="I372" i="44" s="1"/>
  <c r="I371" i="44" s="1"/>
  <c r="F373" i="44"/>
  <c r="F372" i="44" s="1"/>
  <c r="F371" i="44" s="1"/>
  <c r="J372" i="44"/>
  <c r="N372" i="44" s="1"/>
  <c r="G370" i="44"/>
  <c r="K370" i="44" s="1"/>
  <c r="J369" i="44"/>
  <c r="N369" i="44" s="1"/>
  <c r="I369" i="44"/>
  <c r="I368" i="44" s="1"/>
  <c r="K367" i="44"/>
  <c r="J366" i="44"/>
  <c r="I366" i="44"/>
  <c r="I365" i="44" s="1"/>
  <c r="G366" i="44"/>
  <c r="G365" i="44" s="1"/>
  <c r="F366" i="44"/>
  <c r="F365" i="44" s="1"/>
  <c r="G364" i="44"/>
  <c r="K364" i="44" s="1"/>
  <c r="J363" i="44"/>
  <c r="N363" i="44" s="1"/>
  <c r="I363" i="44"/>
  <c r="I362" i="44" s="1"/>
  <c r="F363" i="44"/>
  <c r="F362" i="44" s="1"/>
  <c r="F361" i="44" s="1"/>
  <c r="J362" i="44"/>
  <c r="N362" i="44" s="1"/>
  <c r="K357" i="44"/>
  <c r="J356" i="44"/>
  <c r="N356" i="44" s="1"/>
  <c r="I356" i="44"/>
  <c r="I355" i="44" s="1"/>
  <c r="G356" i="44"/>
  <c r="G355" i="44" s="1"/>
  <c r="K354" i="44"/>
  <c r="J353" i="44"/>
  <c r="N353" i="44" s="1"/>
  <c r="I353" i="44"/>
  <c r="I352" i="44" s="1"/>
  <c r="G353" i="44"/>
  <c r="G352" i="44" s="1"/>
  <c r="G350" i="44"/>
  <c r="K350" i="44" s="1"/>
  <c r="J349" i="44"/>
  <c r="N349" i="44" s="1"/>
  <c r="I349" i="44"/>
  <c r="I348" i="44" s="1"/>
  <c r="F349" i="44"/>
  <c r="F348" i="44" s="1"/>
  <c r="G347" i="44"/>
  <c r="K347" i="44" s="1"/>
  <c r="J346" i="44"/>
  <c r="N346" i="44" s="1"/>
  <c r="I346" i="44"/>
  <c r="F346" i="44"/>
  <c r="F345" i="44" s="1"/>
  <c r="I345" i="44"/>
  <c r="G340" i="44"/>
  <c r="K340" i="44" s="1"/>
  <c r="J339" i="44"/>
  <c r="N339" i="44" s="1"/>
  <c r="I339" i="44"/>
  <c r="I337" i="44" s="1"/>
  <c r="I336" i="44" s="1"/>
  <c r="F339" i="44"/>
  <c r="F338" i="44" s="1"/>
  <c r="G335" i="44"/>
  <c r="K335" i="44" s="1"/>
  <c r="J334" i="44"/>
  <c r="N334" i="44" s="1"/>
  <c r="I334" i="44"/>
  <c r="I333" i="44" s="1"/>
  <c r="I332" i="44" s="1"/>
  <c r="F334" i="44"/>
  <c r="F333" i="44" s="1"/>
  <c r="F332" i="44" s="1"/>
  <c r="G331" i="44"/>
  <c r="K331" i="44" s="1"/>
  <c r="J330" i="44"/>
  <c r="N330" i="44" s="1"/>
  <c r="I330" i="44"/>
  <c r="I329" i="44" s="1"/>
  <c r="I328" i="44" s="1"/>
  <c r="F330" i="44"/>
  <c r="F329" i="44" s="1"/>
  <c r="F328" i="44" s="1"/>
  <c r="G324" i="44"/>
  <c r="K324" i="44" s="1"/>
  <c r="J323" i="44"/>
  <c r="N323" i="44" s="1"/>
  <c r="I323" i="44"/>
  <c r="I322" i="44" s="1"/>
  <c r="G323" i="44"/>
  <c r="G322" i="44" s="1"/>
  <c r="F323" i="44"/>
  <c r="F322" i="44" s="1"/>
  <c r="G321" i="44"/>
  <c r="K321" i="44" s="1"/>
  <c r="F321" i="44"/>
  <c r="F320" i="44" s="1"/>
  <c r="F319" i="44" s="1"/>
  <c r="J320" i="44"/>
  <c r="I320" i="44"/>
  <c r="I319" i="44" s="1"/>
  <c r="H316" i="44"/>
  <c r="G315" i="44"/>
  <c r="K315" i="44" s="1"/>
  <c r="J314" i="44"/>
  <c r="N314" i="44" s="1"/>
  <c r="I314" i="44"/>
  <c r="F314" i="44"/>
  <c r="F313" i="44" s="1"/>
  <c r="J313" i="44"/>
  <c r="N313" i="44" s="1"/>
  <c r="I313" i="44"/>
  <c r="G312" i="44"/>
  <c r="K312" i="44" s="1"/>
  <c r="J311" i="44"/>
  <c r="N311" i="44" s="1"/>
  <c r="I311" i="44"/>
  <c r="F311" i="44"/>
  <c r="F310" i="44" s="1"/>
  <c r="J310" i="44"/>
  <c r="N310" i="44" s="1"/>
  <c r="I310" i="44"/>
  <c r="K309" i="44"/>
  <c r="I309" i="44"/>
  <c r="I308" i="44" s="1"/>
  <c r="I307" i="44" s="1"/>
  <c r="J308" i="44"/>
  <c r="N308" i="44" s="1"/>
  <c r="G308" i="44"/>
  <c r="F308" i="44"/>
  <c r="F307" i="44" s="1"/>
  <c r="H306" i="44"/>
  <c r="H305" i="44" s="1"/>
  <c r="K304" i="44"/>
  <c r="J303" i="44"/>
  <c r="I303" i="44"/>
  <c r="I302" i="44" s="1"/>
  <c r="G303" i="44"/>
  <c r="G302" i="44" s="1"/>
  <c r="J300" i="44"/>
  <c r="N300" i="44" s="1"/>
  <c r="I301" i="44"/>
  <c r="G301" i="44"/>
  <c r="G300" i="44" s="1"/>
  <c r="G299" i="44" s="1"/>
  <c r="G298" i="44" s="1"/>
  <c r="F301" i="44"/>
  <c r="F300" i="44" s="1"/>
  <c r="F299" i="44" s="1"/>
  <c r="F298" i="44" s="1"/>
  <c r="F297" i="44" s="1"/>
  <c r="I300" i="44"/>
  <c r="I299" i="44" s="1"/>
  <c r="I298" i="44" s="1"/>
  <c r="G295" i="44"/>
  <c r="K295" i="44" s="1"/>
  <c r="J294" i="44"/>
  <c r="I294" i="44"/>
  <c r="I293" i="44" s="1"/>
  <c r="G292" i="44"/>
  <c r="K292" i="44" s="1"/>
  <c r="J291" i="44"/>
  <c r="N291" i="44" s="1"/>
  <c r="I291" i="44"/>
  <c r="I290" i="44" s="1"/>
  <c r="F291" i="44"/>
  <c r="F290" i="44" s="1"/>
  <c r="G289" i="44"/>
  <c r="K289" i="44" s="1"/>
  <c r="J288" i="44"/>
  <c r="N288" i="44" s="1"/>
  <c r="I288" i="44"/>
  <c r="I287" i="44" s="1"/>
  <c r="F288" i="44"/>
  <c r="F287" i="44" s="1"/>
  <c r="G286" i="44"/>
  <c r="K286" i="44" s="1"/>
  <c r="J285" i="44"/>
  <c r="N285" i="44" s="1"/>
  <c r="I285" i="44"/>
  <c r="I284" i="44" s="1"/>
  <c r="F285" i="44"/>
  <c r="F284" i="44" s="1"/>
  <c r="K281" i="44"/>
  <c r="J280" i="44"/>
  <c r="N280" i="44" s="1"/>
  <c r="I280" i="44"/>
  <c r="I279" i="44" s="1"/>
  <c r="G280" i="44"/>
  <c r="G279" i="44" s="1"/>
  <c r="G278" i="44"/>
  <c r="K278" i="44" s="1"/>
  <c r="J277" i="44"/>
  <c r="N277" i="44" s="1"/>
  <c r="I277" i="44"/>
  <c r="I276" i="44" s="1"/>
  <c r="F277" i="44"/>
  <c r="F276" i="44" s="1"/>
  <c r="K275" i="44"/>
  <c r="J274" i="44"/>
  <c r="N274" i="44" s="1"/>
  <c r="I274" i="44"/>
  <c r="I273" i="44" s="1"/>
  <c r="G274" i="44"/>
  <c r="G273" i="44" s="1"/>
  <c r="K272" i="44"/>
  <c r="J271" i="44"/>
  <c r="N271" i="44" s="1"/>
  <c r="I271" i="44"/>
  <c r="I270" i="44" s="1"/>
  <c r="G271" i="44"/>
  <c r="G270" i="44" s="1"/>
  <c r="F271" i="44"/>
  <c r="F270" i="44" s="1"/>
  <c r="F269" i="44" s="1"/>
  <c r="F268" i="44" s="1"/>
  <c r="J270" i="44"/>
  <c r="N270" i="44" s="1"/>
  <c r="K266" i="44"/>
  <c r="J265" i="44"/>
  <c r="N265" i="44" s="1"/>
  <c r="I265" i="44"/>
  <c r="I264" i="44" s="1"/>
  <c r="G265" i="44"/>
  <c r="G264" i="44" s="1"/>
  <c r="K263" i="44"/>
  <c r="J262" i="44"/>
  <c r="N262" i="44" s="1"/>
  <c r="I262" i="44"/>
  <c r="I261" i="44" s="1"/>
  <c r="G262" i="44"/>
  <c r="G261" i="44" s="1"/>
  <c r="K260" i="44"/>
  <c r="J259" i="44"/>
  <c r="N259" i="44" s="1"/>
  <c r="I259" i="44"/>
  <c r="I258" i="44" s="1"/>
  <c r="G259" i="44"/>
  <c r="G258" i="44" s="1"/>
  <c r="G257" i="44"/>
  <c r="K257" i="44" s="1"/>
  <c r="J256" i="44"/>
  <c r="I256" i="44"/>
  <c r="I255" i="44" s="1"/>
  <c r="G254" i="44"/>
  <c r="J253" i="44"/>
  <c r="I253" i="44"/>
  <c r="I252" i="44" s="1"/>
  <c r="G251" i="44"/>
  <c r="K251" i="44" s="1"/>
  <c r="J250" i="44"/>
  <c r="I250" i="44"/>
  <c r="I249" i="44" s="1"/>
  <c r="G248" i="44"/>
  <c r="G247" i="44" s="1"/>
  <c r="G246" i="44" s="1"/>
  <c r="J247" i="44"/>
  <c r="I247" i="44"/>
  <c r="I246" i="44" s="1"/>
  <c r="G245" i="44"/>
  <c r="K245" i="44" s="1"/>
  <c r="J244" i="44"/>
  <c r="N244" i="44" s="1"/>
  <c r="I244" i="44"/>
  <c r="G243" i="44"/>
  <c r="K243" i="44" s="1"/>
  <c r="J242" i="44"/>
  <c r="N242" i="44" s="1"/>
  <c r="I242" i="44"/>
  <c r="F242" i="44"/>
  <c r="G241" i="44"/>
  <c r="K241" i="44" s="1"/>
  <c r="J240" i="44"/>
  <c r="N240" i="44" s="1"/>
  <c r="I240" i="44"/>
  <c r="F240" i="44"/>
  <c r="J235" i="44"/>
  <c r="N235" i="44" s="1"/>
  <c r="G235" i="44"/>
  <c r="I234" i="44"/>
  <c r="I233" i="44" s="1"/>
  <c r="I232" i="44" s="1"/>
  <c r="I231" i="44" s="1"/>
  <c r="I230" i="44" s="1"/>
  <c r="G234" i="44"/>
  <c r="G233" i="44" s="1"/>
  <c r="G232" i="44" s="1"/>
  <c r="G231" i="44" s="1"/>
  <c r="G230" i="44" s="1"/>
  <c r="F234" i="44"/>
  <c r="F233" i="44" s="1"/>
  <c r="F232" i="44" s="1"/>
  <c r="F231" i="44" s="1"/>
  <c r="F230" i="44" s="1"/>
  <c r="G228" i="44"/>
  <c r="K228" i="44" s="1"/>
  <c r="J227" i="44"/>
  <c r="N227" i="44" s="1"/>
  <c r="I227" i="44"/>
  <c r="I226" i="44" s="1"/>
  <c r="I225" i="44" s="1"/>
  <c r="F227" i="44"/>
  <c r="F226" i="44" s="1"/>
  <c r="F225" i="44" s="1"/>
  <c r="G224" i="44"/>
  <c r="J223" i="44"/>
  <c r="N223" i="44" s="1"/>
  <c r="I223" i="44"/>
  <c r="I222" i="44" s="1"/>
  <c r="I221" i="44" s="1"/>
  <c r="I220" i="44" s="1"/>
  <c r="F223" i="44"/>
  <c r="F222" i="44" s="1"/>
  <c r="F221" i="44" s="1"/>
  <c r="G219" i="44"/>
  <c r="K219" i="44" s="1"/>
  <c r="J218" i="44"/>
  <c r="N218" i="44" s="1"/>
  <c r="I218" i="44"/>
  <c r="I217" i="44" s="1"/>
  <c r="I216" i="44" s="1"/>
  <c r="I215" i="44" s="1"/>
  <c r="F218" i="44"/>
  <c r="F217" i="44" s="1"/>
  <c r="F216" i="44" s="1"/>
  <c r="F215" i="44" s="1"/>
  <c r="J217" i="44"/>
  <c r="N217" i="44" s="1"/>
  <c r="K213" i="44"/>
  <c r="J212" i="44"/>
  <c r="N212" i="44" s="1"/>
  <c r="I212" i="44"/>
  <c r="I211" i="44" s="1"/>
  <c r="G212" i="44"/>
  <c r="G211" i="44" s="1"/>
  <c r="K210" i="44"/>
  <c r="J209" i="44"/>
  <c r="I209" i="44"/>
  <c r="I208" i="44" s="1"/>
  <c r="G209" i="44"/>
  <c r="G208" i="44" s="1"/>
  <c r="G207" i="44"/>
  <c r="J206" i="44"/>
  <c r="N206" i="44" s="1"/>
  <c r="I206" i="44"/>
  <c r="I205" i="44" s="1"/>
  <c r="F206" i="44"/>
  <c r="F205" i="44" s="1"/>
  <c r="F204" i="44" s="1"/>
  <c r="F203" i="44" s="1"/>
  <c r="F202" i="44" s="1"/>
  <c r="K201" i="44"/>
  <c r="J200" i="44"/>
  <c r="N200" i="44" s="1"/>
  <c r="I200" i="44"/>
  <c r="I199" i="44" s="1"/>
  <c r="H200" i="44"/>
  <c r="H199" i="44" s="1"/>
  <c r="G200" i="44"/>
  <c r="G199" i="44" s="1"/>
  <c r="G198" i="44"/>
  <c r="K198" i="44" s="1"/>
  <c r="J197" i="44"/>
  <c r="I197" i="44"/>
  <c r="I196" i="44" s="1"/>
  <c r="K193" i="44"/>
  <c r="F193" i="44"/>
  <c r="F192" i="44" s="1"/>
  <c r="F191" i="44" s="1"/>
  <c r="J192" i="44"/>
  <c r="N192" i="44" s="1"/>
  <c r="I192" i="44"/>
  <c r="I191" i="44" s="1"/>
  <c r="G192" i="44"/>
  <c r="G191" i="44" s="1"/>
  <c r="G190" i="44" s="1"/>
  <c r="K187" i="44"/>
  <c r="J186" i="44"/>
  <c r="N186" i="44" s="1"/>
  <c r="I186" i="44"/>
  <c r="I185" i="44" s="1"/>
  <c r="G186" i="44"/>
  <c r="G185" i="44" s="1"/>
  <c r="F186" i="44"/>
  <c r="F185" i="44" s="1"/>
  <c r="I180" i="44"/>
  <c r="I179" i="44" s="1"/>
  <c r="I178" i="44" s="1"/>
  <c r="I177" i="44" s="1"/>
  <c r="I176" i="44" s="1"/>
  <c r="G180" i="44"/>
  <c r="K180" i="44" s="1"/>
  <c r="J179" i="44"/>
  <c r="N179" i="44" s="1"/>
  <c r="F179" i="44"/>
  <c r="F178" i="44" s="1"/>
  <c r="F177" i="44" s="1"/>
  <c r="F176" i="44" s="1"/>
  <c r="G175" i="44"/>
  <c r="K175" i="44" s="1"/>
  <c r="J174" i="44"/>
  <c r="N174" i="44" s="1"/>
  <c r="I174" i="44"/>
  <c r="I173" i="44" s="1"/>
  <c r="I172" i="44" s="1"/>
  <c r="I171" i="44" s="1"/>
  <c r="F174" i="44"/>
  <c r="F173" i="44" s="1"/>
  <c r="F172" i="44" s="1"/>
  <c r="F171" i="44" s="1"/>
  <c r="G169" i="44"/>
  <c r="J168" i="44"/>
  <c r="N168" i="44" s="1"/>
  <c r="I168" i="44"/>
  <c r="I167" i="44" s="1"/>
  <c r="F168" i="44"/>
  <c r="F167" i="44" s="1"/>
  <c r="K166" i="44"/>
  <c r="J165" i="44"/>
  <c r="N165" i="44" s="1"/>
  <c r="I165" i="44"/>
  <c r="I164" i="44" s="1"/>
  <c r="I163" i="44" s="1"/>
  <c r="G165" i="44"/>
  <c r="F165" i="44"/>
  <c r="J164" i="44"/>
  <c r="F163" i="44"/>
  <c r="F162" i="44" s="1"/>
  <c r="F161" i="44" s="1"/>
  <c r="F160" i="44" s="1"/>
  <c r="K159" i="44"/>
  <c r="J158" i="44"/>
  <c r="K157" i="44"/>
  <c r="J156" i="44"/>
  <c r="N156" i="44" s="1"/>
  <c r="K154" i="44"/>
  <c r="J153" i="44"/>
  <c r="K152" i="44"/>
  <c r="J151" i="44"/>
  <c r="N151" i="44" s="1"/>
  <c r="K149" i="44"/>
  <c r="J148" i="44"/>
  <c r="K147" i="44"/>
  <c r="J146" i="44"/>
  <c r="N146" i="44" s="1"/>
  <c r="K144" i="44"/>
  <c r="J143" i="44"/>
  <c r="K141" i="44"/>
  <c r="J140" i="44"/>
  <c r="K139" i="44"/>
  <c r="J138" i="44"/>
  <c r="K136" i="44"/>
  <c r="J135" i="44"/>
  <c r="N135" i="44" s="1"/>
  <c r="K133" i="44"/>
  <c r="J132" i="44"/>
  <c r="N132" i="44" s="1"/>
  <c r="I132" i="44"/>
  <c r="G132" i="44"/>
  <c r="K131" i="44"/>
  <c r="J130" i="44"/>
  <c r="N130" i="44" s="1"/>
  <c r="I130" i="44"/>
  <c r="I129" i="44" s="1"/>
  <c r="G130" i="44"/>
  <c r="G127" i="44"/>
  <c r="K127" i="44" s="1"/>
  <c r="J126" i="44"/>
  <c r="N126" i="44" s="1"/>
  <c r="I126" i="44"/>
  <c r="I125" i="44" s="1"/>
  <c r="I124" i="44"/>
  <c r="G124" i="44"/>
  <c r="K123" i="44"/>
  <c r="G123" i="44"/>
  <c r="J122" i="44"/>
  <c r="N122" i="44" s="1"/>
  <c r="I122" i="44"/>
  <c r="G121" i="44"/>
  <c r="K121" i="44" s="1"/>
  <c r="J120" i="44"/>
  <c r="N120" i="44" s="1"/>
  <c r="I120" i="44"/>
  <c r="F120" i="44"/>
  <c r="F119" i="44" s="1"/>
  <c r="G118" i="44"/>
  <c r="K118" i="44" s="1"/>
  <c r="J117" i="44"/>
  <c r="N117" i="44" s="1"/>
  <c r="I117" i="44"/>
  <c r="G116" i="44"/>
  <c r="K116" i="44" s="1"/>
  <c r="J115" i="44"/>
  <c r="N115" i="44" s="1"/>
  <c r="I115" i="44"/>
  <c r="F115" i="44"/>
  <c r="F114" i="44" s="1"/>
  <c r="G112" i="44"/>
  <c r="K112" i="44" s="1"/>
  <c r="J111" i="44"/>
  <c r="N111" i="44" s="1"/>
  <c r="I111" i="44"/>
  <c r="I110" i="44" s="1"/>
  <c r="I109" i="44" s="1"/>
  <c r="I108" i="44" s="1"/>
  <c r="F111" i="44"/>
  <c r="F110" i="44" s="1"/>
  <c r="F109" i="44" s="1"/>
  <c r="F108" i="44" s="1"/>
  <c r="K107" i="44"/>
  <c r="I107" i="44"/>
  <c r="I106" i="44" s="1"/>
  <c r="G107" i="44"/>
  <c r="J106" i="44"/>
  <c r="N106" i="44" s="1"/>
  <c r="G106" i="44"/>
  <c r="G105" i="44"/>
  <c r="J104" i="44"/>
  <c r="N104" i="44" s="1"/>
  <c r="I104" i="44"/>
  <c r="K103" i="44"/>
  <c r="G103" i="44"/>
  <c r="J102" i="44"/>
  <c r="N102" i="44" s="1"/>
  <c r="I102" i="44"/>
  <c r="G102" i="44"/>
  <c r="F102" i="44"/>
  <c r="F101" i="44" s="1"/>
  <c r="F100" i="44" s="1"/>
  <c r="F99" i="44" s="1"/>
  <c r="G98" i="44"/>
  <c r="K98" i="44" s="1"/>
  <c r="J97" i="44"/>
  <c r="N97" i="44" s="1"/>
  <c r="I97" i="44"/>
  <c r="I96" i="44" s="1"/>
  <c r="F97" i="44"/>
  <c r="F96" i="44" s="1"/>
  <c r="G95" i="44"/>
  <c r="J94" i="44"/>
  <c r="N94" i="44" s="1"/>
  <c r="I94" i="44"/>
  <c r="I93" i="44" s="1"/>
  <c r="F94" i="44"/>
  <c r="F93" i="44" s="1"/>
  <c r="G90" i="44"/>
  <c r="K90" i="44" s="1"/>
  <c r="J89" i="44"/>
  <c r="N89" i="44" s="1"/>
  <c r="I89" i="44"/>
  <c r="I88" i="44" s="1"/>
  <c r="I87" i="44" s="1"/>
  <c r="I86" i="44" s="1"/>
  <c r="G85" i="44"/>
  <c r="K85" i="44" s="1"/>
  <c r="J84" i="44"/>
  <c r="N84" i="44" s="1"/>
  <c r="I84" i="44"/>
  <c r="F84" i="44"/>
  <c r="G83" i="44"/>
  <c r="G82" i="44" s="1"/>
  <c r="J82" i="44"/>
  <c r="N82" i="44" s="1"/>
  <c r="I82" i="44"/>
  <c r="F82" i="44"/>
  <c r="G79" i="44"/>
  <c r="K79" i="44" s="1"/>
  <c r="J78" i="44"/>
  <c r="N78" i="44" s="1"/>
  <c r="I78" i="44"/>
  <c r="G77" i="44"/>
  <c r="K77" i="44" s="1"/>
  <c r="J76" i="44"/>
  <c r="N76" i="44" s="1"/>
  <c r="I76" i="44"/>
  <c r="F76" i="44"/>
  <c r="G75" i="44"/>
  <c r="K75" i="44" s="1"/>
  <c r="J74" i="44"/>
  <c r="N74" i="44" s="1"/>
  <c r="I74" i="44"/>
  <c r="F74" i="44"/>
  <c r="F73" i="44" s="1"/>
  <c r="F72" i="44" s="1"/>
  <c r="K71" i="44"/>
  <c r="J70" i="44"/>
  <c r="N70" i="44" s="1"/>
  <c r="I70" i="44"/>
  <c r="I69" i="44" s="1"/>
  <c r="G70" i="44"/>
  <c r="G69" i="44" s="1"/>
  <c r="G68" i="44"/>
  <c r="G67" i="44" s="1"/>
  <c r="G66" i="44" s="1"/>
  <c r="J67" i="44"/>
  <c r="N67" i="44" s="1"/>
  <c r="I67" i="44"/>
  <c r="I66" i="44" s="1"/>
  <c r="F67" i="44"/>
  <c r="F66" i="44" s="1"/>
  <c r="G65" i="44"/>
  <c r="K65" i="44" s="1"/>
  <c r="J64" i="44"/>
  <c r="N64" i="44" s="1"/>
  <c r="I64" i="44"/>
  <c r="I63" i="44" s="1"/>
  <c r="F64" i="44"/>
  <c r="F63" i="44" s="1"/>
  <c r="K59" i="44"/>
  <c r="J58" i="44"/>
  <c r="N58" i="44" s="1"/>
  <c r="I58" i="44"/>
  <c r="I57" i="44" s="1"/>
  <c r="I56" i="44" s="1"/>
  <c r="I55" i="44" s="1"/>
  <c r="G58" i="44"/>
  <c r="G57" i="44" s="1"/>
  <c r="G56" i="44" s="1"/>
  <c r="G55" i="44" s="1"/>
  <c r="F58" i="44"/>
  <c r="F57" i="44" s="1"/>
  <c r="F56" i="44" s="1"/>
  <c r="F55" i="44" s="1"/>
  <c r="J57" i="44"/>
  <c r="N57" i="44" s="1"/>
  <c r="G54" i="44"/>
  <c r="K54" i="44" s="1"/>
  <c r="J53" i="44"/>
  <c r="N53" i="44" s="1"/>
  <c r="I53" i="44"/>
  <c r="I52" i="44" s="1"/>
  <c r="I51" i="44" s="1"/>
  <c r="I50" i="44" s="1"/>
  <c r="F53" i="44"/>
  <c r="F52" i="44" s="1"/>
  <c r="F51" i="44" s="1"/>
  <c r="F50" i="44" s="1"/>
  <c r="I49" i="44"/>
  <c r="G49" i="44"/>
  <c r="G48" i="44" s="1"/>
  <c r="F49" i="44"/>
  <c r="F48" i="44" s="1"/>
  <c r="F47" i="44" s="1"/>
  <c r="J48" i="44"/>
  <c r="N48" i="44" s="1"/>
  <c r="I48" i="44"/>
  <c r="I47" i="44" s="1"/>
  <c r="G43" i="44"/>
  <c r="K43" i="44" s="1"/>
  <c r="J42" i="44"/>
  <c r="N42" i="44" s="1"/>
  <c r="I42" i="44"/>
  <c r="F42" i="44"/>
  <c r="I41" i="44"/>
  <c r="G41" i="44"/>
  <c r="G40" i="44" s="1"/>
  <c r="J40" i="44"/>
  <c r="N40" i="44" s="1"/>
  <c r="I40" i="44"/>
  <c r="F40" i="44"/>
  <c r="G36" i="44"/>
  <c r="K36" i="44" s="1"/>
  <c r="J35" i="44"/>
  <c r="N35" i="44" s="1"/>
  <c r="I35" i="44"/>
  <c r="I34" i="44" s="1"/>
  <c r="I33" i="44" s="1"/>
  <c r="I32" i="44" s="1"/>
  <c r="F35" i="44"/>
  <c r="F34" i="44" s="1"/>
  <c r="F33" i="44" s="1"/>
  <c r="F32" i="44" s="1"/>
  <c r="G29" i="44"/>
  <c r="K29" i="44" s="1"/>
  <c r="J28" i="44"/>
  <c r="N28" i="44" s="1"/>
  <c r="I28" i="44"/>
  <c r="I27" i="44" s="1"/>
  <c r="I26" i="44" s="1"/>
  <c r="I25" i="44" s="1"/>
  <c r="F28" i="44"/>
  <c r="F27" i="44" s="1"/>
  <c r="F26" i="44" s="1"/>
  <c r="F25" i="44" s="1"/>
  <c r="G24" i="44"/>
  <c r="G23" i="44" s="1"/>
  <c r="G22" i="44" s="1"/>
  <c r="G21" i="44" s="1"/>
  <c r="G20" i="44" s="1"/>
  <c r="J23" i="44"/>
  <c r="I23" i="44"/>
  <c r="I22" i="44" s="1"/>
  <c r="I21" i="44" s="1"/>
  <c r="I20" i="44" s="1"/>
  <c r="F22" i="44"/>
  <c r="F21" i="44" s="1"/>
  <c r="F20" i="44" s="1"/>
  <c r="F19" i="44" s="1"/>
  <c r="G18" i="44"/>
  <c r="G17" i="44" s="1"/>
  <c r="J17" i="44"/>
  <c r="N17" i="44" s="1"/>
  <c r="I17" i="44"/>
  <c r="G16" i="44"/>
  <c r="K16" i="44" s="1"/>
  <c r="J15" i="44"/>
  <c r="N15" i="44" s="1"/>
  <c r="I15" i="44"/>
  <c r="F15" i="44"/>
  <c r="I14" i="44"/>
  <c r="G14" i="44"/>
  <c r="G13" i="44" s="1"/>
  <c r="J13" i="44"/>
  <c r="N13" i="44" s="1"/>
  <c r="I13" i="44"/>
  <c r="I12" i="44" s="1"/>
  <c r="I11" i="44" s="1"/>
  <c r="I10" i="44" s="1"/>
  <c r="F13" i="44"/>
  <c r="G244" i="44" l="1"/>
  <c r="K248" i="44"/>
  <c r="J96" i="44"/>
  <c r="N96" i="44" s="1"/>
  <c r="J290" i="44"/>
  <c r="N290" i="44" s="1"/>
  <c r="G346" i="44"/>
  <c r="J376" i="44"/>
  <c r="N376" i="44" s="1"/>
  <c r="G457" i="44"/>
  <c r="G465" i="44"/>
  <c r="G464" i="44" s="1"/>
  <c r="G501" i="44"/>
  <c r="G677" i="44"/>
  <c r="J287" i="44"/>
  <c r="N287" i="44" s="1"/>
  <c r="J548" i="44"/>
  <c r="N548" i="44" s="1"/>
  <c r="G587" i="44"/>
  <c r="G615" i="44"/>
  <c r="G614" i="44" s="1"/>
  <c r="G613" i="44" s="1"/>
  <c r="G311" i="44"/>
  <c r="G310" i="44" s="1"/>
  <c r="K310" i="44" s="1"/>
  <c r="K41" i="44"/>
  <c r="G84" i="44"/>
  <c r="G197" i="44"/>
  <c r="G196" i="44" s="1"/>
  <c r="G218" i="44"/>
  <c r="G555" i="44"/>
  <c r="G554" i="44" s="1"/>
  <c r="K668" i="44"/>
  <c r="K587" i="44"/>
  <c r="J348" i="44"/>
  <c r="N348" i="44" s="1"/>
  <c r="G474" i="44"/>
  <c r="G473" i="44" s="1"/>
  <c r="G670" i="44"/>
  <c r="G291" i="44"/>
  <c r="G290" i="44" s="1"/>
  <c r="G320" i="44"/>
  <c r="K320" i="44" s="1"/>
  <c r="J345" i="44"/>
  <c r="N345" i="44" s="1"/>
  <c r="G78" i="44"/>
  <c r="G97" i="44"/>
  <c r="G96" i="44" s="1"/>
  <c r="G242" i="44"/>
  <c r="G256" i="44"/>
  <c r="G255" i="44" s="1"/>
  <c r="G288" i="44"/>
  <c r="G287" i="44" s="1"/>
  <c r="G294" i="44"/>
  <c r="G293" i="44" s="1"/>
  <c r="G349" i="44"/>
  <c r="G363" i="44"/>
  <c r="G362" i="44" s="1"/>
  <c r="G411" i="44"/>
  <c r="G410" i="44" s="1"/>
  <c r="G409" i="44" s="1"/>
  <c r="G408" i="44" s="1"/>
  <c r="G771" i="44" s="1"/>
  <c r="G420" i="44"/>
  <c r="G419" i="44" s="1"/>
  <c r="G418" i="44" s="1"/>
  <c r="G407" i="44" s="1"/>
  <c r="G479" i="44"/>
  <c r="G503" i="44"/>
  <c r="G549" i="44"/>
  <c r="G548" i="44" s="1"/>
  <c r="G568" i="44"/>
  <c r="G567" i="44" s="1"/>
  <c r="G622" i="44"/>
  <c r="G621" i="44" s="1"/>
  <c r="G665" i="44"/>
  <c r="G730" i="44"/>
  <c r="F39" i="44"/>
  <c r="F38" i="44" s="1"/>
  <c r="F37" i="44" s="1"/>
  <c r="K49" i="44"/>
  <c r="G314" i="44"/>
  <c r="G330" i="44"/>
  <c r="G329" i="44" s="1"/>
  <c r="G328" i="44" s="1"/>
  <c r="G373" i="44"/>
  <c r="G372" i="44" s="1"/>
  <c r="G371" i="44" s="1"/>
  <c r="G377" i="44"/>
  <c r="G376" i="44" s="1"/>
  <c r="K376" i="44" s="1"/>
  <c r="G728" i="44"/>
  <c r="J554" i="44"/>
  <c r="N554" i="44" s="1"/>
  <c r="J586" i="44"/>
  <c r="N586" i="44" s="1"/>
  <c r="J338" i="44"/>
  <c r="N338" i="44" s="1"/>
  <c r="F12" i="44"/>
  <c r="F11" i="44" s="1"/>
  <c r="F10" i="44" s="1"/>
  <c r="I114" i="44"/>
  <c r="J167" i="44"/>
  <c r="N167" i="44" s="1"/>
  <c r="J279" i="44"/>
  <c r="N279" i="44" s="1"/>
  <c r="I92" i="44"/>
  <c r="I91" i="44" s="1"/>
  <c r="J205" i="44"/>
  <c r="N205" i="44" s="1"/>
  <c r="J742" i="44"/>
  <c r="N742" i="44" s="1"/>
  <c r="M561" i="44"/>
  <c r="N140" i="44"/>
  <c r="J302" i="44"/>
  <c r="N302" i="44" s="1"/>
  <c r="N303" i="44"/>
  <c r="J394" i="44"/>
  <c r="N394" i="44" s="1"/>
  <c r="N395" i="44"/>
  <c r="J398" i="44"/>
  <c r="N398" i="44" s="1"/>
  <c r="N399" i="44"/>
  <c r="J634" i="44"/>
  <c r="N634" i="44" s="1"/>
  <c r="N635" i="44"/>
  <c r="J22" i="44"/>
  <c r="N22" i="44" s="1"/>
  <c r="N23" i="44"/>
  <c r="J191" i="44"/>
  <c r="N191" i="44" s="1"/>
  <c r="J196" i="44"/>
  <c r="N196" i="44" s="1"/>
  <c r="N197" i="44"/>
  <c r="J47" i="44"/>
  <c r="J52" i="44"/>
  <c r="N52" i="44" s="1"/>
  <c r="J114" i="44"/>
  <c r="N114" i="44" s="1"/>
  <c r="N138" i="44"/>
  <c r="N143" i="44"/>
  <c r="N148" i="44"/>
  <c r="N153" i="44"/>
  <c r="N158" i="44"/>
  <c r="J163" i="44"/>
  <c r="N163" i="44" s="1"/>
  <c r="N164" i="44"/>
  <c r="J178" i="44"/>
  <c r="J216" i="44"/>
  <c r="J246" i="44"/>
  <c r="N246" i="44" s="1"/>
  <c r="N247" i="44"/>
  <c r="J249" i="44"/>
  <c r="N249" i="44" s="1"/>
  <c r="N250" i="44"/>
  <c r="J293" i="44"/>
  <c r="N293" i="44" s="1"/>
  <c r="N294" i="44"/>
  <c r="J69" i="44"/>
  <c r="N69" i="44" s="1"/>
  <c r="I81" i="44"/>
  <c r="I80" i="44" s="1"/>
  <c r="J88" i="44"/>
  <c r="N88" i="44" s="1"/>
  <c r="J93" i="44"/>
  <c r="N93" i="44" s="1"/>
  <c r="F113" i="44"/>
  <c r="J208" i="44"/>
  <c r="N208" i="44" s="1"/>
  <c r="N209" i="44"/>
  <c r="J226" i="44"/>
  <c r="N226" i="44" s="1"/>
  <c r="J276" i="44"/>
  <c r="N276" i="44" s="1"/>
  <c r="I338" i="44"/>
  <c r="J355" i="44"/>
  <c r="N355" i="44" s="1"/>
  <c r="J368" i="44"/>
  <c r="N368" i="44" s="1"/>
  <c r="J379" i="44"/>
  <c r="N379" i="44" s="1"/>
  <c r="J410" i="44"/>
  <c r="J517" i="44"/>
  <c r="N517" i="44" s="1"/>
  <c r="N574" i="44"/>
  <c r="G586" i="44"/>
  <c r="K586" i="44" s="1"/>
  <c r="J599" i="44"/>
  <c r="N599" i="44" s="1"/>
  <c r="N600" i="44"/>
  <c r="J618" i="44"/>
  <c r="N618" i="44" s="1"/>
  <c r="K665" i="44"/>
  <c r="N665" i="44"/>
  <c r="N667" i="44"/>
  <c r="J669" i="44"/>
  <c r="N669" i="44" s="1"/>
  <c r="J717" i="44"/>
  <c r="N717" i="44" s="1"/>
  <c r="N718" i="44"/>
  <c r="F727" i="44"/>
  <c r="J737" i="44"/>
  <c r="N737" i="44" s="1"/>
  <c r="N738" i="44"/>
  <c r="N216" i="44"/>
  <c r="M215" i="44"/>
  <c r="M203" i="44"/>
  <c r="M176" i="44"/>
  <c r="M182" i="44"/>
  <c r="M408" i="44"/>
  <c r="M160" i="44"/>
  <c r="M523" i="44"/>
  <c r="J708" i="44"/>
  <c r="N708" i="44" s="1"/>
  <c r="N709" i="44"/>
  <c r="J727" i="44"/>
  <c r="N727" i="44" s="1"/>
  <c r="N730" i="44"/>
  <c r="M610" i="44"/>
  <c r="M721" i="44"/>
  <c r="M297" i="44"/>
  <c r="M327" i="44"/>
  <c r="M660" i="44"/>
  <c r="M194" i="44"/>
  <c r="M488" i="44"/>
  <c r="M440" i="44"/>
  <c r="J239" i="44"/>
  <c r="N239" i="44" s="1"/>
  <c r="J252" i="44"/>
  <c r="N252" i="44" s="1"/>
  <c r="N253" i="44"/>
  <c r="J255" i="44"/>
  <c r="N255" i="44" s="1"/>
  <c r="N256" i="44"/>
  <c r="J284" i="44"/>
  <c r="N284" i="44" s="1"/>
  <c r="J365" i="44"/>
  <c r="N365" i="44" s="1"/>
  <c r="N366" i="44"/>
  <c r="I418" i="44"/>
  <c r="J446" i="44"/>
  <c r="N446" i="44" s="1"/>
  <c r="N447" i="44"/>
  <c r="J449" i="44"/>
  <c r="N449" i="44" s="1"/>
  <c r="N450" i="44"/>
  <c r="J467" i="44"/>
  <c r="N467" i="44" s="1"/>
  <c r="J526" i="44"/>
  <c r="N526" i="44" s="1"/>
  <c r="J536" i="44"/>
  <c r="N536" i="44" s="1"/>
  <c r="J557" i="44"/>
  <c r="N557" i="44" s="1"/>
  <c r="N558" i="44"/>
  <c r="N593" i="44"/>
  <c r="J692" i="44"/>
  <c r="N692" i="44" s="1"/>
  <c r="N693" i="44"/>
  <c r="J741" i="44"/>
  <c r="N741" i="44" s="1"/>
  <c r="M359" i="44"/>
  <c r="M25" i="44"/>
  <c r="M55" i="44"/>
  <c r="M697" i="44"/>
  <c r="M510" i="44"/>
  <c r="M494" i="44" s="1"/>
  <c r="M481" i="44"/>
  <c r="M453" i="44" s="1"/>
  <c r="M32" i="44"/>
  <c r="M317" i="44"/>
  <c r="M425" i="44"/>
  <c r="M342" i="44"/>
  <c r="O342" i="44" s="1"/>
  <c r="J319" i="44"/>
  <c r="N319" i="44" s="1"/>
  <c r="N320" i="44"/>
  <c r="J382" i="44"/>
  <c r="N382" i="44" s="1"/>
  <c r="N383" i="44"/>
  <c r="N597" i="44"/>
  <c r="J603" i="44"/>
  <c r="N603" i="44" s="1"/>
  <c r="N604" i="44"/>
  <c r="J656" i="44"/>
  <c r="N657" i="44"/>
  <c r="F723" i="44"/>
  <c r="F722" i="44" s="1"/>
  <c r="F721" i="44" s="1"/>
  <c r="F720" i="44" s="1"/>
  <c r="M61" i="44"/>
  <c r="M706" i="44"/>
  <c r="M20" i="44"/>
  <c r="M113" i="44"/>
  <c r="M37" i="44"/>
  <c r="M220" i="44"/>
  <c r="M237" i="44"/>
  <c r="M99" i="44"/>
  <c r="I699" i="44"/>
  <c r="I698" i="44" s="1"/>
  <c r="I697" i="44" s="1"/>
  <c r="I696" i="44" s="1"/>
  <c r="I695" i="44" s="1"/>
  <c r="I688" i="44" s="1"/>
  <c r="K431" i="44"/>
  <c r="K366" i="44"/>
  <c r="G104" i="44"/>
  <c r="K105" i="44"/>
  <c r="G111" i="44"/>
  <c r="G110" i="44" s="1"/>
  <c r="G109" i="44" s="1"/>
  <c r="G108" i="44" s="1"/>
  <c r="G786" i="44" s="1"/>
  <c r="G168" i="44"/>
  <c r="G167" i="44" s="1"/>
  <c r="K169" i="44"/>
  <c r="G206" i="44"/>
  <c r="G205" i="44" s="1"/>
  <c r="G204" i="44" s="1"/>
  <c r="G203" i="44" s="1"/>
  <c r="K207" i="44"/>
  <c r="G223" i="44"/>
  <c r="G222" i="44" s="1"/>
  <c r="G221" i="44" s="1"/>
  <c r="K224" i="44"/>
  <c r="G253" i="44"/>
  <c r="G252" i="44" s="1"/>
  <c r="K252" i="44" s="1"/>
  <c r="K254" i="44"/>
  <c r="G277" i="44"/>
  <c r="K301" i="44"/>
  <c r="G459" i="44"/>
  <c r="K459" i="44" s="1"/>
  <c r="K460" i="44"/>
  <c r="G498" i="44"/>
  <c r="G497" i="44" s="1"/>
  <c r="G514" i="44"/>
  <c r="G513" i="44" s="1"/>
  <c r="G512" i="44" s="1"/>
  <c r="G511" i="44" s="1"/>
  <c r="K515" i="44"/>
  <c r="G578" i="44"/>
  <c r="G577" i="44" s="1"/>
  <c r="G590" i="44"/>
  <c r="G589" i="44" s="1"/>
  <c r="K591" i="44"/>
  <c r="G619" i="44"/>
  <c r="G618" i="44" s="1"/>
  <c r="G631" i="44"/>
  <c r="K631" i="44" s="1"/>
  <c r="G663" i="44"/>
  <c r="G662" i="44" s="1"/>
  <c r="G126" i="44"/>
  <c r="G125" i="44" s="1"/>
  <c r="K14" i="44"/>
  <c r="G76" i="44"/>
  <c r="G94" i="44"/>
  <c r="K94" i="44" s="1"/>
  <c r="K95" i="44"/>
  <c r="G115" i="44"/>
  <c r="K115" i="44" s="1"/>
  <c r="G743" i="44"/>
  <c r="K743" i="44" s="1"/>
  <c r="G53" i="44"/>
  <c r="G52" i="44" s="1"/>
  <c r="G51" i="44" s="1"/>
  <c r="G50" i="44" s="1"/>
  <c r="K84" i="44"/>
  <c r="G89" i="44"/>
  <c r="G88" i="44" s="1"/>
  <c r="G87" i="44" s="1"/>
  <c r="G86" i="44" s="1"/>
  <c r="G774" i="44" s="1"/>
  <c r="G174" i="44"/>
  <c r="G173" i="44" s="1"/>
  <c r="G172" i="44" s="1"/>
  <c r="G171" i="44" s="1"/>
  <c r="G227" i="44"/>
  <c r="G226" i="44" s="1"/>
  <c r="G225" i="44" s="1"/>
  <c r="G240" i="44"/>
  <c r="G250" i="44"/>
  <c r="K250" i="44" s="1"/>
  <c r="G285" i="44"/>
  <c r="G284" i="44" s="1"/>
  <c r="G334" i="44"/>
  <c r="G333" i="44" s="1"/>
  <c r="G332" i="44" s="1"/>
  <c r="G339" i="44"/>
  <c r="G337" i="44" s="1"/>
  <c r="G336" i="44" s="1"/>
  <c r="G779" i="44" s="1"/>
  <c r="G369" i="44"/>
  <c r="G368" i="44" s="1"/>
  <c r="G361" i="44" s="1"/>
  <c r="G405" i="44"/>
  <c r="G404" i="44" s="1"/>
  <c r="G403" i="44" s="1"/>
  <c r="G402" i="44" s="1"/>
  <c r="G491" i="44"/>
  <c r="G490" i="44" s="1"/>
  <c r="G489" i="44" s="1"/>
  <c r="G488" i="44" s="1"/>
  <c r="G487" i="44" s="1"/>
  <c r="G486" i="44" s="1"/>
  <c r="G764" i="44" s="1"/>
  <c r="G505" i="44"/>
  <c r="G500" i="44" s="1"/>
  <c r="K506" i="44"/>
  <c r="G518" i="44"/>
  <c r="G517" i="44" s="1"/>
  <c r="G516" i="44" s="1"/>
  <c r="G510" i="44" s="1"/>
  <c r="G527" i="44"/>
  <c r="G526" i="44" s="1"/>
  <c r="G525" i="44" s="1"/>
  <c r="K528" i="44"/>
  <c r="G534" i="44"/>
  <c r="G533" i="44" s="1"/>
  <c r="G537" i="44"/>
  <c r="G536" i="44" s="1"/>
  <c r="K632" i="44"/>
  <c r="G657" i="44"/>
  <c r="G656" i="44" s="1"/>
  <c r="G655" i="44" s="1"/>
  <c r="G672" i="44"/>
  <c r="K672" i="44" s="1"/>
  <c r="G674" i="44"/>
  <c r="K674" i="44" s="1"/>
  <c r="K726" i="44"/>
  <c r="K739" i="44"/>
  <c r="J101" i="44"/>
  <c r="N101" i="44" s="1"/>
  <c r="F239" i="44"/>
  <c r="F238" i="44" s="1"/>
  <c r="F237" i="44" s="1"/>
  <c r="F236" i="44" s="1"/>
  <c r="F318" i="44"/>
  <c r="F317" i="44" s="1"/>
  <c r="F316" i="44" s="1"/>
  <c r="K465" i="44"/>
  <c r="K718" i="44"/>
  <c r="I39" i="44"/>
  <c r="I38" i="44" s="1"/>
  <c r="I37" i="44" s="1"/>
  <c r="F62" i="44"/>
  <c r="G101" i="44"/>
  <c r="G100" i="44" s="1"/>
  <c r="G99" i="44" s="1"/>
  <c r="G781" i="44" s="1"/>
  <c r="K106" i="44"/>
  <c r="I162" i="44"/>
  <c r="I161" i="44" s="1"/>
  <c r="I160" i="44" s="1"/>
  <c r="G297" i="44"/>
  <c r="I351" i="44"/>
  <c r="G428" i="44"/>
  <c r="F456" i="44"/>
  <c r="K604" i="44"/>
  <c r="I734" i="44"/>
  <c r="I297" i="44"/>
  <c r="I344" i="44"/>
  <c r="I595" i="44"/>
  <c r="F327" i="44"/>
  <c r="K693" i="44"/>
  <c r="K102" i="44"/>
  <c r="I283" i="44"/>
  <c r="I282" i="44" s="1"/>
  <c r="K303" i="44"/>
  <c r="F428" i="44"/>
  <c r="F81" i="44"/>
  <c r="F80" i="44" s="1"/>
  <c r="K302" i="44"/>
  <c r="K330" i="44"/>
  <c r="K438" i="44"/>
  <c r="K684" i="44"/>
  <c r="K725" i="44"/>
  <c r="K501" i="44"/>
  <c r="K539" i="44"/>
  <c r="K543" i="44"/>
  <c r="I101" i="44"/>
  <c r="I100" i="44" s="1"/>
  <c r="I99" i="44" s="1"/>
  <c r="J391" i="44"/>
  <c r="K391" i="44" s="1"/>
  <c r="K484" i="44"/>
  <c r="F525" i="44"/>
  <c r="F524" i="44" s="1"/>
  <c r="F523" i="44" s="1"/>
  <c r="F522" i="44" s="1"/>
  <c r="J533" i="44"/>
  <c r="N533" i="44" s="1"/>
  <c r="K540" i="44"/>
  <c r="J542" i="44"/>
  <c r="K542" i="44" s="1"/>
  <c r="I19" i="44"/>
  <c r="I9" i="44" s="1"/>
  <c r="I8" i="44" s="1"/>
  <c r="I119" i="44"/>
  <c r="I113" i="44" s="1"/>
  <c r="F360" i="44"/>
  <c r="F359" i="44" s="1"/>
  <c r="F358" i="44" s="1"/>
  <c r="J545" i="44"/>
  <c r="K545" i="44" s="1"/>
  <c r="F617" i="44"/>
  <c r="K635" i="44"/>
  <c r="K647" i="44"/>
  <c r="G81" i="44"/>
  <c r="G80" i="44" s="1"/>
  <c r="J87" i="44"/>
  <c r="K140" i="44"/>
  <c r="G375" i="44"/>
  <c r="I442" i="44"/>
  <c r="I441" i="44" s="1"/>
  <c r="I440" i="44" s="1"/>
  <c r="I525" i="44"/>
  <c r="K555" i="44"/>
  <c r="K728" i="44"/>
  <c r="K104" i="44"/>
  <c r="K186" i="44"/>
  <c r="G189" i="44"/>
  <c r="J264" i="44"/>
  <c r="K264" i="44" s="1"/>
  <c r="G351" i="44"/>
  <c r="K392" i="44"/>
  <c r="K554" i="44"/>
  <c r="I669" i="44"/>
  <c r="F699" i="44"/>
  <c r="F698" i="44" s="1"/>
  <c r="F697" i="44" s="1"/>
  <c r="F696" i="44" s="1"/>
  <c r="F695" i="44" s="1"/>
  <c r="F688" i="44" s="1"/>
  <c r="I727" i="44"/>
  <c r="I723" i="44" s="1"/>
  <c r="I722" i="44" s="1"/>
  <c r="I721" i="44" s="1"/>
  <c r="I720" i="44" s="1"/>
  <c r="F9" i="44"/>
  <c r="F8" i="44" s="1"/>
  <c r="I73" i="44"/>
  <c r="I72" i="44" s="1"/>
  <c r="I239" i="44"/>
  <c r="I238" i="44" s="1"/>
  <c r="I237" i="44" s="1"/>
  <c r="I236" i="44" s="1"/>
  <c r="K256" i="44"/>
  <c r="I306" i="44"/>
  <c r="I305" i="44" s="1"/>
  <c r="I361" i="44"/>
  <c r="J162" i="44"/>
  <c r="N162" i="44" s="1"/>
  <c r="K398" i="44"/>
  <c r="J397" i="44"/>
  <c r="N397" i="44" s="1"/>
  <c r="I184" i="44"/>
  <c r="I183" i="44"/>
  <c r="I182" i="44" s="1"/>
  <c r="K57" i="44"/>
  <c r="K130" i="44"/>
  <c r="K146" i="44"/>
  <c r="K151" i="44"/>
  <c r="K156" i="44"/>
  <c r="K259" i="44"/>
  <c r="I269" i="44"/>
  <c r="I268" i="44" s="1"/>
  <c r="K353" i="44"/>
  <c r="K355" i="44"/>
  <c r="J385" i="44"/>
  <c r="N385" i="44" s="1"/>
  <c r="F401" i="44"/>
  <c r="I428" i="44"/>
  <c r="K447" i="44"/>
  <c r="K450" i="44"/>
  <c r="I456" i="44"/>
  <c r="I455" i="44" s="1"/>
  <c r="I454" i="44" s="1"/>
  <c r="I453" i="44" s="1"/>
  <c r="I452" i="44" s="1"/>
  <c r="K477" i="44"/>
  <c r="K479" i="44"/>
  <c r="G483" i="44"/>
  <c r="G482" i="44" s="1"/>
  <c r="G481" i="44" s="1"/>
  <c r="G783" i="44" s="1"/>
  <c r="J500" i="44"/>
  <c r="N500" i="44" s="1"/>
  <c r="K503" i="44"/>
  <c r="K22" i="44"/>
  <c r="J27" i="44"/>
  <c r="N27" i="44" s="1"/>
  <c r="K58" i="44"/>
  <c r="I62" i="44"/>
  <c r="K70" i="44"/>
  <c r="K76" i="44"/>
  <c r="J110" i="44"/>
  <c r="N110" i="44" s="1"/>
  <c r="J129" i="44"/>
  <c r="N129" i="44" s="1"/>
  <c r="J185" i="44"/>
  <c r="N185" i="44" s="1"/>
  <c r="F190" i="44"/>
  <c r="F189" i="44" s="1"/>
  <c r="F188" i="44" s="1"/>
  <c r="K192" i="44"/>
  <c r="K212" i="44"/>
  <c r="F220" i="44"/>
  <c r="K244" i="44"/>
  <c r="J258" i="44"/>
  <c r="N258" i="44" s="1"/>
  <c r="J261" i="44"/>
  <c r="K261" i="44" s="1"/>
  <c r="K265" i="44"/>
  <c r="K270" i="44"/>
  <c r="K271" i="44"/>
  <c r="J273" i="44"/>
  <c r="K277" i="44"/>
  <c r="K287" i="44"/>
  <c r="K288" i="44"/>
  <c r="J307" i="44"/>
  <c r="N307" i="44" s="1"/>
  <c r="K314" i="44"/>
  <c r="K349" i="44"/>
  <c r="J352" i="44"/>
  <c r="N352" i="44" s="1"/>
  <c r="K363" i="44"/>
  <c r="J371" i="44"/>
  <c r="N371" i="44" s="1"/>
  <c r="K379" i="44"/>
  <c r="K380" i="44"/>
  <c r="K386" i="44"/>
  <c r="K429" i="44"/>
  <c r="K444" i="44"/>
  <c r="K446" i="44"/>
  <c r="J456" i="44"/>
  <c r="N456" i="44" s="1"/>
  <c r="K457" i="44"/>
  <c r="K474" i="44"/>
  <c r="J483" i="44"/>
  <c r="J482" i="44" s="1"/>
  <c r="N482" i="44" s="1"/>
  <c r="F500" i="44"/>
  <c r="J46" i="44"/>
  <c r="N46" i="44" s="1"/>
  <c r="K69" i="44"/>
  <c r="K126" i="44"/>
  <c r="J134" i="44"/>
  <c r="N134" i="44" s="1"/>
  <c r="K168" i="44"/>
  <c r="I195" i="44"/>
  <c r="I194" i="44" s="1"/>
  <c r="J199" i="44"/>
  <c r="K209" i="44"/>
  <c r="J211" i="44"/>
  <c r="N211" i="44" s="1"/>
  <c r="K227" i="44"/>
  <c r="K242" i="44"/>
  <c r="K247" i="44"/>
  <c r="K262" i="44"/>
  <c r="K274" i="44"/>
  <c r="K280" i="44"/>
  <c r="K311" i="44"/>
  <c r="I318" i="44"/>
  <c r="I317" i="44" s="1"/>
  <c r="I316" i="44" s="1"/>
  <c r="J322" i="44"/>
  <c r="K322" i="44" s="1"/>
  <c r="J337" i="44"/>
  <c r="N337" i="44" s="1"/>
  <c r="J344" i="44"/>
  <c r="N344" i="44" s="1"/>
  <c r="K346" i="44"/>
  <c r="J388" i="44"/>
  <c r="K410" i="44"/>
  <c r="K411" i="44"/>
  <c r="K416" i="44"/>
  <c r="K420" i="44"/>
  <c r="K422" i="44"/>
  <c r="K423" i="44"/>
  <c r="J437" i="44"/>
  <c r="K437" i="44" s="1"/>
  <c r="J464" i="44"/>
  <c r="N464" i="44" s="1"/>
  <c r="K468" i="44"/>
  <c r="K471" i="44"/>
  <c r="G476" i="44"/>
  <c r="J490" i="44"/>
  <c r="J489" i="44" s="1"/>
  <c r="J497" i="44"/>
  <c r="N497" i="44" s="1"/>
  <c r="I500" i="44"/>
  <c r="I496" i="44" s="1"/>
  <c r="I495" i="44" s="1"/>
  <c r="I494" i="44" s="1"/>
  <c r="I493" i="44" s="1"/>
  <c r="F510" i="44"/>
  <c r="G595" i="44"/>
  <c r="K13" i="44"/>
  <c r="K17" i="44"/>
  <c r="K23" i="44"/>
  <c r="J34" i="44"/>
  <c r="N34" i="44" s="1"/>
  <c r="J73" i="44"/>
  <c r="K78" i="44"/>
  <c r="J125" i="44"/>
  <c r="N125" i="44" s="1"/>
  <c r="K135" i="44"/>
  <c r="I204" i="44"/>
  <c r="I203" i="44" s="1"/>
  <c r="I202" i="44" s="1"/>
  <c r="F214" i="44"/>
  <c r="K273" i="44"/>
  <c r="K308" i="44"/>
  <c r="K323" i="44"/>
  <c r="J329" i="44"/>
  <c r="K356" i="44"/>
  <c r="K383" i="44"/>
  <c r="K395" i="44"/>
  <c r="K399" i="44"/>
  <c r="J404" i="44"/>
  <c r="F455" i="44"/>
  <c r="F454" i="44" s="1"/>
  <c r="F453" i="44" s="1"/>
  <c r="F452" i="44" s="1"/>
  <c r="F496" i="44"/>
  <c r="F495" i="44" s="1"/>
  <c r="K498" i="44"/>
  <c r="K529" i="44"/>
  <c r="K530" i="44"/>
  <c r="K570" i="44"/>
  <c r="K571" i="44"/>
  <c r="K600" i="44"/>
  <c r="J607" i="44"/>
  <c r="N607" i="44" s="1"/>
  <c r="K622" i="44"/>
  <c r="J624" i="44"/>
  <c r="K648" i="44"/>
  <c r="K686" i="44"/>
  <c r="K709" i="44"/>
  <c r="K738" i="44"/>
  <c r="J740" i="44"/>
  <c r="N740" i="44" s="1"/>
  <c r="F563" i="44"/>
  <c r="K663" i="44"/>
  <c r="I662" i="44"/>
  <c r="I661" i="44" s="1"/>
  <c r="I660" i="44" s="1"/>
  <c r="I659" i="44" s="1"/>
  <c r="K715" i="44"/>
  <c r="K730" i="44"/>
  <c r="J602" i="44"/>
  <c r="N602" i="44" s="1"/>
  <c r="J641" i="44"/>
  <c r="N641" i="44" s="1"/>
  <c r="J662" i="44"/>
  <c r="J661" i="44" s="1"/>
  <c r="N661" i="44" s="1"/>
  <c r="F669" i="44"/>
  <c r="K714" i="44"/>
  <c r="I576" i="44"/>
  <c r="K599" i="44"/>
  <c r="K608" i="44"/>
  <c r="K667" i="44"/>
  <c r="K677" i="44"/>
  <c r="I707" i="44"/>
  <c r="I706" i="44" s="1"/>
  <c r="I705" i="44" s="1"/>
  <c r="I704" i="44" s="1"/>
  <c r="G327" i="44"/>
  <c r="G769" i="44" s="1"/>
  <c r="K246" i="44"/>
  <c r="K467" i="44"/>
  <c r="K625" i="44"/>
  <c r="K670" i="44"/>
  <c r="K334" i="44"/>
  <c r="K507" i="44"/>
  <c r="K508" i="44"/>
  <c r="F45" i="44"/>
  <c r="F44" i="44" s="1"/>
  <c r="F46" i="44"/>
  <c r="K67" i="44"/>
  <c r="K82" i="44"/>
  <c r="K48" i="44"/>
  <c r="G47" i="44"/>
  <c r="I46" i="44"/>
  <c r="I45" i="44"/>
  <c r="I44" i="44" s="1"/>
  <c r="F61" i="44"/>
  <c r="K40" i="44"/>
  <c r="I61" i="44"/>
  <c r="F92" i="44"/>
  <c r="F91" i="44" s="1"/>
  <c r="G15" i="44"/>
  <c r="G12" i="44" s="1"/>
  <c r="G42" i="44"/>
  <c r="G39" i="44" s="1"/>
  <c r="G38" i="44" s="1"/>
  <c r="G37" i="44" s="1"/>
  <c r="G64" i="44"/>
  <c r="G63" i="44" s="1"/>
  <c r="G62" i="44" s="1"/>
  <c r="J173" i="44"/>
  <c r="J12" i="44"/>
  <c r="N12" i="44" s="1"/>
  <c r="J21" i="44"/>
  <c r="K24" i="44"/>
  <c r="J39" i="44"/>
  <c r="N39" i="44" s="1"/>
  <c r="J56" i="44"/>
  <c r="J63" i="44"/>
  <c r="N63" i="44" s="1"/>
  <c r="J66" i="44"/>
  <c r="N66" i="44" s="1"/>
  <c r="K68" i="44"/>
  <c r="J81" i="44"/>
  <c r="K83" i="44"/>
  <c r="K153" i="44"/>
  <c r="J150" i="44"/>
  <c r="N150" i="44" s="1"/>
  <c r="G179" i="44"/>
  <c r="I214" i="44"/>
  <c r="J299" i="44"/>
  <c r="K300" i="44"/>
  <c r="F344" i="44"/>
  <c r="F343" i="44" s="1"/>
  <c r="F342" i="44" s="1"/>
  <c r="F341" i="44" s="1"/>
  <c r="G117" i="44"/>
  <c r="J137" i="44"/>
  <c r="N137" i="44" s="1"/>
  <c r="K138" i="44"/>
  <c r="K158" i="44"/>
  <c r="J155" i="44"/>
  <c r="F170" i="44"/>
  <c r="F184" i="44"/>
  <c r="F183" i="44"/>
  <c r="F182" i="44" s="1"/>
  <c r="I190" i="44"/>
  <c r="I189" i="44"/>
  <c r="K199" i="44"/>
  <c r="G776" i="44"/>
  <c r="G28" i="44"/>
  <c r="G27" i="44" s="1"/>
  <c r="G26" i="44" s="1"/>
  <c r="G25" i="44" s="1"/>
  <c r="G35" i="44"/>
  <c r="G34" i="44" s="1"/>
  <c r="G33" i="44" s="1"/>
  <c r="G32" i="44" s="1"/>
  <c r="G74" i="44"/>
  <c r="G120" i="44"/>
  <c r="K120" i="44" s="1"/>
  <c r="K18" i="44"/>
  <c r="K124" i="44"/>
  <c r="G122" i="44"/>
  <c r="K132" i="44"/>
  <c r="G129" i="44"/>
  <c r="J142" i="44"/>
  <c r="N142" i="44" s="1"/>
  <c r="K143" i="44"/>
  <c r="K165" i="44"/>
  <c r="G164" i="44"/>
  <c r="G163" i="44" s="1"/>
  <c r="G162" i="44" s="1"/>
  <c r="G161" i="44" s="1"/>
  <c r="G160" i="44" s="1"/>
  <c r="G755" i="44" s="1"/>
  <c r="K200" i="44"/>
  <c r="I327" i="44"/>
  <c r="I326" i="44" s="1"/>
  <c r="I325" i="44" s="1"/>
  <c r="J119" i="44"/>
  <c r="N119" i="44" s="1"/>
  <c r="K148" i="44"/>
  <c r="J145" i="44"/>
  <c r="N145" i="44" s="1"/>
  <c r="K167" i="44"/>
  <c r="I170" i="44"/>
  <c r="G183" i="44"/>
  <c r="G182" i="44" s="1"/>
  <c r="G184" i="44"/>
  <c r="J215" i="44"/>
  <c r="K218" i="44"/>
  <c r="G217" i="44"/>
  <c r="G216" i="44" s="1"/>
  <c r="G215" i="44" s="1"/>
  <c r="K223" i="44"/>
  <c r="J222" i="44"/>
  <c r="K235" i="44"/>
  <c r="J234" i="44"/>
  <c r="F306" i="44"/>
  <c r="F305" i="44" s="1"/>
  <c r="F296" i="44" s="1"/>
  <c r="F283" i="44" s="1"/>
  <c r="F282" i="44" s="1"/>
  <c r="F267" i="44" s="1"/>
  <c r="G276" i="44"/>
  <c r="K276" i="44" s="1"/>
  <c r="J283" i="44"/>
  <c r="N283" i="44" s="1"/>
  <c r="G307" i="44"/>
  <c r="G313" i="44"/>
  <c r="K313" i="44" s="1"/>
  <c r="G319" i="44"/>
  <c r="G318" i="44" s="1"/>
  <c r="G317" i="44" s="1"/>
  <c r="G316" i="44" s="1"/>
  <c r="J333" i="44"/>
  <c r="J336" i="44"/>
  <c r="G338" i="44"/>
  <c r="G345" i="44"/>
  <c r="G348" i="44"/>
  <c r="K348" i="44" s="1"/>
  <c r="J418" i="44"/>
  <c r="N418" i="44" s="1"/>
  <c r="K435" i="44"/>
  <c r="J434" i="44"/>
  <c r="N434" i="44" s="1"/>
  <c r="I375" i="44"/>
  <c r="J403" i="44"/>
  <c r="F337" i="44"/>
  <c r="F336" i="44" s="1"/>
  <c r="K377" i="44"/>
  <c r="K389" i="44"/>
  <c r="K362" i="44"/>
  <c r="K415" i="44"/>
  <c r="J414" i="44"/>
  <c r="I407" i="44"/>
  <c r="I401" i="44" s="1"/>
  <c r="J443" i="44"/>
  <c r="G449" i="44"/>
  <c r="K449" i="44" s="1"/>
  <c r="K470" i="44"/>
  <c r="K497" i="44"/>
  <c r="J473" i="44"/>
  <c r="N473" i="44" s="1"/>
  <c r="J476" i="44"/>
  <c r="N476" i="44" s="1"/>
  <c r="J513" i="44"/>
  <c r="J516" i="44"/>
  <c r="N516" i="44" s="1"/>
  <c r="K581" i="44"/>
  <c r="J580" i="44"/>
  <c r="N580" i="44" s="1"/>
  <c r="K593" i="44"/>
  <c r="J592" i="44"/>
  <c r="N592" i="44" s="1"/>
  <c r="F612" i="44"/>
  <c r="F611" i="44" s="1"/>
  <c r="F610" i="44" s="1"/>
  <c r="F521" i="44" s="1"/>
  <c r="F520" i="44" s="1"/>
  <c r="K574" i="44"/>
  <c r="J573" i="44"/>
  <c r="K584" i="44"/>
  <c r="J583" i="44"/>
  <c r="N583" i="44" s="1"/>
  <c r="F576" i="44"/>
  <c r="K597" i="44"/>
  <c r="J596" i="44"/>
  <c r="K643" i="44"/>
  <c r="G642" i="44"/>
  <c r="G641" i="44" s="1"/>
  <c r="G640" i="44" s="1"/>
  <c r="I532" i="44"/>
  <c r="I524" i="44" s="1"/>
  <c r="I523" i="44" s="1"/>
  <c r="I522" i="44" s="1"/>
  <c r="G558" i="44"/>
  <c r="G557" i="44" s="1"/>
  <c r="K565" i="44"/>
  <c r="G564" i="44"/>
  <c r="K615" i="44"/>
  <c r="J614" i="44"/>
  <c r="K406" i="44"/>
  <c r="K527" i="44"/>
  <c r="K536" i="44"/>
  <c r="K546" i="44"/>
  <c r="K548" i="44"/>
  <c r="K549" i="44"/>
  <c r="K551" i="44"/>
  <c r="K552" i="44"/>
  <c r="I563" i="44"/>
  <c r="K567" i="44"/>
  <c r="K578" i="44"/>
  <c r="J577" i="44"/>
  <c r="N577" i="44" s="1"/>
  <c r="K590" i="44"/>
  <c r="J589" i="44"/>
  <c r="F595" i="44"/>
  <c r="I617" i="44"/>
  <c r="I612" i="44" s="1"/>
  <c r="I611" i="44" s="1"/>
  <c r="I610" i="44" s="1"/>
  <c r="F638" i="44"/>
  <c r="F637" i="44" s="1"/>
  <c r="K656" i="44"/>
  <c r="J691" i="44"/>
  <c r="J707" i="44"/>
  <c r="N707" i="44" s="1"/>
  <c r="K708" i="44"/>
  <c r="K702" i="44"/>
  <c r="J699" i="44"/>
  <c r="N699" i="44" s="1"/>
  <c r="F707" i="44"/>
  <c r="F706" i="44" s="1"/>
  <c r="F705" i="44" s="1"/>
  <c r="F704" i="44" s="1"/>
  <c r="J621" i="44"/>
  <c r="N621" i="44" s="1"/>
  <c r="I639" i="44"/>
  <c r="I638" i="44" s="1"/>
  <c r="I637" i="44" s="1"/>
  <c r="K682" i="44"/>
  <c r="J681" i="44"/>
  <c r="K700" i="44"/>
  <c r="G699" i="44"/>
  <c r="G698" i="44" s="1"/>
  <c r="G697" i="44" s="1"/>
  <c r="G696" i="44" s="1"/>
  <c r="G695" i="44" s="1"/>
  <c r="G688" i="44" s="1"/>
  <c r="G717" i="44"/>
  <c r="K717" i="44" s="1"/>
  <c r="G732" i="44"/>
  <c r="K732" i="44" s="1"/>
  <c r="G676" i="44"/>
  <c r="G724" i="44"/>
  <c r="G727" i="44"/>
  <c r="J204" i="44" l="1"/>
  <c r="N204" i="44" s="1"/>
  <c r="K537" i="44"/>
  <c r="G73" i="44"/>
  <c r="G72" i="44" s="1"/>
  <c r="G61" i="44" s="1"/>
  <c r="K405" i="44"/>
  <c r="G617" i="44"/>
  <c r="K96" i="44"/>
  <c r="G283" i="44"/>
  <c r="G282" i="44" s="1"/>
  <c r="G784" i="44" s="1"/>
  <c r="K196" i="44"/>
  <c r="J427" i="44"/>
  <c r="J195" i="44"/>
  <c r="N195" i="44" s="1"/>
  <c r="F181" i="44"/>
  <c r="J26" i="44"/>
  <c r="N26" i="44" s="1"/>
  <c r="G630" i="44"/>
  <c r="K87" i="44"/>
  <c r="K53" i="44"/>
  <c r="I343" i="44"/>
  <c r="I342" i="44" s="1"/>
  <c r="I341" i="44" s="1"/>
  <c r="K533" i="44"/>
  <c r="I360" i="44"/>
  <c r="I359" i="44" s="1"/>
  <c r="I358" i="44" s="1"/>
  <c r="K191" i="44"/>
  <c r="K226" i="44"/>
  <c r="K568" i="44"/>
  <c r="K284" i="44"/>
  <c r="I296" i="44"/>
  <c r="I267" i="44" s="1"/>
  <c r="I229" i="44" s="1"/>
  <c r="K197" i="44"/>
  <c r="G532" i="44"/>
  <c r="G524" i="44" s="1"/>
  <c r="G523" i="44" s="1"/>
  <c r="J238" i="44"/>
  <c r="N238" i="44" s="1"/>
  <c r="F494" i="44"/>
  <c r="F493" i="44" s="1"/>
  <c r="K692" i="44"/>
  <c r="K727" i="44"/>
  <c r="K662" i="44"/>
  <c r="J525" i="44"/>
  <c r="K525" i="44" s="1"/>
  <c r="G563" i="44"/>
  <c r="F326" i="44"/>
  <c r="F325" i="44" s="1"/>
  <c r="K419" i="44"/>
  <c r="J318" i="44"/>
  <c r="N318" i="44" s="1"/>
  <c r="J161" i="44"/>
  <c r="N161" i="44" s="1"/>
  <c r="K205" i="44"/>
  <c r="J33" i="44"/>
  <c r="N33" i="44" s="1"/>
  <c r="G456" i="44"/>
  <c r="K456" i="44" s="1"/>
  <c r="K634" i="44"/>
  <c r="K737" i="44"/>
  <c r="K279" i="44"/>
  <c r="K89" i="44"/>
  <c r="K373" i="44"/>
  <c r="K290" i="44"/>
  <c r="K97" i="44"/>
  <c r="K206" i="44"/>
  <c r="J723" i="44"/>
  <c r="N723" i="44" s="1"/>
  <c r="K618" i="44"/>
  <c r="J361" i="44"/>
  <c r="N361" i="44" s="1"/>
  <c r="J269" i="44"/>
  <c r="N269" i="44" s="1"/>
  <c r="J190" i="44"/>
  <c r="N190" i="44" s="1"/>
  <c r="J225" i="44"/>
  <c r="N225" i="44" s="1"/>
  <c r="K368" i="44"/>
  <c r="K619" i="44"/>
  <c r="K369" i="44"/>
  <c r="K365" i="44"/>
  <c r="K88" i="44"/>
  <c r="J51" i="44"/>
  <c r="K394" i="44"/>
  <c r="K294" i="44"/>
  <c r="J633" i="44"/>
  <c r="J736" i="44"/>
  <c r="N736" i="44" s="1"/>
  <c r="J532" i="44"/>
  <c r="K526" i="44"/>
  <c r="K483" i="44"/>
  <c r="K372" i="44"/>
  <c r="J189" i="44"/>
  <c r="K534" i="44"/>
  <c r="J92" i="44"/>
  <c r="K291" i="44"/>
  <c r="G249" i="44"/>
  <c r="K249" i="44" s="1"/>
  <c r="K382" i="44"/>
  <c r="K47" i="44"/>
  <c r="K253" i="44"/>
  <c r="K255" i="44"/>
  <c r="K208" i="44"/>
  <c r="I188" i="44"/>
  <c r="I181" i="44" s="1"/>
  <c r="K185" i="44"/>
  <c r="J184" i="44"/>
  <c r="N184" i="44" s="1"/>
  <c r="J100" i="44"/>
  <c r="N100" i="44" s="1"/>
  <c r="G93" i="44"/>
  <c r="K125" i="44"/>
  <c r="K603" i="44"/>
  <c r="G220" i="44"/>
  <c r="G780" i="44" s="1"/>
  <c r="G202" i="44"/>
  <c r="G778" i="44"/>
  <c r="M493" i="44"/>
  <c r="J563" i="44"/>
  <c r="N563" i="44" s="1"/>
  <c r="N573" i="44"/>
  <c r="N299" i="44"/>
  <c r="N662" i="44"/>
  <c r="N404" i="44"/>
  <c r="N490" i="44"/>
  <c r="N513" i="44"/>
  <c r="K490" i="44"/>
  <c r="N443" i="44"/>
  <c r="N414" i="44"/>
  <c r="N234" i="44"/>
  <c r="K129" i="44"/>
  <c r="N155" i="44"/>
  <c r="K52" i="44"/>
  <c r="K174" i="44"/>
  <c r="G669" i="44"/>
  <c r="K669" i="44" s="1"/>
  <c r="K505" i="44"/>
  <c r="N329" i="44"/>
  <c r="N437" i="44"/>
  <c r="K428" i="44"/>
  <c r="N264" i="44"/>
  <c r="K293" i="44"/>
  <c r="N391" i="44"/>
  <c r="G576" i="44"/>
  <c r="M19" i="44"/>
  <c r="M705" i="44"/>
  <c r="M358" i="44"/>
  <c r="M188" i="44"/>
  <c r="N681" i="44"/>
  <c r="N589" i="44"/>
  <c r="N427" i="44"/>
  <c r="N189" i="44"/>
  <c r="J72" i="44"/>
  <c r="N72" i="44" s="1"/>
  <c r="N73" i="44"/>
  <c r="J375" i="44"/>
  <c r="N375" i="44" s="1"/>
  <c r="N388" i="44"/>
  <c r="N261" i="44"/>
  <c r="N545" i="44"/>
  <c r="M326" i="44"/>
  <c r="M720" i="44"/>
  <c r="M522" i="44"/>
  <c r="M202" i="44"/>
  <c r="N532" i="44"/>
  <c r="N403" i="44"/>
  <c r="N336" i="44"/>
  <c r="N222" i="44"/>
  <c r="N199" i="44"/>
  <c r="N273" i="44"/>
  <c r="J86" i="44"/>
  <c r="N87" i="44"/>
  <c r="N542" i="44"/>
  <c r="M341" i="44"/>
  <c r="O341" i="44" s="1"/>
  <c r="M316" i="44"/>
  <c r="M696" i="44"/>
  <c r="N489" i="44"/>
  <c r="M407" i="44"/>
  <c r="M170" i="44"/>
  <c r="N215" i="44"/>
  <c r="M214" i="44"/>
  <c r="J409" i="44"/>
  <c r="N410" i="44"/>
  <c r="J45" i="44"/>
  <c r="N47" i="44"/>
  <c r="N614" i="44"/>
  <c r="N596" i="44"/>
  <c r="N691" i="44"/>
  <c r="N333" i="44"/>
  <c r="N81" i="44"/>
  <c r="N173" i="44"/>
  <c r="N624" i="44"/>
  <c r="N322" i="44"/>
  <c r="N483" i="44"/>
  <c r="N633" i="44"/>
  <c r="K491" i="44"/>
  <c r="N21" i="44"/>
  <c r="J655" i="44"/>
  <c r="N656" i="44"/>
  <c r="M452" i="44"/>
  <c r="N56" i="44"/>
  <c r="M487" i="44"/>
  <c r="M659" i="44"/>
  <c r="M296" i="44"/>
  <c r="J177" i="44"/>
  <c r="N178" i="44"/>
  <c r="M560" i="44"/>
  <c r="M236" i="44"/>
  <c r="M60" i="44"/>
  <c r="F229" i="44"/>
  <c r="G496" i="44"/>
  <c r="G495" i="44" s="1"/>
  <c r="G494" i="44" s="1"/>
  <c r="G493" i="44" s="1"/>
  <c r="K500" i="44"/>
  <c r="G562" i="44"/>
  <c r="G561" i="44" s="1"/>
  <c r="G560" i="44" s="1"/>
  <c r="K517" i="44"/>
  <c r="K404" i="44"/>
  <c r="K339" i="44"/>
  <c r="G326" i="44"/>
  <c r="G325" i="44" s="1"/>
  <c r="G759" i="44" s="1"/>
  <c r="G360" i="44"/>
  <c r="G359" i="44" s="1"/>
  <c r="G358" i="44" s="1"/>
  <c r="G761" i="44" s="1"/>
  <c r="K240" i="44"/>
  <c r="K657" i="44"/>
  <c r="K514" i="44"/>
  <c r="G239" i="44"/>
  <c r="K101" i="44"/>
  <c r="K518" i="44"/>
  <c r="G742" i="44"/>
  <c r="G195" i="44"/>
  <c r="G194" i="44" s="1"/>
  <c r="K285" i="44"/>
  <c r="K111" i="44"/>
  <c r="J496" i="44"/>
  <c r="K329" i="44"/>
  <c r="I562" i="44"/>
  <c r="I561" i="44" s="1"/>
  <c r="I560" i="44" s="1"/>
  <c r="I521" i="44" s="1"/>
  <c r="I520" i="44" s="1"/>
  <c r="K338" i="44"/>
  <c r="K122" i="44"/>
  <c r="J328" i="44"/>
  <c r="K328" i="44" s="1"/>
  <c r="K633" i="44"/>
  <c r="K624" i="44"/>
  <c r="J455" i="44"/>
  <c r="K577" i="44"/>
  <c r="K573" i="44"/>
  <c r="K592" i="44"/>
  <c r="K473" i="44"/>
  <c r="K418" i="44"/>
  <c r="G344" i="44"/>
  <c r="G343" i="44" s="1"/>
  <c r="G342" i="44" s="1"/>
  <c r="G341" i="44" s="1"/>
  <c r="K163" i="44"/>
  <c r="K225" i="44"/>
  <c r="J640" i="44"/>
  <c r="N640" i="44" s="1"/>
  <c r="K337" i="44"/>
  <c r="J306" i="44"/>
  <c r="N306" i="44" s="1"/>
  <c r="G707" i="44"/>
  <c r="G706" i="44" s="1"/>
  <c r="G705" i="44" s="1"/>
  <c r="G704" i="44" s="1"/>
  <c r="F562" i="44"/>
  <c r="F561" i="44" s="1"/>
  <c r="F560" i="44" s="1"/>
  <c r="K516" i="44"/>
  <c r="K137" i="44"/>
  <c r="K607" i="44"/>
  <c r="J606" i="44"/>
  <c r="N606" i="44" s="1"/>
  <c r="K388" i="44"/>
  <c r="K352" i="44"/>
  <c r="J351" i="44"/>
  <c r="N351" i="44" s="1"/>
  <c r="J183" i="44"/>
  <c r="N183" i="44" s="1"/>
  <c r="K110" i="44"/>
  <c r="J109" i="44"/>
  <c r="N109" i="44" s="1"/>
  <c r="K583" i="44"/>
  <c r="K580" i="44"/>
  <c r="K434" i="44"/>
  <c r="K142" i="44"/>
  <c r="K66" i="44"/>
  <c r="K630" i="44"/>
  <c r="K464" i="44"/>
  <c r="K134" i="44"/>
  <c r="K258" i="44"/>
  <c r="K397" i="44"/>
  <c r="K621" i="44"/>
  <c r="K476" i="44"/>
  <c r="K190" i="44"/>
  <c r="K145" i="44"/>
  <c r="K150" i="44"/>
  <c r="I60" i="44"/>
  <c r="I31" i="44" s="1"/>
  <c r="K602" i="44"/>
  <c r="K211" i="44"/>
  <c r="K371" i="44"/>
  <c r="K385" i="44"/>
  <c r="K641" i="44"/>
  <c r="G306" i="44"/>
  <c r="G305" i="44" s="1"/>
  <c r="G296" i="44" s="1"/>
  <c r="G785" i="44" s="1"/>
  <c r="K162" i="44"/>
  <c r="K642" i="44"/>
  <c r="G522" i="44"/>
  <c r="G11" i="44"/>
  <c r="J613" i="44"/>
  <c r="K614" i="44"/>
  <c r="K403" i="44"/>
  <c r="J402" i="44"/>
  <c r="J332" i="44"/>
  <c r="N332" i="44" s="1"/>
  <c r="K333" i="44"/>
  <c r="K217" i="44"/>
  <c r="K183" i="44"/>
  <c r="G269" i="44"/>
  <c r="G268" i="44" s="1"/>
  <c r="K179" i="44"/>
  <c r="G178" i="44"/>
  <c r="K164" i="44"/>
  <c r="K35" i="44"/>
  <c r="J791" i="44"/>
  <c r="K12" i="44"/>
  <c r="J11" i="44"/>
  <c r="N11" i="44" s="1"/>
  <c r="K27" i="44"/>
  <c r="K42" i="44"/>
  <c r="F60" i="44"/>
  <c r="F31" i="44" s="1"/>
  <c r="G19" i="44"/>
  <c r="G723" i="44"/>
  <c r="G722" i="44" s="1"/>
  <c r="J722" i="44"/>
  <c r="N722" i="44" s="1"/>
  <c r="K557" i="44"/>
  <c r="J495" i="44"/>
  <c r="J282" i="44"/>
  <c r="K283" i="44"/>
  <c r="J221" i="44"/>
  <c r="K222" i="44"/>
  <c r="J775" i="44"/>
  <c r="K215" i="44"/>
  <c r="K189" i="44"/>
  <c r="J203" i="44"/>
  <c r="K204" i="44"/>
  <c r="J194" i="44"/>
  <c r="K28" i="44"/>
  <c r="J172" i="44"/>
  <c r="K173" i="44"/>
  <c r="G45" i="44"/>
  <c r="G46" i="44"/>
  <c r="K46" i="44" s="1"/>
  <c r="K724" i="44"/>
  <c r="K736" i="44"/>
  <c r="K699" i="44"/>
  <c r="J698" i="44"/>
  <c r="K691" i="44"/>
  <c r="J690" i="44"/>
  <c r="K532" i="44"/>
  <c r="J595" i="44"/>
  <c r="N595" i="44" s="1"/>
  <c r="K596" i="44"/>
  <c r="K564" i="44"/>
  <c r="J512" i="44"/>
  <c r="K513" i="44"/>
  <c r="K443" i="44"/>
  <c r="J442" i="44"/>
  <c r="N442" i="44" s="1"/>
  <c r="J413" i="44"/>
  <c r="K414" i="44"/>
  <c r="K482" i="44"/>
  <c r="J481" i="44"/>
  <c r="K345" i="44"/>
  <c r="K234" i="44"/>
  <c r="J233" i="44"/>
  <c r="K216" i="44"/>
  <c r="J160" i="44"/>
  <c r="K161" i="44"/>
  <c r="K307" i="44"/>
  <c r="G119" i="44"/>
  <c r="K119" i="44" s="1"/>
  <c r="J128" i="44"/>
  <c r="K155" i="44"/>
  <c r="K299" i="44"/>
  <c r="J298" i="44"/>
  <c r="J80" i="44"/>
  <c r="N80" i="44" s="1"/>
  <c r="K81" i="44"/>
  <c r="K63" i="44"/>
  <c r="J62" i="44"/>
  <c r="K15" i="44"/>
  <c r="J680" i="44"/>
  <c r="K681" i="44"/>
  <c r="J706" i="44"/>
  <c r="K676" i="44"/>
  <c r="J576" i="44"/>
  <c r="N576" i="44" s="1"/>
  <c r="K589" i="44"/>
  <c r="G639" i="44"/>
  <c r="J617" i="44"/>
  <c r="N617" i="44" s="1"/>
  <c r="K558" i="44"/>
  <c r="K489" i="44"/>
  <c r="J488" i="44"/>
  <c r="J426" i="44"/>
  <c r="K427" i="44"/>
  <c r="G442" i="44"/>
  <c r="G441" i="44" s="1"/>
  <c r="G440" i="44" s="1"/>
  <c r="G401" i="44" s="1"/>
  <c r="G762" i="44" s="1"/>
  <c r="J779" i="44"/>
  <c r="K336" i="44"/>
  <c r="G775" i="44"/>
  <c r="G214" i="44"/>
  <c r="G114" i="44"/>
  <c r="K117" i="44"/>
  <c r="K319" i="44"/>
  <c r="K184" i="44"/>
  <c r="K100" i="44"/>
  <c r="J99" i="44"/>
  <c r="K74" i="44"/>
  <c r="J55" i="44"/>
  <c r="N55" i="44" s="1"/>
  <c r="K56" i="44"/>
  <c r="K39" i="44"/>
  <c r="J38" i="44"/>
  <c r="J20" i="44"/>
  <c r="K21" i="44"/>
  <c r="K26" i="44"/>
  <c r="J25" i="44"/>
  <c r="K64" i="44"/>
  <c r="K34" i="44"/>
  <c r="K73" i="44" l="1"/>
  <c r="K195" i="44"/>
  <c r="K33" i="44"/>
  <c r="K361" i="44"/>
  <c r="J237" i="44"/>
  <c r="N237" i="44" s="1"/>
  <c r="G612" i="44"/>
  <c r="G611" i="44" s="1"/>
  <c r="G610" i="44" s="1"/>
  <c r="N525" i="44"/>
  <c r="J268" i="44"/>
  <c r="K51" i="44"/>
  <c r="J50" i="44"/>
  <c r="K318" i="44"/>
  <c r="J735" i="44"/>
  <c r="N735" i="44" s="1"/>
  <c r="J524" i="44"/>
  <c r="N524" i="44" s="1"/>
  <c r="N51" i="44"/>
  <c r="N92" i="44"/>
  <c r="J91" i="44"/>
  <c r="N91" i="44" s="1"/>
  <c r="J317" i="44"/>
  <c r="J316" i="44" s="1"/>
  <c r="N316" i="44" s="1"/>
  <c r="J360" i="44"/>
  <c r="N360" i="44" s="1"/>
  <c r="J32" i="44"/>
  <c r="N32" i="44" s="1"/>
  <c r="G455" i="44"/>
  <c r="G454" i="44" s="1"/>
  <c r="G453" i="44" s="1"/>
  <c r="G452" i="44" s="1"/>
  <c r="G763" i="44" s="1"/>
  <c r="K375" i="44"/>
  <c r="K563" i="44"/>
  <c r="G92" i="44"/>
  <c r="K93" i="44"/>
  <c r="J327" i="44"/>
  <c r="K327" i="44" s="1"/>
  <c r="F30" i="44"/>
  <c r="F745" i="44" s="1"/>
  <c r="K707" i="44"/>
  <c r="G661" i="44"/>
  <c r="G660" i="44" s="1"/>
  <c r="G659" i="44" s="1"/>
  <c r="K72" i="44"/>
  <c r="N99" i="44"/>
  <c r="N488" i="44"/>
  <c r="N481" i="44"/>
  <c r="N160" i="44"/>
  <c r="N613" i="44"/>
  <c r="N38" i="44"/>
  <c r="N298" i="44"/>
  <c r="J454" i="44"/>
  <c r="N454" i="44" s="1"/>
  <c r="N455" i="44"/>
  <c r="N655" i="44"/>
  <c r="N680" i="44"/>
  <c r="N413" i="44"/>
  <c r="N512" i="44"/>
  <c r="N698" i="44"/>
  <c r="N495" i="44"/>
  <c r="N172" i="44"/>
  <c r="N282" i="44"/>
  <c r="K496" i="44"/>
  <c r="N496" i="44"/>
  <c r="N177" i="44"/>
  <c r="J176" i="44"/>
  <c r="N176" i="44" s="1"/>
  <c r="M401" i="44"/>
  <c r="N86" i="44"/>
  <c r="J774" i="44"/>
  <c r="K86" i="44"/>
  <c r="M521" i="44"/>
  <c r="N327" i="44"/>
  <c r="K655" i="44"/>
  <c r="M704" i="44"/>
  <c r="N268" i="44"/>
  <c r="N690" i="44"/>
  <c r="N45" i="44"/>
  <c r="J44" i="44"/>
  <c r="N44" i="44" s="1"/>
  <c r="M695" i="44"/>
  <c r="N203" i="44"/>
  <c r="M325" i="44"/>
  <c r="N20" i="44"/>
  <c r="N233" i="44"/>
  <c r="N426" i="44"/>
  <c r="M181" i="44"/>
  <c r="M9" i="44"/>
  <c r="N402" i="44"/>
  <c r="N62" i="44"/>
  <c r="N221" i="44"/>
  <c r="K640" i="44"/>
  <c r="N128" i="44"/>
  <c r="N328" i="44"/>
  <c r="M267" i="44"/>
  <c r="M229" i="44" s="1"/>
  <c r="M486" i="44"/>
  <c r="J408" i="44"/>
  <c r="J407" i="44" s="1"/>
  <c r="N407" i="44" s="1"/>
  <c r="K409" i="44"/>
  <c r="N409" i="44"/>
  <c r="N25" i="44"/>
  <c r="N194" i="44"/>
  <c r="N706" i="44"/>
  <c r="M31" i="44"/>
  <c r="G238" i="44"/>
  <c r="K239" i="44"/>
  <c r="K344" i="44"/>
  <c r="K306" i="44"/>
  <c r="G782" i="44"/>
  <c r="G188" i="44"/>
  <c r="G181" i="44" s="1"/>
  <c r="G757" i="44" s="1"/>
  <c r="K742" i="44"/>
  <c r="G741" i="44"/>
  <c r="I30" i="44"/>
  <c r="I745" i="44" s="1"/>
  <c r="K269" i="44"/>
  <c r="K55" i="44"/>
  <c r="K80" i="44"/>
  <c r="K351" i="44"/>
  <c r="J343" i="44"/>
  <c r="N343" i="44" s="1"/>
  <c r="K606" i="44"/>
  <c r="K617" i="44"/>
  <c r="K576" i="44"/>
  <c r="J182" i="44"/>
  <c r="N182" i="44" s="1"/>
  <c r="J639" i="44"/>
  <c r="N639" i="44" s="1"/>
  <c r="K595" i="44"/>
  <c r="K332" i="44"/>
  <c r="K109" i="44"/>
  <c r="J108" i="44"/>
  <c r="N108" i="44" s="1"/>
  <c r="J305" i="44"/>
  <c r="J37" i="44"/>
  <c r="N37" i="44" s="1"/>
  <c r="K38" i="44"/>
  <c r="K268" i="44"/>
  <c r="G768" i="44"/>
  <c r="K488" i="44"/>
  <c r="J487" i="44"/>
  <c r="K680" i="44"/>
  <c r="J679" i="44"/>
  <c r="J61" i="44"/>
  <c r="K62" i="44"/>
  <c r="K298" i="44"/>
  <c r="J297" i="44"/>
  <c r="K233" i="44"/>
  <c r="J232" i="44"/>
  <c r="J778" i="44"/>
  <c r="J202" i="44"/>
  <c r="K203" i="44"/>
  <c r="J770" i="44"/>
  <c r="G177" i="44"/>
  <c r="K178" i="44"/>
  <c r="G638" i="44"/>
  <c r="K706" i="44"/>
  <c r="J705" i="44"/>
  <c r="K128" i="44"/>
  <c r="J113" i="44"/>
  <c r="N113" i="44" s="1"/>
  <c r="J776" i="44"/>
  <c r="K413" i="44"/>
  <c r="J511" i="44"/>
  <c r="K512" i="44"/>
  <c r="K698" i="44"/>
  <c r="J697" i="44"/>
  <c r="K495" i="44"/>
  <c r="K402" i="44"/>
  <c r="G772" i="44"/>
  <c r="K99" i="44"/>
  <c r="G113" i="44"/>
  <c r="K114" i="44"/>
  <c r="J769" i="44"/>
  <c r="J326" i="44"/>
  <c r="J755" i="44"/>
  <c r="K160" i="44"/>
  <c r="J783" i="44"/>
  <c r="K481" i="44"/>
  <c r="K442" i="44"/>
  <c r="J441" i="44"/>
  <c r="J171" i="44"/>
  <c r="K172" i="44"/>
  <c r="J782" i="44"/>
  <c r="K194" i="44"/>
  <c r="J188" i="44"/>
  <c r="N188" i="44" s="1"/>
  <c r="J784" i="44"/>
  <c r="K282" i="44"/>
  <c r="K723" i="44"/>
  <c r="G267" i="44"/>
  <c r="J612" i="44"/>
  <c r="K613" i="44"/>
  <c r="G10" i="44"/>
  <c r="G9" i="44" s="1"/>
  <c r="K25" i="44"/>
  <c r="J19" i="44"/>
  <c r="N19" i="44" s="1"/>
  <c r="K20" i="44"/>
  <c r="K426" i="44"/>
  <c r="J425" i="44"/>
  <c r="N425" i="44" s="1"/>
  <c r="K690" i="44"/>
  <c r="J689" i="44"/>
  <c r="J734" i="44"/>
  <c r="N734" i="44" s="1"/>
  <c r="G44" i="44"/>
  <c r="K45" i="44"/>
  <c r="J220" i="44"/>
  <c r="K221" i="44"/>
  <c r="K360" i="44"/>
  <c r="J523" i="44"/>
  <c r="K722" i="44"/>
  <c r="J10" i="44"/>
  <c r="K11" i="44"/>
  <c r="J773" i="44"/>
  <c r="J562" i="44"/>
  <c r="G791" i="44"/>
  <c r="J236" i="44" l="1"/>
  <c r="N236" i="44" s="1"/>
  <c r="K32" i="44"/>
  <c r="K524" i="44"/>
  <c r="N317" i="44"/>
  <c r="K317" i="44"/>
  <c r="K661" i="44"/>
  <c r="K639" i="44"/>
  <c r="K735" i="44"/>
  <c r="J777" i="44"/>
  <c r="G770" i="44"/>
  <c r="K455" i="44"/>
  <c r="N50" i="44"/>
  <c r="K50" i="44"/>
  <c r="K454" i="44"/>
  <c r="J359" i="44"/>
  <c r="N359" i="44" s="1"/>
  <c r="J453" i="44"/>
  <c r="N453" i="44" s="1"/>
  <c r="G91" i="44"/>
  <c r="K92" i="44"/>
  <c r="N202" i="44"/>
  <c r="N689" i="44"/>
  <c r="N441" i="44"/>
  <c r="N61" i="44"/>
  <c r="J721" i="44"/>
  <c r="N721" i="44" s="1"/>
  <c r="N511" i="44"/>
  <c r="N297" i="44"/>
  <c r="N679" i="44"/>
  <c r="N523" i="44"/>
  <c r="N612" i="44"/>
  <c r="N697" i="44"/>
  <c r="J771" i="44"/>
  <c r="K408" i="44"/>
  <c r="N408" i="44"/>
  <c r="N562" i="44"/>
  <c r="N10" i="44"/>
  <c r="N220" i="44"/>
  <c r="N171" i="44"/>
  <c r="N232" i="44"/>
  <c r="N305" i="44"/>
  <c r="N487" i="44"/>
  <c r="N326" i="44"/>
  <c r="M688" i="44"/>
  <c r="M520" i="44" s="1"/>
  <c r="N705" i="44"/>
  <c r="M8" i="44"/>
  <c r="M30" i="44"/>
  <c r="O30" i="44" s="1"/>
  <c r="G740" i="44"/>
  <c r="K741" i="44"/>
  <c r="G237" i="44"/>
  <c r="K238" i="44"/>
  <c r="J772" i="44"/>
  <c r="J786" i="44"/>
  <c r="K108" i="44"/>
  <c r="J787" i="44"/>
  <c r="J342" i="44"/>
  <c r="N342" i="44" s="1"/>
  <c r="K343" i="44"/>
  <c r="K19" i="44"/>
  <c r="K188" i="44"/>
  <c r="K407" i="44"/>
  <c r="J638" i="44"/>
  <c r="K305" i="44"/>
  <c r="K425" i="44"/>
  <c r="K316" i="44"/>
  <c r="K37" i="44"/>
  <c r="K182" i="44"/>
  <c r="J780" i="44"/>
  <c r="K220" i="44"/>
  <c r="J214" i="44"/>
  <c r="N214" i="44" s="1"/>
  <c r="J9" i="44"/>
  <c r="K10" i="44"/>
  <c r="K523" i="44"/>
  <c r="J522" i="44"/>
  <c r="K612" i="44"/>
  <c r="J611" i="44"/>
  <c r="J704" i="44"/>
  <c r="N704" i="44" s="1"/>
  <c r="K705" i="44"/>
  <c r="J231" i="44"/>
  <c r="K232" i="44"/>
  <c r="J486" i="44"/>
  <c r="K487" i="44"/>
  <c r="G8" i="44"/>
  <c r="J325" i="44"/>
  <c r="K326" i="44"/>
  <c r="K61" i="44"/>
  <c r="J60" i="44"/>
  <c r="K689" i="44"/>
  <c r="G787" i="44"/>
  <c r="K171" i="44"/>
  <c r="J170" i="44"/>
  <c r="N170" i="44" s="1"/>
  <c r="K511" i="44"/>
  <c r="J510" i="44"/>
  <c r="K113" i="44"/>
  <c r="G637" i="44"/>
  <c r="G767" i="44"/>
  <c r="G176" i="44"/>
  <c r="K177" i="44"/>
  <c r="K202" i="44"/>
  <c r="J296" i="44"/>
  <c r="K297" i="44"/>
  <c r="K679" i="44"/>
  <c r="J660" i="44"/>
  <c r="J561" i="44"/>
  <c r="K562" i="44"/>
  <c r="K44" i="44"/>
  <c r="K441" i="44"/>
  <c r="J440" i="44"/>
  <c r="N440" i="44" s="1"/>
  <c r="J696" i="44"/>
  <c r="K697" i="44"/>
  <c r="K453" i="44"/>
  <c r="J452" i="44"/>
  <c r="J768" i="44"/>
  <c r="J358" i="44" l="1"/>
  <c r="J761" i="44" s="1"/>
  <c r="K359" i="44"/>
  <c r="K91" i="44"/>
  <c r="G60" i="44"/>
  <c r="G31" i="44" s="1"/>
  <c r="J720" i="44"/>
  <c r="N720" i="44" s="1"/>
  <c r="N452" i="44"/>
  <c r="N358" i="44"/>
  <c r="N561" i="44"/>
  <c r="N296" i="44"/>
  <c r="N510" i="44"/>
  <c r="K638" i="44"/>
  <c r="N638" i="44"/>
  <c r="N60" i="44"/>
  <c r="N231" i="44"/>
  <c r="N660" i="44"/>
  <c r="J181" i="44"/>
  <c r="K181" i="44" s="1"/>
  <c r="N611" i="44"/>
  <c r="N486" i="44"/>
  <c r="N325" i="44"/>
  <c r="N696" i="44"/>
  <c r="N522" i="44"/>
  <c r="N9" i="44"/>
  <c r="M745" i="44"/>
  <c r="K740" i="44"/>
  <c r="G734" i="44"/>
  <c r="G777" i="44"/>
  <c r="G236" i="44"/>
  <c r="G773" i="44"/>
  <c r="G788" i="44" s="1"/>
  <c r="K237" i="44"/>
  <c r="K214" i="44"/>
  <c r="K704" i="44"/>
  <c r="K440" i="44"/>
  <c r="J637" i="44"/>
  <c r="J341" i="44"/>
  <c r="N341" i="44" s="1"/>
  <c r="K342" i="44"/>
  <c r="J763" i="44"/>
  <c r="K452" i="44"/>
  <c r="K358" i="44"/>
  <c r="J659" i="44"/>
  <c r="N659" i="44" s="1"/>
  <c r="K660" i="44"/>
  <c r="J767" i="44"/>
  <c r="G521" i="44"/>
  <c r="J756" i="44"/>
  <c r="J759" i="44"/>
  <c r="K325" i="44"/>
  <c r="J764" i="44"/>
  <c r="K486" i="44"/>
  <c r="K522" i="44"/>
  <c r="K9" i="44"/>
  <c r="J8" i="44"/>
  <c r="J230" i="44"/>
  <c r="K231" i="44"/>
  <c r="J781" i="44"/>
  <c r="K611" i="44"/>
  <c r="J610" i="44"/>
  <c r="N610" i="44" s="1"/>
  <c r="J695" i="44"/>
  <c r="K696" i="44"/>
  <c r="J560" i="44"/>
  <c r="N560" i="44" s="1"/>
  <c r="K561" i="44"/>
  <c r="J785" i="44"/>
  <c r="K296" i="44"/>
  <c r="J267" i="44"/>
  <c r="N267" i="44" s="1"/>
  <c r="G170" i="44"/>
  <c r="G756" i="44" s="1"/>
  <c r="K176" i="44"/>
  <c r="J31" i="44"/>
  <c r="J401" i="44"/>
  <c r="K510" i="44"/>
  <c r="J494" i="44"/>
  <c r="M749" i="44" l="1"/>
  <c r="O745" i="44"/>
  <c r="K60" i="44"/>
  <c r="J757" i="44"/>
  <c r="N695" i="44"/>
  <c r="N401" i="44"/>
  <c r="N230" i="44"/>
  <c r="N31" i="44"/>
  <c r="N494" i="44"/>
  <c r="N637" i="44"/>
  <c r="N181" i="44"/>
  <c r="N8" i="44"/>
  <c r="K637" i="44"/>
  <c r="G721" i="44"/>
  <c r="K734" i="44"/>
  <c r="G229" i="44"/>
  <c r="G758" i="44" s="1"/>
  <c r="K236" i="44"/>
  <c r="J788" i="44"/>
  <c r="K659" i="44"/>
  <c r="K610" i="44"/>
  <c r="K267" i="44"/>
  <c r="K560" i="44"/>
  <c r="K341" i="44"/>
  <c r="J493" i="44"/>
  <c r="N493" i="44" s="1"/>
  <c r="K494" i="44"/>
  <c r="J521" i="44"/>
  <c r="G520" i="44"/>
  <c r="G760" i="44"/>
  <c r="K31" i="44"/>
  <c r="K8" i="44"/>
  <c r="K401" i="44"/>
  <c r="K695" i="44"/>
  <c r="J688" i="44"/>
  <c r="N688" i="44" s="1"/>
  <c r="K170" i="44"/>
  <c r="K230" i="44"/>
  <c r="J229" i="44"/>
  <c r="N229" i="44" s="1"/>
  <c r="J754" i="44"/>
  <c r="N521" i="44" l="1"/>
  <c r="G30" i="44"/>
  <c r="G720" i="44"/>
  <c r="K721" i="44"/>
  <c r="G754" i="44"/>
  <c r="G765" i="44" s="1"/>
  <c r="K688" i="44"/>
  <c r="K493" i="44"/>
  <c r="K521" i="44"/>
  <c r="J520" i="44"/>
  <c r="N520" i="44" s="1"/>
  <c r="J760" i="44"/>
  <c r="J758" i="44"/>
  <c r="K229" i="44"/>
  <c r="J762" i="44"/>
  <c r="J30" i="44"/>
  <c r="G745" i="44" l="1"/>
  <c r="N30" i="44"/>
  <c r="J765" i="44"/>
  <c r="K720" i="44"/>
  <c r="K520" i="44"/>
  <c r="K30" i="44"/>
  <c r="J745" i="44"/>
  <c r="N745" i="44" l="1"/>
  <c r="K745" i="44"/>
  <c r="G514" i="42" l="1"/>
  <c r="G513" i="42" s="1"/>
  <c r="F514" i="42"/>
  <c r="F513" i="42" s="1"/>
  <c r="B62" i="43" l="1"/>
  <c r="B46" i="43"/>
  <c r="B15" i="43"/>
  <c r="B10" i="43"/>
  <c r="F616" i="42"/>
  <c r="G616" i="42"/>
  <c r="G630" i="42"/>
  <c r="G629" i="42" s="1"/>
  <c r="G628" i="42" s="1"/>
  <c r="G627" i="42" s="1"/>
  <c r="F630" i="42"/>
  <c r="F629" i="42" s="1"/>
  <c r="F628" i="42" s="1"/>
  <c r="F627" i="42" s="1"/>
  <c r="G625" i="42"/>
  <c r="G624" i="42" s="1"/>
  <c r="G623" i="42" s="1"/>
  <c r="G622" i="42" s="1"/>
  <c r="F625" i="42"/>
  <c r="F624" i="42" s="1"/>
  <c r="F623" i="42" s="1"/>
  <c r="F622" i="42" s="1"/>
  <c r="G620" i="42"/>
  <c r="F620" i="42"/>
  <c r="G618" i="42"/>
  <c r="F618" i="42"/>
  <c r="G613" i="42"/>
  <c r="G612" i="42" s="1"/>
  <c r="F613" i="42"/>
  <c r="F612" i="42" s="1"/>
  <c r="G606" i="42"/>
  <c r="G605" i="42" s="1"/>
  <c r="G604" i="42" s="1"/>
  <c r="G602" i="42"/>
  <c r="G599" i="42" s="1"/>
  <c r="F602" i="42"/>
  <c r="F599" i="42" s="1"/>
  <c r="G593" i="42"/>
  <c r="G592" i="42" s="1"/>
  <c r="G591" i="42" s="1"/>
  <c r="G590" i="42" s="1"/>
  <c r="G589" i="42" s="1"/>
  <c r="F593" i="42"/>
  <c r="F592" i="42" s="1"/>
  <c r="F591" i="42" s="1"/>
  <c r="F590" i="42" s="1"/>
  <c r="F589" i="42" s="1"/>
  <c r="G584" i="42"/>
  <c r="F584" i="42"/>
  <c r="G577" i="42"/>
  <c r="G576" i="42" s="1"/>
  <c r="F577" i="42"/>
  <c r="G574" i="42"/>
  <c r="F574" i="42"/>
  <c r="G572" i="42"/>
  <c r="F572" i="42"/>
  <c r="G570" i="42"/>
  <c r="F570" i="42"/>
  <c r="G567" i="42"/>
  <c r="F567" i="42"/>
  <c r="F565" i="42"/>
  <c r="G565" i="42"/>
  <c r="F563" i="42"/>
  <c r="G563" i="42"/>
  <c r="G557" i="42"/>
  <c r="G556" i="42" s="1"/>
  <c r="G555" i="42" s="1"/>
  <c r="F557" i="42"/>
  <c r="F556" i="42" s="1"/>
  <c r="F555" i="42" s="1"/>
  <c r="G552" i="42"/>
  <c r="G551" i="42" s="1"/>
  <c r="G550" i="42" s="1"/>
  <c r="F552" i="42"/>
  <c r="F551" i="42" s="1"/>
  <c r="F550" i="42" s="1"/>
  <c r="G546" i="42"/>
  <c r="G545" i="42" s="1"/>
  <c r="G544" i="42" s="1"/>
  <c r="F546" i="42"/>
  <c r="F545" i="42" s="1"/>
  <c r="F544" i="42" s="1"/>
  <c r="G542" i="42"/>
  <c r="G541" i="42" s="1"/>
  <c r="F542" i="42"/>
  <c r="F541" i="42" s="1"/>
  <c r="F540" i="42"/>
  <c r="F539" i="42" s="1"/>
  <c r="F538" i="42" s="1"/>
  <c r="G539" i="42"/>
  <c r="G538" i="42" s="1"/>
  <c r="G536" i="42"/>
  <c r="G535" i="42" s="1"/>
  <c r="F536" i="42"/>
  <c r="F535" i="42" s="1"/>
  <c r="G533" i="42"/>
  <c r="G532" i="42" s="1"/>
  <c r="F533" i="42"/>
  <c r="F532" i="42" s="1"/>
  <c r="G529" i="42"/>
  <c r="G528" i="42" s="1"/>
  <c r="G527" i="42" s="1"/>
  <c r="F529" i="42"/>
  <c r="F528" i="42" s="1"/>
  <c r="F527" i="42" s="1"/>
  <c r="G522" i="42"/>
  <c r="G521" i="42" s="1"/>
  <c r="G520" i="42" s="1"/>
  <c r="F522" i="42"/>
  <c r="F521" i="42" s="1"/>
  <c r="F520" i="42" s="1"/>
  <c r="G518" i="42"/>
  <c r="G517" i="42" s="1"/>
  <c r="G516" i="42" s="1"/>
  <c r="F518" i="42"/>
  <c r="F517" i="42" s="1"/>
  <c r="F516" i="42" s="1"/>
  <c r="G511" i="42"/>
  <c r="G510" i="42" s="1"/>
  <c r="G509" i="42" s="1"/>
  <c r="F511" i="42"/>
  <c r="F510" i="42" s="1"/>
  <c r="F509" i="42" s="1"/>
  <c r="G507" i="42"/>
  <c r="G506" i="42" s="1"/>
  <c r="F507" i="42"/>
  <c r="F506" i="42" s="1"/>
  <c r="G504" i="42"/>
  <c r="G503" i="42" s="1"/>
  <c r="F504" i="42"/>
  <c r="F503" i="42" s="1"/>
  <c r="G501" i="42"/>
  <c r="G500" i="42" s="1"/>
  <c r="F501" i="42"/>
  <c r="F500" i="42" s="1"/>
  <c r="G498" i="42"/>
  <c r="G497" i="42" s="1"/>
  <c r="F498" i="42"/>
  <c r="F497" i="42" s="1"/>
  <c r="G495" i="42"/>
  <c r="G494" i="42" s="1"/>
  <c r="F495" i="42"/>
  <c r="F494" i="42" s="1"/>
  <c r="G491" i="42"/>
  <c r="G490" i="42" s="1"/>
  <c r="F491" i="42"/>
  <c r="F490" i="42" s="1"/>
  <c r="G488" i="42"/>
  <c r="G487" i="42" s="1"/>
  <c r="F488" i="42"/>
  <c r="F487" i="42" s="1"/>
  <c r="G485" i="42"/>
  <c r="G484" i="42" s="1"/>
  <c r="F485" i="42"/>
  <c r="F484" i="42" s="1"/>
  <c r="G482" i="42"/>
  <c r="G481" i="42" s="1"/>
  <c r="F482" i="42"/>
  <c r="F481" i="42" s="1"/>
  <c r="G475" i="42"/>
  <c r="G474" i="42" s="1"/>
  <c r="F475" i="42"/>
  <c r="F474" i="42" s="1"/>
  <c r="G472" i="42"/>
  <c r="G471" i="42" s="1"/>
  <c r="F472" i="42"/>
  <c r="F471" i="42" s="1"/>
  <c r="G469" i="42"/>
  <c r="G468" i="42" s="1"/>
  <c r="F469" i="42"/>
  <c r="F468" i="42" s="1"/>
  <c r="G466" i="42"/>
  <c r="G465" i="42" s="1"/>
  <c r="F466" i="42"/>
  <c r="F465" i="42" s="1"/>
  <c r="G463" i="42"/>
  <c r="G462" i="42" s="1"/>
  <c r="F463" i="42"/>
  <c r="F462" i="42" s="1"/>
  <c r="G460" i="42"/>
  <c r="G459" i="42" s="1"/>
  <c r="F460" i="42"/>
  <c r="F459" i="42" s="1"/>
  <c r="G457" i="42"/>
  <c r="G456" i="42" s="1"/>
  <c r="F457" i="42"/>
  <c r="F456" i="42" s="1"/>
  <c r="G453" i="42"/>
  <c r="G452" i="42" s="1"/>
  <c r="F453" i="42"/>
  <c r="F452" i="42" s="1"/>
  <c r="G450" i="42"/>
  <c r="G449" i="42" s="1"/>
  <c r="F450" i="42"/>
  <c r="F449" i="42" s="1"/>
  <c r="G441" i="42"/>
  <c r="G440" i="42" s="1"/>
  <c r="G439" i="42" s="1"/>
  <c r="F441" i="42"/>
  <c r="F440" i="42" s="1"/>
  <c r="F439" i="42" s="1"/>
  <c r="G437" i="42"/>
  <c r="G436" i="42" s="1"/>
  <c r="G435" i="42" s="1"/>
  <c r="G434" i="42" s="1"/>
  <c r="F437" i="42"/>
  <c r="F436" i="42" s="1"/>
  <c r="F435" i="42" s="1"/>
  <c r="F434" i="42" s="1"/>
  <c r="G431" i="42"/>
  <c r="G430" i="42" s="1"/>
  <c r="F431" i="42"/>
  <c r="F430" i="42" s="1"/>
  <c r="G428" i="42"/>
  <c r="F428" i="42"/>
  <c r="G426" i="42"/>
  <c r="F426" i="42"/>
  <c r="F424" i="42"/>
  <c r="G424" i="42"/>
  <c r="G421" i="42"/>
  <c r="G420" i="42" s="1"/>
  <c r="F421" i="42"/>
  <c r="F420" i="42" s="1"/>
  <c r="G414" i="42"/>
  <c r="G413" i="42" s="1"/>
  <c r="G412" i="42" s="1"/>
  <c r="G411" i="42" s="1"/>
  <c r="G410" i="42" s="1"/>
  <c r="G409" i="42" s="1"/>
  <c r="F414" i="42"/>
  <c r="F413" i="42" s="1"/>
  <c r="F412" i="42" s="1"/>
  <c r="F411" i="42" s="1"/>
  <c r="F410" i="42" s="1"/>
  <c r="F409" i="42" s="1"/>
  <c r="G407" i="42"/>
  <c r="G406" i="42" s="1"/>
  <c r="G405" i="42" s="1"/>
  <c r="G404" i="42" s="1"/>
  <c r="F407" i="42"/>
  <c r="F406" i="42" s="1"/>
  <c r="F405" i="42" s="1"/>
  <c r="F404" i="42" s="1"/>
  <c r="G402" i="42"/>
  <c r="G401" i="42" s="1"/>
  <c r="F402" i="42"/>
  <c r="F401" i="42" s="1"/>
  <c r="G399" i="42"/>
  <c r="G398" i="42" s="1"/>
  <c r="F399" i="42"/>
  <c r="F398" i="42" s="1"/>
  <c r="G396" i="42"/>
  <c r="F396" i="42"/>
  <c r="G394" i="42"/>
  <c r="F394" i="42"/>
  <c r="G381" i="42"/>
  <c r="G380" i="42" s="1"/>
  <c r="F381" i="42"/>
  <c r="F380" i="42" s="1"/>
  <c r="G377" i="42"/>
  <c r="F377" i="42"/>
  <c r="G375" i="42"/>
  <c r="F375" i="42"/>
  <c r="G369" i="42"/>
  <c r="G368" i="42" s="1"/>
  <c r="G367" i="42" s="1"/>
  <c r="F369" i="42"/>
  <c r="F368" i="42" s="1"/>
  <c r="F367" i="42" s="1"/>
  <c r="G365" i="42"/>
  <c r="G364" i="42" s="1"/>
  <c r="G363" i="42" s="1"/>
  <c r="G362" i="42" s="1"/>
  <c r="F365" i="42"/>
  <c r="F364" i="42" s="1"/>
  <c r="F363" i="42" s="1"/>
  <c r="F362" i="42" s="1"/>
  <c r="G360" i="42"/>
  <c r="G359" i="42" s="1"/>
  <c r="G358" i="42" s="1"/>
  <c r="G357" i="42" s="1"/>
  <c r="F360" i="42"/>
  <c r="F359" i="42" s="1"/>
  <c r="F358" i="42" s="1"/>
  <c r="F357" i="42" s="1"/>
  <c r="G354" i="42"/>
  <c r="G353" i="42" s="1"/>
  <c r="G352" i="42" s="1"/>
  <c r="G351" i="42" s="1"/>
  <c r="F354" i="42"/>
  <c r="F353" i="42" s="1"/>
  <c r="F352" i="42" s="1"/>
  <c r="F351" i="42" s="1"/>
  <c r="G348" i="42"/>
  <c r="G347" i="42" s="1"/>
  <c r="G344" i="42"/>
  <c r="F344" i="42"/>
  <c r="F343" i="42" s="1"/>
  <c r="G341" i="42"/>
  <c r="G340" i="42" s="1"/>
  <c r="G339" i="42" s="1"/>
  <c r="F341" i="42"/>
  <c r="F340" i="42" s="1"/>
  <c r="F339" i="42" s="1"/>
  <c r="G337" i="42"/>
  <c r="G336" i="42" s="1"/>
  <c r="F337" i="42"/>
  <c r="F336" i="42" s="1"/>
  <c r="G334" i="42"/>
  <c r="G333" i="42" s="1"/>
  <c r="F334" i="42"/>
  <c r="F333" i="42" s="1"/>
  <c r="G331" i="42"/>
  <c r="G330" i="42" s="1"/>
  <c r="F331" i="42"/>
  <c r="F330" i="42" s="1"/>
  <c r="F324" i="42"/>
  <c r="F323" i="42" s="1"/>
  <c r="F322" i="42" s="1"/>
  <c r="F321" i="42" s="1"/>
  <c r="G324" i="42"/>
  <c r="G323" i="42" s="1"/>
  <c r="G322" i="42" s="1"/>
  <c r="G321" i="42" s="1"/>
  <c r="G317" i="42"/>
  <c r="G316" i="42" s="1"/>
  <c r="F317" i="42"/>
  <c r="F315" i="42" s="1"/>
  <c r="F314" i="42" s="1"/>
  <c r="G312" i="42"/>
  <c r="G311" i="42" s="1"/>
  <c r="G310" i="42" s="1"/>
  <c r="F312" i="42"/>
  <c r="F311" i="42" s="1"/>
  <c r="F310" i="42" s="1"/>
  <c r="G308" i="42"/>
  <c r="G307" i="42" s="1"/>
  <c r="G306" i="42" s="1"/>
  <c r="F308" i="42"/>
  <c r="F307" i="42" s="1"/>
  <c r="F306" i="42" s="1"/>
  <c r="F301" i="42"/>
  <c r="F300" i="42" s="1"/>
  <c r="G301" i="42"/>
  <c r="G300" i="42" s="1"/>
  <c r="G298" i="42"/>
  <c r="G297" i="42" s="1"/>
  <c r="F298" i="42"/>
  <c r="F297" i="42" s="1"/>
  <c r="G292" i="42"/>
  <c r="G291" i="42" s="1"/>
  <c r="F292" i="42"/>
  <c r="F291" i="42" s="1"/>
  <c r="G289" i="42"/>
  <c r="G288" i="42" s="1"/>
  <c r="F289" i="42"/>
  <c r="F288" i="42" s="1"/>
  <c r="G286" i="42"/>
  <c r="G285" i="42" s="1"/>
  <c r="F286" i="42"/>
  <c r="F285" i="42" s="1"/>
  <c r="G282" i="42"/>
  <c r="G281" i="42" s="1"/>
  <c r="G280" i="42" s="1"/>
  <c r="F281" i="42"/>
  <c r="F280" i="42" s="1"/>
  <c r="G279" i="42"/>
  <c r="F278" i="42"/>
  <c r="F277" i="42" s="1"/>
  <c r="F276" i="42" s="1"/>
  <c r="G272" i="42"/>
  <c r="G271" i="42" s="1"/>
  <c r="F272" i="42"/>
  <c r="F271" i="42" s="1"/>
  <c r="G269" i="42"/>
  <c r="G268" i="42" s="1"/>
  <c r="F269" i="42"/>
  <c r="F268" i="42" s="1"/>
  <c r="G266" i="42"/>
  <c r="G265" i="42" s="1"/>
  <c r="F266" i="42"/>
  <c r="F265" i="42" s="1"/>
  <c r="G261" i="42"/>
  <c r="G260" i="42" s="1"/>
  <c r="F261" i="42"/>
  <c r="F260" i="42" s="1"/>
  <c r="G259" i="42"/>
  <c r="F258" i="42"/>
  <c r="F257" i="42" s="1"/>
  <c r="G252" i="42"/>
  <c r="G251" i="42" s="1"/>
  <c r="F252" i="42"/>
  <c r="F251" i="42" s="1"/>
  <c r="G249" i="42"/>
  <c r="G248" i="42" s="1"/>
  <c r="F249" i="42"/>
  <c r="F248" i="42" s="1"/>
  <c r="G246" i="42"/>
  <c r="F246" i="42"/>
  <c r="G244" i="42"/>
  <c r="F244" i="42"/>
  <c r="G242" i="42"/>
  <c r="F242" i="42"/>
  <c r="G236" i="42"/>
  <c r="G235" i="42" s="1"/>
  <c r="G234" i="42" s="1"/>
  <c r="G233" i="42" s="1"/>
  <c r="G232" i="42" s="1"/>
  <c r="F236" i="42"/>
  <c r="F235" i="42" s="1"/>
  <c r="F234" i="42" s="1"/>
  <c r="F233" i="42" s="1"/>
  <c r="F232" i="42" s="1"/>
  <c r="G229" i="42"/>
  <c r="G228" i="42" s="1"/>
  <c r="G227" i="42" s="1"/>
  <c r="F229" i="42"/>
  <c r="F228" i="42" s="1"/>
  <c r="F227" i="42" s="1"/>
  <c r="G225" i="42"/>
  <c r="G224" i="42" s="1"/>
  <c r="G223" i="42" s="1"/>
  <c r="F225" i="42"/>
  <c r="F224" i="42" s="1"/>
  <c r="F223" i="42" s="1"/>
  <c r="G220" i="42"/>
  <c r="F220" i="42"/>
  <c r="F219" i="42" s="1"/>
  <c r="F218" i="42" s="1"/>
  <c r="F217" i="42" s="1"/>
  <c r="G214" i="42"/>
  <c r="G213" i="42" s="1"/>
  <c r="F214" i="42"/>
  <c r="F213" i="42" s="1"/>
  <c r="G211" i="42"/>
  <c r="G210" i="42" s="1"/>
  <c r="F211" i="42"/>
  <c r="F210" i="42" s="1"/>
  <c r="G208" i="42"/>
  <c r="G207" i="42" s="1"/>
  <c r="F208" i="42"/>
  <c r="F207" i="42" s="1"/>
  <c r="G202" i="42"/>
  <c r="G201" i="42" s="1"/>
  <c r="G200" i="42" s="1"/>
  <c r="G199" i="42" s="1"/>
  <c r="F202" i="42"/>
  <c r="F201" i="42" s="1"/>
  <c r="F200" i="42" s="1"/>
  <c r="F199" i="42" s="1"/>
  <c r="G197" i="42"/>
  <c r="G196" i="42" s="1"/>
  <c r="F197" i="42"/>
  <c r="F196" i="42" s="1"/>
  <c r="G191" i="42"/>
  <c r="G190" i="42" s="1"/>
  <c r="G188" i="42" s="1"/>
  <c r="G187" i="42" s="1"/>
  <c r="F191" i="42"/>
  <c r="F190" i="42" s="1"/>
  <c r="G184" i="42"/>
  <c r="G183" i="42" s="1"/>
  <c r="G182" i="42" s="1"/>
  <c r="G181" i="42" s="1"/>
  <c r="F184" i="42"/>
  <c r="F183" i="42" s="1"/>
  <c r="F182" i="42" s="1"/>
  <c r="F181" i="42" s="1"/>
  <c r="G179" i="42"/>
  <c r="G178" i="42" s="1"/>
  <c r="G177" i="42" s="1"/>
  <c r="G176" i="42" s="1"/>
  <c r="F179" i="42"/>
  <c r="F178" i="42" s="1"/>
  <c r="F177" i="42" s="1"/>
  <c r="F176" i="42" s="1"/>
  <c r="G173" i="42"/>
  <c r="G172" i="42" s="1"/>
  <c r="F173" i="42"/>
  <c r="F172" i="42" s="1"/>
  <c r="G170" i="42"/>
  <c r="G169" i="42" s="1"/>
  <c r="G168" i="42" s="1"/>
  <c r="F170" i="42"/>
  <c r="F169" i="42" s="1"/>
  <c r="F168" i="42" s="1"/>
  <c r="G163" i="42"/>
  <c r="F163" i="42"/>
  <c r="G161" i="42"/>
  <c r="F161" i="42"/>
  <c r="G158" i="42"/>
  <c r="F158" i="42"/>
  <c r="G156" i="42"/>
  <c r="F156" i="42"/>
  <c r="G153" i="42"/>
  <c r="F153" i="42"/>
  <c r="G151" i="42"/>
  <c r="F151" i="42"/>
  <c r="G148" i="42"/>
  <c r="G147" i="42" s="1"/>
  <c r="F148" i="42"/>
  <c r="F147" i="42" s="1"/>
  <c r="G145" i="42"/>
  <c r="F145" i="42"/>
  <c r="G143" i="42"/>
  <c r="F143" i="42"/>
  <c r="G140" i="42"/>
  <c r="G139" i="42" s="1"/>
  <c r="F140" i="42"/>
  <c r="F139" i="42" s="1"/>
  <c r="G137" i="42"/>
  <c r="F137" i="42"/>
  <c r="G135" i="42"/>
  <c r="F135" i="42"/>
  <c r="G131" i="42"/>
  <c r="G130" i="42" s="1"/>
  <c r="F131" i="42"/>
  <c r="F130" i="42" s="1"/>
  <c r="G128" i="42"/>
  <c r="F128" i="42"/>
  <c r="G126" i="42"/>
  <c r="G125" i="42" s="1"/>
  <c r="F126" i="42"/>
  <c r="F125" i="42" s="1"/>
  <c r="G122" i="42"/>
  <c r="G119" i="42" s="1"/>
  <c r="F122" i="42"/>
  <c r="F119" i="42" s="1"/>
  <c r="G117" i="42"/>
  <c r="F117" i="42"/>
  <c r="G115" i="42"/>
  <c r="F115" i="42"/>
  <c r="G111" i="42"/>
  <c r="G110" i="42" s="1"/>
  <c r="G109" i="42" s="1"/>
  <c r="G108" i="42" s="1"/>
  <c r="F111" i="42"/>
  <c r="F110" i="42" s="1"/>
  <c r="F109" i="42" s="1"/>
  <c r="F108" i="42" s="1"/>
  <c r="G106" i="42"/>
  <c r="F106" i="42"/>
  <c r="F104" i="42"/>
  <c r="G104" i="42"/>
  <c r="G99" i="42"/>
  <c r="G98" i="42" s="1"/>
  <c r="F99" i="42"/>
  <c r="F98" i="42" s="1"/>
  <c r="G96" i="42"/>
  <c r="G95" i="42" s="1"/>
  <c r="F96" i="42"/>
  <c r="F95" i="42" s="1"/>
  <c r="G91" i="42"/>
  <c r="G90" i="42" s="1"/>
  <c r="G89" i="42" s="1"/>
  <c r="G88" i="42" s="1"/>
  <c r="F91" i="42"/>
  <c r="F90" i="42" s="1"/>
  <c r="F89" i="42" s="1"/>
  <c r="F88" i="42" s="1"/>
  <c r="G86" i="42"/>
  <c r="F86" i="42"/>
  <c r="G84" i="42"/>
  <c r="F84" i="42"/>
  <c r="G80" i="42"/>
  <c r="F80" i="42"/>
  <c r="G78" i="42"/>
  <c r="F78" i="42"/>
  <c r="G76" i="42"/>
  <c r="F76" i="42"/>
  <c r="G69" i="42"/>
  <c r="G68" i="42" s="1"/>
  <c r="F69" i="42"/>
  <c r="F68" i="42" s="1"/>
  <c r="G66" i="42"/>
  <c r="G65" i="42" s="1"/>
  <c r="F66" i="42"/>
  <c r="F65" i="42" s="1"/>
  <c r="G60" i="42"/>
  <c r="G59" i="42" s="1"/>
  <c r="G58" i="42" s="1"/>
  <c r="G57" i="42" s="1"/>
  <c r="F60" i="42"/>
  <c r="F59" i="42" s="1"/>
  <c r="F58" i="42" s="1"/>
  <c r="F57" i="42" s="1"/>
  <c r="G55" i="42"/>
  <c r="G54" i="42" s="1"/>
  <c r="G53" i="42" s="1"/>
  <c r="G52" i="42" s="1"/>
  <c r="F55" i="42"/>
  <c r="F54" i="42" s="1"/>
  <c r="F53" i="42" s="1"/>
  <c r="F52" i="42" s="1"/>
  <c r="G50" i="42"/>
  <c r="G49" i="42" s="1"/>
  <c r="F50" i="42"/>
  <c r="F49" i="42" s="1"/>
  <c r="G44" i="42"/>
  <c r="F44" i="42"/>
  <c r="G42" i="42"/>
  <c r="F42" i="42"/>
  <c r="G37" i="42"/>
  <c r="G36" i="42" s="1"/>
  <c r="G35" i="42" s="1"/>
  <c r="G34" i="42" s="1"/>
  <c r="F37" i="42"/>
  <c r="F36" i="42" s="1"/>
  <c r="F35" i="42" s="1"/>
  <c r="F34" i="42" s="1"/>
  <c r="G30" i="42"/>
  <c r="G29" i="42" s="1"/>
  <c r="G28" i="42" s="1"/>
  <c r="G27" i="42" s="1"/>
  <c r="F30" i="42"/>
  <c r="F29" i="42" s="1"/>
  <c r="F28" i="42" s="1"/>
  <c r="F27" i="42" s="1"/>
  <c r="G25" i="42"/>
  <c r="G24" i="42" s="1"/>
  <c r="G23" i="42" s="1"/>
  <c r="G22" i="42" s="1"/>
  <c r="F25" i="42"/>
  <c r="F24" i="42" s="1"/>
  <c r="F23" i="42" s="1"/>
  <c r="F22" i="42" s="1"/>
  <c r="G19" i="42"/>
  <c r="F19" i="42"/>
  <c r="G17" i="42"/>
  <c r="F17" i="42"/>
  <c r="G15" i="42"/>
  <c r="F15" i="42"/>
  <c r="F576" i="42" l="1"/>
  <c r="E429" i="17"/>
  <c r="F284" i="42"/>
  <c r="F283" i="42" s="1"/>
  <c r="G284" i="42"/>
  <c r="G283" i="42" s="1"/>
  <c r="G258" i="42"/>
  <c r="G257" i="42" s="1"/>
  <c r="F254" i="17"/>
  <c r="G278" i="42"/>
  <c r="G277" i="42" s="1"/>
  <c r="G276" i="42" s="1"/>
  <c r="G275" i="42" s="1"/>
  <c r="F274" i="17"/>
  <c r="G219" i="42"/>
  <c r="G218" i="42" s="1"/>
  <c r="G217" i="42" s="1"/>
  <c r="F216" i="17"/>
  <c r="F531" i="42"/>
  <c r="F526" i="42" s="1"/>
  <c r="F525" i="42" s="1"/>
  <c r="F524" i="42" s="1"/>
  <c r="G531" i="42"/>
  <c r="G526" i="42" s="1"/>
  <c r="G525" i="42" s="1"/>
  <c r="G524" i="42" s="1"/>
  <c r="F64" i="42"/>
  <c r="G64" i="42"/>
  <c r="F581" i="42"/>
  <c r="F580" i="42" s="1"/>
  <c r="F579" i="42" s="1"/>
  <c r="G581" i="42"/>
  <c r="G580" i="42" s="1"/>
  <c r="G579" i="42" s="1"/>
  <c r="G256" i="42"/>
  <c r="G255" i="42" s="1"/>
  <c r="F296" i="42"/>
  <c r="F295" i="42" s="1"/>
  <c r="F294" i="42" s="1"/>
  <c r="F256" i="42"/>
  <c r="F255" i="42" s="1"/>
  <c r="G343" i="42"/>
  <c r="G103" i="42"/>
  <c r="G102" i="42" s="1"/>
  <c r="G101" i="42" s="1"/>
  <c r="G75" i="42"/>
  <c r="G74" i="42" s="1"/>
  <c r="B14" i="43"/>
  <c r="G142" i="42"/>
  <c r="G150" i="42"/>
  <c r="F75" i="42"/>
  <c r="F74" i="42" s="1"/>
  <c r="F493" i="42"/>
  <c r="G114" i="42"/>
  <c r="F134" i="42"/>
  <c r="F264" i="42"/>
  <c r="F263" i="42" s="1"/>
  <c r="F374" i="42"/>
  <c r="F373" i="42" s="1"/>
  <c r="G41" i="42"/>
  <c r="G40" i="42" s="1"/>
  <c r="G39" i="42" s="1"/>
  <c r="G83" i="42"/>
  <c r="G82" i="42" s="1"/>
  <c r="G480" i="42"/>
  <c r="G305" i="42"/>
  <c r="F142" i="42"/>
  <c r="G160" i="42"/>
  <c r="G206" i="42"/>
  <c r="G205" i="42" s="1"/>
  <c r="G204" i="42" s="1"/>
  <c r="G393" i="42"/>
  <c r="G392" i="42" s="1"/>
  <c r="G391" i="42" s="1"/>
  <c r="G390" i="42" s="1"/>
  <c r="G389" i="42" s="1"/>
  <c r="G562" i="42"/>
  <c r="F606" i="42"/>
  <c r="F605" i="42" s="1"/>
  <c r="F604" i="42" s="1"/>
  <c r="F305" i="42"/>
  <c r="F304" i="42" s="1"/>
  <c r="F303" i="42" s="1"/>
  <c r="F356" i="42"/>
  <c r="F167" i="42"/>
  <c r="F166" i="42" s="1"/>
  <c r="F165" i="42" s="1"/>
  <c r="G448" i="42"/>
  <c r="F48" i="42"/>
  <c r="F47" i="42"/>
  <c r="F46" i="42" s="1"/>
  <c r="G374" i="42"/>
  <c r="G373" i="42" s="1"/>
  <c r="F195" i="42"/>
  <c r="F194" i="42"/>
  <c r="F193" i="42" s="1"/>
  <c r="F41" i="42"/>
  <c r="F40" i="42" s="1"/>
  <c r="F39" i="42" s="1"/>
  <c r="G94" i="42"/>
  <c r="G93" i="42" s="1"/>
  <c r="F114" i="42"/>
  <c r="F150" i="42"/>
  <c r="F21" i="42"/>
  <c r="F103" i="42"/>
  <c r="F102" i="42" s="1"/>
  <c r="F101" i="42" s="1"/>
  <c r="G155" i="42"/>
  <c r="F160" i="42"/>
  <c r="G189" i="42"/>
  <c r="F206" i="42"/>
  <c r="F205" i="42" s="1"/>
  <c r="F204" i="42" s="1"/>
  <c r="G296" i="42"/>
  <c r="G295" i="42" s="1"/>
  <c r="G294" i="42" s="1"/>
  <c r="G315" i="42"/>
  <c r="G314" i="42" s="1"/>
  <c r="G320" i="42"/>
  <c r="G319" i="42" s="1"/>
  <c r="G329" i="42"/>
  <c r="F393" i="42"/>
  <c r="F392" i="42" s="1"/>
  <c r="F391" i="42" s="1"/>
  <c r="F390" i="42" s="1"/>
  <c r="F389" i="42" s="1"/>
  <c r="F94" i="42"/>
  <c r="F93" i="42" s="1"/>
  <c r="G222" i="42"/>
  <c r="F316" i="42"/>
  <c r="F320" i="42"/>
  <c r="F319" i="42" s="1"/>
  <c r="G356" i="42"/>
  <c r="G549" i="42"/>
  <c r="G548" i="42" s="1"/>
  <c r="F569" i="42"/>
  <c r="F275" i="42"/>
  <c r="F433" i="42"/>
  <c r="F83" i="42"/>
  <c r="F82" i="42" s="1"/>
  <c r="G134" i="42"/>
  <c r="F155" i="42"/>
  <c r="F423" i="42"/>
  <c r="F419" i="42" s="1"/>
  <c r="F418" i="42" s="1"/>
  <c r="F417" i="42" s="1"/>
  <c r="F416" i="42" s="1"/>
  <c r="F448" i="42"/>
  <c r="F562" i="42"/>
  <c r="G569" i="42"/>
  <c r="B50" i="43"/>
  <c r="G615" i="42"/>
  <c r="G611" i="42" s="1"/>
  <c r="G610" i="42" s="1"/>
  <c r="G609" i="42" s="1"/>
  <c r="G608" i="42" s="1"/>
  <c r="F615" i="42"/>
  <c r="F611" i="42" s="1"/>
  <c r="F610" i="42" s="1"/>
  <c r="F609" i="42" s="1"/>
  <c r="F608" i="42" s="1"/>
  <c r="G433" i="42"/>
  <c r="G423" i="42"/>
  <c r="G419" i="42" s="1"/>
  <c r="G418" i="42" s="1"/>
  <c r="G14" i="42"/>
  <c r="G13" i="42" s="1"/>
  <c r="G12" i="42" s="1"/>
  <c r="F14" i="42"/>
  <c r="F13" i="42" s="1"/>
  <c r="F12" i="42" s="1"/>
  <c r="G47" i="42"/>
  <c r="G46" i="42" s="1"/>
  <c r="G48" i="42"/>
  <c r="G21" i="42"/>
  <c r="G175" i="42"/>
  <c r="G194" i="42"/>
  <c r="G193" i="42" s="1"/>
  <c r="G195" i="42"/>
  <c r="F222" i="42"/>
  <c r="F216" i="42" s="1"/>
  <c r="G241" i="42"/>
  <c r="G264" i="42"/>
  <c r="G263" i="42" s="1"/>
  <c r="F329" i="42"/>
  <c r="G167" i="42"/>
  <c r="G166" i="42" s="1"/>
  <c r="G165" i="42" s="1"/>
  <c r="F175" i="42"/>
  <c r="F188" i="42"/>
  <c r="F187" i="42" s="1"/>
  <c r="F189" i="42"/>
  <c r="F241" i="42"/>
  <c r="F598" i="42"/>
  <c r="F597" i="42" s="1"/>
  <c r="F596" i="42" s="1"/>
  <c r="F595" i="42" s="1"/>
  <c r="F588" i="42" s="1"/>
  <c r="G455" i="42"/>
  <c r="F549" i="42"/>
  <c r="F548" i="42" s="1"/>
  <c r="G598" i="42"/>
  <c r="G597" i="42" s="1"/>
  <c r="G596" i="42" s="1"/>
  <c r="G595" i="42" s="1"/>
  <c r="G588" i="42" s="1"/>
  <c r="F455" i="42"/>
  <c r="F480" i="42"/>
  <c r="G493" i="42"/>
  <c r="G634" i="42" l="1"/>
  <c r="F634" i="42"/>
  <c r="G216" i="42"/>
  <c r="G186" i="42" s="1"/>
  <c r="F240" i="42"/>
  <c r="F239" i="42" s="1"/>
  <c r="F238" i="42" s="1"/>
  <c r="G240" i="42"/>
  <c r="G239" i="42" s="1"/>
  <c r="G238" i="42" s="1"/>
  <c r="F328" i="42"/>
  <c r="F327" i="42" s="1"/>
  <c r="F326" i="42" s="1"/>
  <c r="F372" i="42"/>
  <c r="F371" i="42" s="1"/>
  <c r="F350" i="42" s="1"/>
  <c r="G372" i="42"/>
  <c r="G371" i="42" s="1"/>
  <c r="G350" i="42" s="1"/>
  <c r="G63" i="42"/>
  <c r="G447" i="42"/>
  <c r="G446" i="42" s="1"/>
  <c r="G445" i="42" s="1"/>
  <c r="B40" i="43"/>
  <c r="B66" i="43" s="1"/>
  <c r="G133" i="42"/>
  <c r="G113" i="42" s="1"/>
  <c r="F274" i="42"/>
  <c r="F254" i="42" s="1"/>
  <c r="G274" i="42"/>
  <c r="G254" i="42" s="1"/>
  <c r="G479" i="42"/>
  <c r="G478" i="42" s="1"/>
  <c r="G477" i="42" s="1"/>
  <c r="F63" i="42"/>
  <c r="F561" i="42"/>
  <c r="F560" i="42" s="1"/>
  <c r="F559" i="42" s="1"/>
  <c r="F11" i="42"/>
  <c r="F10" i="42" s="1"/>
  <c r="G304" i="42"/>
  <c r="G303" i="42" s="1"/>
  <c r="G561" i="42"/>
  <c r="G560" i="42" s="1"/>
  <c r="G559" i="42" s="1"/>
  <c r="F186" i="42"/>
  <c r="F447" i="42"/>
  <c r="F446" i="42" s="1"/>
  <c r="F445" i="42" s="1"/>
  <c r="F479" i="42"/>
  <c r="F478" i="42" s="1"/>
  <c r="F477" i="42" s="1"/>
  <c r="G417" i="42"/>
  <c r="G416" i="42" s="1"/>
  <c r="G328" i="42"/>
  <c r="G327" i="42" s="1"/>
  <c r="G326" i="42" s="1"/>
  <c r="G11" i="42"/>
  <c r="G10" i="42" s="1"/>
  <c r="F133" i="42"/>
  <c r="F113" i="42" s="1"/>
  <c r="G231" i="42" l="1"/>
  <c r="F231" i="42"/>
  <c r="G62" i="42"/>
  <c r="G33" i="42" s="1"/>
  <c r="G444" i="42"/>
  <c r="G443" i="42" s="1"/>
  <c r="F62" i="42"/>
  <c r="F33" i="42" s="1"/>
  <c r="F444" i="42"/>
  <c r="F443" i="42" s="1"/>
  <c r="G32" i="42" l="1"/>
  <c r="G632" i="42" s="1"/>
  <c r="F32" i="42"/>
  <c r="F632" i="42" s="1"/>
  <c r="F435" i="17" l="1"/>
  <c r="E435" i="17"/>
  <c r="F432" i="17" l="1"/>
  <c r="F431" i="17" s="1"/>
  <c r="F430" i="17" s="1"/>
  <c r="E432" i="17"/>
  <c r="E431" i="17" s="1"/>
  <c r="E430" i="17" s="1"/>
  <c r="F392" i="17"/>
  <c r="F391" i="17" s="1"/>
  <c r="F390" i="17" s="1"/>
  <c r="E392" i="17"/>
  <c r="E391" i="17" s="1"/>
  <c r="E390" i="17" s="1"/>
  <c r="C24" i="18" s="1"/>
  <c r="D24" i="18" l="1"/>
  <c r="F582" i="17"/>
  <c r="E582" i="17"/>
  <c r="F597" i="22"/>
  <c r="F596" i="22" s="1"/>
  <c r="F595" i="22" s="1"/>
  <c r="E457" i="23"/>
  <c r="E456" i="23" s="1"/>
  <c r="E455" i="23" s="1"/>
  <c r="E454" i="23" s="1"/>
  <c r="C23" i="24" l="1"/>
  <c r="E220" i="23"/>
  <c r="E219" i="23" s="1"/>
  <c r="E218" i="23" s="1"/>
  <c r="E211" i="23" s="1"/>
  <c r="F205" i="22"/>
  <c r="F204" i="22" s="1"/>
  <c r="F197" i="22" s="1"/>
  <c r="E311" i="23" l="1"/>
  <c r="E310" i="23" s="1"/>
  <c r="E309" i="23" s="1"/>
  <c r="F296" i="22"/>
  <c r="F295" i="22" s="1"/>
  <c r="E229" i="23" l="1"/>
  <c r="E228" i="23" s="1"/>
  <c r="E227" i="23" s="1"/>
  <c r="E232" i="23"/>
  <c r="E231" i="23" s="1"/>
  <c r="E230" i="23" s="1"/>
  <c r="C41" i="32" l="1"/>
  <c r="E498" i="23" l="1"/>
  <c r="E497" i="23" s="1"/>
  <c r="E500" i="23"/>
  <c r="E499" i="23" s="1"/>
  <c r="E502" i="23"/>
  <c r="E501" i="23" s="1"/>
  <c r="F633" i="22"/>
  <c r="F635" i="22"/>
  <c r="F637" i="22"/>
  <c r="F632" i="22" l="1"/>
  <c r="F631" i="22" s="1"/>
  <c r="F630" i="22" s="1"/>
  <c r="E496" i="23"/>
  <c r="E495" i="23" s="1"/>
  <c r="E494" i="23" s="1"/>
  <c r="F662" i="22" l="1"/>
  <c r="F663" i="22"/>
  <c r="F666" i="22"/>
  <c r="F665" i="22" s="1"/>
  <c r="F109" i="22"/>
  <c r="E582" i="23" l="1"/>
  <c r="E581" i="23" s="1"/>
  <c r="F420" i="22"/>
  <c r="F419" i="22" s="1"/>
  <c r="E273" i="23" l="1"/>
  <c r="E272" i="23" s="1"/>
  <c r="E271" i="23" s="1"/>
  <c r="F511" i="22" l="1"/>
  <c r="F510" i="22" s="1"/>
  <c r="F559" i="22"/>
  <c r="F527" i="22"/>
  <c r="F503" i="22"/>
  <c r="E555" i="23" l="1"/>
  <c r="E554" i="23" s="1"/>
  <c r="E553" i="23" s="1"/>
  <c r="F402" i="22"/>
  <c r="F401" i="22" s="1"/>
  <c r="E615" i="23" l="1"/>
  <c r="E614" i="23" s="1"/>
  <c r="E613" i="23" s="1"/>
  <c r="F660" i="22"/>
  <c r="F659" i="22" s="1"/>
  <c r="F658" i="22" s="1"/>
  <c r="E431" i="23"/>
  <c r="E430" i="23" s="1"/>
  <c r="E429" i="23" s="1"/>
  <c r="F568" i="22"/>
  <c r="F567" i="22" s="1"/>
  <c r="F514" i="22"/>
  <c r="F513" i="22" s="1"/>
  <c r="E586" i="23"/>
  <c r="E585" i="23" s="1"/>
  <c r="E584" i="23" s="1"/>
  <c r="E589" i="23"/>
  <c r="E588" i="23" s="1"/>
  <c r="E587" i="23" s="1"/>
  <c r="F423" i="22"/>
  <c r="F422" i="22" s="1"/>
  <c r="F426" i="22"/>
  <c r="F425" i="22" s="1"/>
  <c r="F418" i="22" l="1"/>
  <c r="F417" i="22" s="1"/>
  <c r="F416" i="22" s="1"/>
  <c r="E580" i="23"/>
  <c r="E579" i="23" s="1"/>
  <c r="E578" i="23" s="1"/>
  <c r="E526" i="23"/>
  <c r="F372" i="22"/>
  <c r="F371" i="22" s="1"/>
  <c r="E276" i="23"/>
  <c r="F261" i="22"/>
  <c r="F260" i="22" s="1"/>
  <c r="E117" i="23"/>
  <c r="E116" i="23" s="1"/>
  <c r="F108" i="22"/>
  <c r="E81" i="23"/>
  <c r="E80" i="23" s="1"/>
  <c r="E79" i="23" s="1"/>
  <c r="F72" i="22"/>
  <c r="F71" i="22" s="1"/>
  <c r="C74" i="32" l="1"/>
  <c r="K417" i="36" l="1"/>
  <c r="E439" i="23" l="1"/>
  <c r="E438" i="23" s="1"/>
  <c r="E437" i="23" s="1"/>
  <c r="E436" i="23" s="1"/>
  <c r="C19" i="24" s="1"/>
  <c r="E377" i="17" l="1"/>
  <c r="E376" i="17" s="1"/>
  <c r="E375" i="17" s="1"/>
  <c r="E579" i="17" s="1"/>
  <c r="F377" i="17"/>
  <c r="F376" i="17" s="1"/>
  <c r="F375" i="17" s="1"/>
  <c r="D20" i="18" s="1"/>
  <c r="F576" i="22"/>
  <c r="F575" i="22" s="1"/>
  <c r="F574" i="22" s="1"/>
  <c r="D47" i="15"/>
  <c r="D62" i="15"/>
  <c r="C62" i="15"/>
  <c r="C20" i="18" l="1"/>
  <c r="F579" i="17"/>
  <c r="C12" i="13"/>
  <c r="B12" i="13"/>
  <c r="K309" i="36" l="1"/>
  <c r="K437" i="36"/>
  <c r="K369" i="36"/>
  <c r="F373" i="17" l="1"/>
  <c r="F372" i="17" s="1"/>
  <c r="F371" i="17" s="1"/>
  <c r="E373" i="17"/>
  <c r="E372" i="17" s="1"/>
  <c r="E371" i="17" s="1"/>
  <c r="K629" i="36"/>
  <c r="E52" i="32"/>
  <c r="D42" i="15"/>
  <c r="C42" i="15"/>
  <c r="C49" i="32"/>
  <c r="C45" i="32" s="1"/>
  <c r="K280" i="36" l="1"/>
  <c r="K258" i="36"/>
  <c r="K261" i="36"/>
  <c r="K252" i="36"/>
  <c r="K740" i="36" l="1"/>
  <c r="K745" i="36"/>
  <c r="F146" i="17" l="1"/>
  <c r="F145" i="17" s="1"/>
  <c r="E146" i="17"/>
  <c r="E145" i="17" s="1"/>
  <c r="E160" i="23"/>
  <c r="E159" i="23" s="1"/>
  <c r="E158" i="23" s="1"/>
  <c r="F145" i="22"/>
  <c r="F144" i="22" s="1"/>
  <c r="K15" i="36" l="1"/>
  <c r="K743" i="36"/>
  <c r="D77" i="18" l="1"/>
  <c r="D76" i="18" s="1"/>
  <c r="E113" i="17"/>
  <c r="E112" i="17" s="1"/>
  <c r="E111" i="17" s="1"/>
  <c r="E613" i="17" s="1"/>
  <c r="C77" i="18" l="1"/>
  <c r="C76" i="18" s="1"/>
  <c r="E110" i="17"/>
  <c r="E566" i="17" s="1"/>
  <c r="F113" i="17"/>
  <c r="F112" i="17" s="1"/>
  <c r="F111" i="17" s="1"/>
  <c r="F110" i="17" l="1"/>
  <c r="F566" i="17" s="1"/>
  <c r="F613" i="17"/>
  <c r="C31" i="13" l="1"/>
  <c r="B31" i="13"/>
  <c r="C18" i="13"/>
  <c r="B18" i="13"/>
  <c r="B11" i="13" s="1"/>
  <c r="C9" i="13"/>
  <c r="B9" i="13"/>
  <c r="B22" i="13" l="1"/>
  <c r="B46" i="13" s="1"/>
  <c r="C22" i="13"/>
  <c r="F461" i="17"/>
  <c r="F460" i="17" s="1"/>
  <c r="K596" i="36" l="1"/>
  <c r="K639" i="36" l="1"/>
  <c r="F525" i="17"/>
  <c r="E525" i="17"/>
  <c r="F86" i="17" l="1"/>
  <c r="E86" i="17"/>
  <c r="F691" i="22" l="1"/>
  <c r="F690" i="22" s="1"/>
  <c r="F689" i="22" s="1"/>
  <c r="F688" i="22" s="1"/>
  <c r="F686" i="22"/>
  <c r="F685" i="22" s="1"/>
  <c r="F684" i="22" s="1"/>
  <c r="F683" i="22" s="1"/>
  <c r="F680" i="22"/>
  <c r="F619" i="22"/>
  <c r="F609" i="22"/>
  <c r="F605" i="22"/>
  <c r="F594" i="22"/>
  <c r="F556" i="22"/>
  <c r="F524" i="22"/>
  <c r="F733" i="22" l="1"/>
  <c r="F441" i="22"/>
  <c r="F440" i="22" s="1"/>
  <c r="E606" i="23"/>
  <c r="F651" i="22"/>
  <c r="F682" i="22"/>
  <c r="F369" i="22"/>
  <c r="F361" i="22" l="1"/>
  <c r="F360" i="22" s="1"/>
  <c r="E515" i="23"/>
  <c r="F358" i="22"/>
  <c r="F357" i="22" s="1"/>
  <c r="E512" i="23"/>
  <c r="E58" i="23"/>
  <c r="E75" i="23" l="1"/>
  <c r="C9" i="32"/>
  <c r="C58" i="32"/>
  <c r="C40" i="32" s="1"/>
  <c r="C39" i="32" s="1"/>
  <c r="G751" i="44" l="1"/>
  <c r="G752" i="44" s="1"/>
  <c r="G792" i="44"/>
  <c r="F736" i="22"/>
  <c r="F695" i="22"/>
  <c r="C78" i="32" l="1"/>
  <c r="G753" i="44" s="1"/>
  <c r="C11" i="13"/>
  <c r="C46" i="13" s="1"/>
  <c r="C84" i="32" l="1"/>
  <c r="C13" i="3"/>
  <c r="J154" i="36"/>
  <c r="K154" i="36"/>
  <c r="K156" i="36"/>
  <c r="J156" i="36"/>
  <c r="K724" i="36" l="1"/>
  <c r="J280" i="36"/>
  <c r="K113" i="36"/>
  <c r="J113" i="36"/>
  <c r="K487" i="36" l="1"/>
  <c r="J487" i="36"/>
  <c r="J111" i="36" l="1"/>
  <c r="D51" i="15" l="1"/>
  <c r="C51" i="15"/>
  <c r="D50" i="15"/>
  <c r="D41" i="15" s="1"/>
  <c r="C50" i="15"/>
  <c r="C41" i="15" s="1"/>
  <c r="D39" i="15"/>
  <c r="C39" i="15"/>
  <c r="C38" i="15" l="1"/>
  <c r="G672" i="36"/>
  <c r="D38" i="15" l="1"/>
  <c r="G657" i="36"/>
  <c r="G656" i="36" s="1"/>
  <c r="G632" i="36"/>
  <c r="G365" i="36" l="1"/>
  <c r="G303" i="36"/>
  <c r="G297" i="36"/>
  <c r="G223" i="36"/>
  <c r="G227" i="36"/>
  <c r="G810" i="36" l="1"/>
  <c r="J807" i="36"/>
  <c r="I807" i="36"/>
  <c r="J769" i="36"/>
  <c r="I769" i="36"/>
  <c r="G769" i="36"/>
  <c r="G764" i="36"/>
  <c r="I763" i="36"/>
  <c r="I762" i="36"/>
  <c r="I761" i="36"/>
  <c r="L758" i="36"/>
  <c r="K757" i="36"/>
  <c r="K756" i="36" s="1"/>
  <c r="K755" i="36" s="1"/>
  <c r="K754" i="36" s="1"/>
  <c r="J757" i="36"/>
  <c r="J756" i="36" s="1"/>
  <c r="L753" i="36"/>
  <c r="K752" i="36"/>
  <c r="K751" i="36" s="1"/>
  <c r="J752" i="36"/>
  <c r="J751" i="36" s="1"/>
  <c r="J750" i="36" s="1"/>
  <c r="J749" i="36" s="1"/>
  <c r="L747" i="36"/>
  <c r="K746" i="36"/>
  <c r="J746" i="36"/>
  <c r="L745" i="36"/>
  <c r="I745" i="36"/>
  <c r="G745" i="36"/>
  <c r="N745" i="36" s="1"/>
  <c r="K744" i="36"/>
  <c r="J744" i="36"/>
  <c r="I744" i="36"/>
  <c r="H744" i="36"/>
  <c r="L743" i="36"/>
  <c r="I743" i="36"/>
  <c r="G743" i="36"/>
  <c r="N743" i="36" s="1"/>
  <c r="K742" i="36"/>
  <c r="J742" i="36"/>
  <c r="I742" i="36"/>
  <c r="H742" i="36"/>
  <c r="L740" i="36"/>
  <c r="I740" i="36"/>
  <c r="I739" i="36" s="1"/>
  <c r="I738" i="36" s="1"/>
  <c r="G740" i="36"/>
  <c r="N740" i="36" s="1"/>
  <c r="K739" i="36"/>
  <c r="J739" i="36"/>
  <c r="J738" i="36" s="1"/>
  <c r="H739" i="36"/>
  <c r="H738" i="36" s="1"/>
  <c r="N733" i="36"/>
  <c r="M733" i="36"/>
  <c r="L733" i="36"/>
  <c r="L732" i="36"/>
  <c r="H732" i="36"/>
  <c r="H731" i="36" s="1"/>
  <c r="G732" i="36"/>
  <c r="M732" i="36" s="1"/>
  <c r="L731" i="36"/>
  <c r="L730" i="36"/>
  <c r="L729" i="36"/>
  <c r="H729" i="36"/>
  <c r="H728" i="36" s="1"/>
  <c r="G729" i="36"/>
  <c r="G728" i="36" s="1"/>
  <c r="L728" i="36"/>
  <c r="L727" i="36"/>
  <c r="L726" i="36"/>
  <c r="H726" i="36"/>
  <c r="H725" i="36" s="1"/>
  <c r="G726" i="36"/>
  <c r="G725" i="36" s="1"/>
  <c r="L725" i="36"/>
  <c r="L724" i="36"/>
  <c r="G724" i="36"/>
  <c r="G723" i="36" s="1"/>
  <c r="G722" i="36" s="1"/>
  <c r="K723" i="36"/>
  <c r="K722" i="36" s="1"/>
  <c r="J723" i="36"/>
  <c r="J722" i="36" s="1"/>
  <c r="J721" i="36" s="1"/>
  <c r="J717" i="36" s="1"/>
  <c r="I723" i="36"/>
  <c r="I722" i="36" s="1"/>
  <c r="I721" i="36" s="1"/>
  <c r="I717" i="36" s="1"/>
  <c r="I716" i="36" s="1"/>
  <c r="I715" i="36" s="1"/>
  <c r="I714" i="36" s="1"/>
  <c r="H723" i="36"/>
  <c r="H722" i="36" s="1"/>
  <c r="N720" i="36"/>
  <c r="M720" i="36"/>
  <c r="L720" i="36"/>
  <c r="L719" i="36"/>
  <c r="H719" i="36"/>
  <c r="H718" i="36" s="1"/>
  <c r="G719" i="36"/>
  <c r="M719" i="36" s="1"/>
  <c r="L718" i="36"/>
  <c r="N713" i="36"/>
  <c r="M713" i="36"/>
  <c r="L713" i="36"/>
  <c r="G713" i="36"/>
  <c r="K712" i="36"/>
  <c r="J712" i="36"/>
  <c r="I712" i="36"/>
  <c r="I709" i="36" s="1"/>
  <c r="I708" i="36" s="1"/>
  <c r="I707" i="36" s="1"/>
  <c r="I706" i="36" s="1"/>
  <c r="I705" i="36" s="1"/>
  <c r="H712" i="36"/>
  <c r="G712" i="36"/>
  <c r="L711" i="36"/>
  <c r="G711" i="36"/>
  <c r="N711" i="36" s="1"/>
  <c r="K710" i="36"/>
  <c r="J710" i="36"/>
  <c r="H710" i="36"/>
  <c r="G710" i="36"/>
  <c r="N704" i="36"/>
  <c r="M704" i="36"/>
  <c r="L704" i="36"/>
  <c r="K703" i="36"/>
  <c r="J703" i="36"/>
  <c r="I703" i="36"/>
  <c r="I702" i="36" s="1"/>
  <c r="I701" i="36" s="1"/>
  <c r="I700" i="36" s="1"/>
  <c r="I699" i="36" s="1"/>
  <c r="H703" i="36"/>
  <c r="H702" i="36" s="1"/>
  <c r="H701" i="36" s="1"/>
  <c r="H700" i="36" s="1"/>
  <c r="H699" i="36" s="1"/>
  <c r="G703" i="36"/>
  <c r="J702" i="36"/>
  <c r="J701" i="36" s="1"/>
  <c r="J700" i="36" s="1"/>
  <c r="J699" i="36" s="1"/>
  <c r="L697" i="36"/>
  <c r="G697" i="36"/>
  <c r="M697" i="36" s="1"/>
  <c r="K696" i="36"/>
  <c r="K695" i="36" s="1"/>
  <c r="J696" i="36"/>
  <c r="J695" i="36" s="1"/>
  <c r="I696" i="36"/>
  <c r="I695" i="36" s="1"/>
  <c r="H696" i="36"/>
  <c r="H695" i="36" s="1"/>
  <c r="N694" i="36"/>
  <c r="M694" i="36"/>
  <c r="L694" i="36"/>
  <c r="K693" i="36"/>
  <c r="J693" i="36"/>
  <c r="I693" i="36"/>
  <c r="H693" i="36"/>
  <c r="G693" i="36"/>
  <c r="K692" i="36"/>
  <c r="G692" i="36"/>
  <c r="M692" i="36" s="1"/>
  <c r="J691" i="36"/>
  <c r="I691" i="36"/>
  <c r="H691" i="36"/>
  <c r="G691" i="36"/>
  <c r="N690" i="36"/>
  <c r="L690" i="36"/>
  <c r="G690" i="36"/>
  <c r="M690" i="36" s="1"/>
  <c r="K689" i="36"/>
  <c r="J689" i="36"/>
  <c r="I689" i="36"/>
  <c r="H689" i="36"/>
  <c r="L687" i="36"/>
  <c r="L686" i="36"/>
  <c r="I686" i="36"/>
  <c r="H686" i="36"/>
  <c r="G686" i="36"/>
  <c r="K685" i="36"/>
  <c r="G685" i="36"/>
  <c r="M685" i="36" s="1"/>
  <c r="J684" i="36"/>
  <c r="I684" i="36"/>
  <c r="H684" i="36"/>
  <c r="G684" i="36"/>
  <c r="L683" i="36"/>
  <c r="G683" i="36"/>
  <c r="M683" i="36" s="1"/>
  <c r="K682" i="36"/>
  <c r="J682" i="36"/>
  <c r="I682" i="36"/>
  <c r="H682" i="36"/>
  <c r="J681" i="36"/>
  <c r="N677" i="36"/>
  <c r="M677" i="36"/>
  <c r="L677" i="36"/>
  <c r="K676" i="36"/>
  <c r="K675" i="36" s="1"/>
  <c r="J676" i="36"/>
  <c r="J675" i="36" s="1"/>
  <c r="I676" i="36"/>
  <c r="I675" i="36" s="1"/>
  <c r="I674" i="36" s="1"/>
  <c r="H676" i="36"/>
  <c r="H675" i="36" s="1"/>
  <c r="H674" i="36" s="1"/>
  <c r="G676" i="36"/>
  <c r="G675" i="36" s="1"/>
  <c r="G674" i="36" s="1"/>
  <c r="N673" i="36"/>
  <c r="M673" i="36"/>
  <c r="L673" i="36"/>
  <c r="K672" i="36"/>
  <c r="J672" i="36"/>
  <c r="M672" i="36" s="1"/>
  <c r="I672" i="36"/>
  <c r="N671" i="36"/>
  <c r="M671" i="36"/>
  <c r="L671" i="36"/>
  <c r="K670" i="36"/>
  <c r="J670" i="36"/>
  <c r="I670" i="36"/>
  <c r="H670" i="36"/>
  <c r="G670" i="36"/>
  <c r="N669" i="36"/>
  <c r="L669" i="36"/>
  <c r="K668" i="36"/>
  <c r="J668" i="36"/>
  <c r="I668" i="36"/>
  <c r="H668" i="36"/>
  <c r="G668" i="36"/>
  <c r="J666" i="36"/>
  <c r="N665" i="36"/>
  <c r="M665" i="36"/>
  <c r="L665" i="36"/>
  <c r="K664" i="36"/>
  <c r="K663" i="36" s="1"/>
  <c r="K662" i="36" s="1"/>
  <c r="J664" i="36"/>
  <c r="J663" i="36" s="1"/>
  <c r="J662" i="36" s="1"/>
  <c r="I664" i="36"/>
  <c r="I663" i="36" s="1"/>
  <c r="I662" i="36" s="1"/>
  <c r="H664" i="36"/>
  <c r="H663" i="36" s="1"/>
  <c r="H662" i="36" s="1"/>
  <c r="G664" i="36"/>
  <c r="G663" i="36" s="1"/>
  <c r="G662" i="36" s="1"/>
  <c r="L658" i="36"/>
  <c r="L657" i="36"/>
  <c r="H657" i="36"/>
  <c r="H656" i="36" s="1"/>
  <c r="L656" i="36"/>
  <c r="L655" i="36"/>
  <c r="L654" i="36"/>
  <c r="I654" i="36"/>
  <c r="I653" i="36" s="1"/>
  <c r="H654" i="36"/>
  <c r="H653" i="36" s="1"/>
  <c r="G654" i="36"/>
  <c r="G653" i="36" s="1"/>
  <c r="L653" i="36"/>
  <c r="N652" i="36"/>
  <c r="M652" i="36"/>
  <c r="L652" i="36"/>
  <c r="K651" i="36"/>
  <c r="K650" i="36" s="1"/>
  <c r="J651" i="36"/>
  <c r="I651" i="36"/>
  <c r="I650" i="36" s="1"/>
  <c r="H651" i="36"/>
  <c r="H650" i="36" s="1"/>
  <c r="G651" i="36"/>
  <c r="N651" i="36" s="1"/>
  <c r="N649" i="36"/>
  <c r="M649" i="36"/>
  <c r="L649" i="36"/>
  <c r="K648" i="36"/>
  <c r="K647" i="36" s="1"/>
  <c r="J648" i="36"/>
  <c r="J647" i="36" s="1"/>
  <c r="I648" i="36"/>
  <c r="I647" i="36" s="1"/>
  <c r="H648" i="36"/>
  <c r="H647" i="36" s="1"/>
  <c r="G648" i="36"/>
  <c r="G647" i="36" s="1"/>
  <c r="L646" i="36"/>
  <c r="L645" i="36"/>
  <c r="H645" i="36"/>
  <c r="H644" i="36" s="1"/>
  <c r="G645" i="36"/>
  <c r="G644" i="36" s="1"/>
  <c r="L644" i="36"/>
  <c r="N643" i="36"/>
  <c r="M643" i="36"/>
  <c r="L643" i="36"/>
  <c r="K642" i="36"/>
  <c r="J642" i="36"/>
  <c r="I642" i="36"/>
  <c r="I641" i="36" s="1"/>
  <c r="H642" i="36"/>
  <c r="H641" i="36" s="1"/>
  <c r="G642" i="36"/>
  <c r="G641" i="36" s="1"/>
  <c r="G639" i="36"/>
  <c r="M639" i="36" s="1"/>
  <c r="J638" i="36"/>
  <c r="I638" i="36"/>
  <c r="H638" i="36"/>
  <c r="G638" i="36"/>
  <c r="J637" i="36"/>
  <c r="I637" i="36"/>
  <c r="H637" i="36"/>
  <c r="G637" i="36"/>
  <c r="G636" i="36" s="1"/>
  <c r="J636" i="36"/>
  <c r="I636" i="36"/>
  <c r="H636" i="36"/>
  <c r="N632" i="36"/>
  <c r="M632" i="36"/>
  <c r="L632" i="36"/>
  <c r="L631" i="36"/>
  <c r="H631" i="36"/>
  <c r="H630" i="36" s="1"/>
  <c r="G631" i="36"/>
  <c r="L630" i="36"/>
  <c r="K628" i="36"/>
  <c r="K627" i="36" s="1"/>
  <c r="J629" i="36"/>
  <c r="I628" i="36"/>
  <c r="I627" i="36" s="1"/>
  <c r="I626" i="36" s="1"/>
  <c r="H628" i="36"/>
  <c r="H627" i="36" s="1"/>
  <c r="H626" i="36" s="1"/>
  <c r="G628" i="36"/>
  <c r="G627" i="36" s="1"/>
  <c r="G626" i="36" s="1"/>
  <c r="N625" i="36"/>
  <c r="M625" i="36"/>
  <c r="L625" i="36"/>
  <c r="K624" i="36"/>
  <c r="K623" i="36" s="1"/>
  <c r="K622" i="36" s="1"/>
  <c r="J624" i="36"/>
  <c r="I624" i="36"/>
  <c r="I623" i="36" s="1"/>
  <c r="I622" i="36" s="1"/>
  <c r="H624" i="36"/>
  <c r="H623" i="36" s="1"/>
  <c r="H622" i="36" s="1"/>
  <c r="G624" i="36"/>
  <c r="G623" i="36" s="1"/>
  <c r="L621" i="36"/>
  <c r="G621" i="36"/>
  <c r="M621" i="36" s="1"/>
  <c r="L620" i="36"/>
  <c r="H620" i="36"/>
  <c r="H619" i="36" s="1"/>
  <c r="L619" i="36"/>
  <c r="N618" i="36"/>
  <c r="L618" i="36"/>
  <c r="G618" i="36"/>
  <c r="M618" i="36" s="1"/>
  <c r="K617" i="36"/>
  <c r="K616" i="36" s="1"/>
  <c r="J617" i="36"/>
  <c r="J616" i="36" s="1"/>
  <c r="I617" i="36"/>
  <c r="I616" i="36" s="1"/>
  <c r="H617" i="36"/>
  <c r="H616" i="36" s="1"/>
  <c r="G617" i="36"/>
  <c r="G616" i="36" s="1"/>
  <c r="L615" i="36"/>
  <c r="G615" i="36"/>
  <c r="N615" i="36" s="1"/>
  <c r="K614" i="36"/>
  <c r="K613" i="36" s="1"/>
  <c r="J614" i="36"/>
  <c r="J613" i="36" s="1"/>
  <c r="I614" i="36"/>
  <c r="I613" i="36" s="1"/>
  <c r="H614" i="36"/>
  <c r="H613" i="36" s="1"/>
  <c r="G614" i="36"/>
  <c r="G613" i="36" s="1"/>
  <c r="L612" i="36"/>
  <c r="G612" i="36"/>
  <c r="N612" i="36" s="1"/>
  <c r="K611" i="36"/>
  <c r="K610" i="36" s="1"/>
  <c r="J611" i="36"/>
  <c r="J610" i="36" s="1"/>
  <c r="I611" i="36"/>
  <c r="I610" i="36" s="1"/>
  <c r="H611" i="36"/>
  <c r="H610" i="36" s="1"/>
  <c r="K609" i="36"/>
  <c r="L609" i="36" s="1"/>
  <c r="G609" i="36"/>
  <c r="K608" i="36"/>
  <c r="J608" i="36"/>
  <c r="I608" i="36"/>
  <c r="I607" i="36" s="1"/>
  <c r="H608" i="36"/>
  <c r="H607" i="36" s="1"/>
  <c r="K607" i="36"/>
  <c r="J607" i="36"/>
  <c r="N606" i="36"/>
  <c r="M606" i="36"/>
  <c r="L606" i="36"/>
  <c r="K605" i="36"/>
  <c r="K604" i="36" s="1"/>
  <c r="J605" i="36"/>
  <c r="I605" i="36"/>
  <c r="I604" i="36" s="1"/>
  <c r="H605" i="36"/>
  <c r="H604" i="36" s="1"/>
  <c r="G605" i="36"/>
  <c r="G604" i="36" s="1"/>
  <c r="N602" i="36"/>
  <c r="M602" i="36"/>
  <c r="L602" i="36"/>
  <c r="K601" i="36"/>
  <c r="J601" i="36"/>
  <c r="I601" i="36"/>
  <c r="I600" i="36" s="1"/>
  <c r="H601" i="36"/>
  <c r="H600" i="36" s="1"/>
  <c r="G601" i="36"/>
  <c r="G600" i="36" s="1"/>
  <c r="J600" i="36"/>
  <c r="N599" i="36"/>
  <c r="L599" i="36"/>
  <c r="G599" i="36"/>
  <c r="M599" i="36" s="1"/>
  <c r="K598" i="36"/>
  <c r="J598" i="36"/>
  <c r="J597" i="36" s="1"/>
  <c r="I598" i="36"/>
  <c r="I597" i="36" s="1"/>
  <c r="H598" i="36"/>
  <c r="H597" i="36" s="1"/>
  <c r="G598" i="36"/>
  <c r="G597" i="36" s="1"/>
  <c r="J596" i="36"/>
  <c r="G596" i="36"/>
  <c r="N596" i="36" s="1"/>
  <c r="K595" i="36"/>
  <c r="I595" i="36"/>
  <c r="I594" i="36" s="1"/>
  <c r="H595" i="36"/>
  <c r="H594" i="36" s="1"/>
  <c r="N593" i="36"/>
  <c r="M593" i="36"/>
  <c r="L593" i="36"/>
  <c r="K592" i="36"/>
  <c r="K591" i="36" s="1"/>
  <c r="J592" i="36"/>
  <c r="J591" i="36" s="1"/>
  <c r="I592" i="36"/>
  <c r="I591" i="36" s="1"/>
  <c r="H592" i="36"/>
  <c r="H591" i="36" s="1"/>
  <c r="G592" i="36"/>
  <c r="G591" i="36" s="1"/>
  <c r="L586" i="36"/>
  <c r="L585" i="36"/>
  <c r="H585" i="36"/>
  <c r="H584" i="36" s="1"/>
  <c r="H583" i="36" s="1"/>
  <c r="G585" i="36"/>
  <c r="G584" i="36" s="1"/>
  <c r="G583" i="36" s="1"/>
  <c r="L584" i="36"/>
  <c r="L583" i="36"/>
  <c r="L582" i="36"/>
  <c r="H582" i="36"/>
  <c r="H581" i="36" s="1"/>
  <c r="H580" i="36" s="1"/>
  <c r="G582" i="36"/>
  <c r="G581" i="36" s="1"/>
  <c r="K581" i="36"/>
  <c r="J581" i="36"/>
  <c r="J580" i="36" s="1"/>
  <c r="I581" i="36"/>
  <c r="I580" i="36" s="1"/>
  <c r="G580" i="36"/>
  <c r="L579" i="36"/>
  <c r="L578" i="36"/>
  <c r="H578" i="36"/>
  <c r="H577" i="36" s="1"/>
  <c r="G578" i="36"/>
  <c r="G577" i="36" s="1"/>
  <c r="L577" i="36"/>
  <c r="L576" i="36"/>
  <c r="G576" i="36"/>
  <c r="M576" i="36" s="1"/>
  <c r="L575" i="36"/>
  <c r="H575" i="36"/>
  <c r="H574" i="36" s="1"/>
  <c r="L574" i="36"/>
  <c r="K573" i="36"/>
  <c r="L573" i="36" s="1"/>
  <c r="G573" i="36"/>
  <c r="J572" i="36"/>
  <c r="I572" i="36"/>
  <c r="I571" i="36" s="1"/>
  <c r="H572" i="36"/>
  <c r="H571" i="36" s="1"/>
  <c r="K570" i="36"/>
  <c r="G570" i="36"/>
  <c r="M570" i="36" s="1"/>
  <c r="J569" i="36"/>
  <c r="I569" i="36"/>
  <c r="H569" i="36"/>
  <c r="J568" i="36"/>
  <c r="I568" i="36"/>
  <c r="H568" i="36"/>
  <c r="N567" i="36"/>
  <c r="M567" i="36"/>
  <c r="L567" i="36"/>
  <c r="K566" i="36"/>
  <c r="J566" i="36"/>
  <c r="J565" i="36" s="1"/>
  <c r="H566" i="36"/>
  <c r="H565" i="36" s="1"/>
  <c r="G566" i="36"/>
  <c r="G565" i="36" s="1"/>
  <c r="I565" i="36"/>
  <c r="N564" i="36"/>
  <c r="M564" i="36"/>
  <c r="L564" i="36"/>
  <c r="K563" i="36"/>
  <c r="J563" i="36"/>
  <c r="I563" i="36"/>
  <c r="H563" i="36"/>
  <c r="H562" i="36" s="1"/>
  <c r="G563" i="36"/>
  <c r="J562" i="36"/>
  <c r="I562" i="36"/>
  <c r="L560" i="36"/>
  <c r="G560" i="36"/>
  <c r="G559" i="36" s="1"/>
  <c r="K559" i="36"/>
  <c r="J559" i="36"/>
  <c r="J558" i="36" s="1"/>
  <c r="I559" i="36"/>
  <c r="I558" i="36" s="1"/>
  <c r="H559" i="36"/>
  <c r="H558" i="36" s="1"/>
  <c r="K557" i="36"/>
  <c r="J557" i="36"/>
  <c r="G557" i="36"/>
  <c r="M557" i="36" s="1"/>
  <c r="J556" i="36"/>
  <c r="I556" i="36"/>
  <c r="I555" i="36" s="1"/>
  <c r="H556" i="36"/>
  <c r="H555" i="36" s="1"/>
  <c r="G556" i="36"/>
  <c r="G555" i="36" s="1"/>
  <c r="K548" i="36"/>
  <c r="J547" i="36"/>
  <c r="J546" i="36" s="1"/>
  <c r="J545" i="36" s="1"/>
  <c r="J544" i="36" s="1"/>
  <c r="N543" i="36"/>
  <c r="M543" i="36"/>
  <c r="L543" i="36"/>
  <c r="I543" i="36"/>
  <c r="I542" i="36" s="1"/>
  <c r="I541" i="36" s="1"/>
  <c r="I540" i="36" s="1"/>
  <c r="K542" i="36"/>
  <c r="J542" i="36"/>
  <c r="G542" i="36"/>
  <c r="G541" i="36" s="1"/>
  <c r="G540" i="36" s="1"/>
  <c r="H540" i="36"/>
  <c r="H534" i="36" s="1"/>
  <c r="N539" i="36"/>
  <c r="M539" i="36"/>
  <c r="L539" i="36"/>
  <c r="I539" i="36"/>
  <c r="I538" i="36" s="1"/>
  <c r="I537" i="36" s="1"/>
  <c r="I536" i="36" s="1"/>
  <c r="I535" i="36" s="1"/>
  <c r="K538" i="36"/>
  <c r="J538" i="36"/>
  <c r="G538" i="36"/>
  <c r="G537" i="36" s="1"/>
  <c r="G536" i="36" s="1"/>
  <c r="G535" i="36" s="1"/>
  <c r="L533" i="36"/>
  <c r="L532" i="36"/>
  <c r="H532" i="36"/>
  <c r="H531" i="36" s="1"/>
  <c r="H530" i="36" s="1"/>
  <c r="H529" i="36" s="1"/>
  <c r="G532" i="36"/>
  <c r="G531" i="36" s="1"/>
  <c r="G530" i="36" s="1"/>
  <c r="G529" i="36" s="1"/>
  <c r="L531" i="36"/>
  <c r="L530" i="36"/>
  <c r="L529" i="36"/>
  <c r="N528" i="36"/>
  <c r="M528" i="36"/>
  <c r="L528" i="36"/>
  <c r="I528" i="36"/>
  <c r="I527" i="36" s="1"/>
  <c r="I526" i="36" s="1"/>
  <c r="K527" i="36"/>
  <c r="J527" i="36"/>
  <c r="G527" i="36"/>
  <c r="G526" i="36" s="1"/>
  <c r="H526" i="36"/>
  <c r="N525" i="36"/>
  <c r="M525" i="36"/>
  <c r="L525" i="36"/>
  <c r="I525" i="36"/>
  <c r="I524" i="36" s="1"/>
  <c r="K524" i="36"/>
  <c r="J524" i="36"/>
  <c r="G524" i="36"/>
  <c r="N523" i="36"/>
  <c r="M523" i="36"/>
  <c r="L523" i="36"/>
  <c r="I523" i="36"/>
  <c r="I522" i="36" s="1"/>
  <c r="K522" i="36"/>
  <c r="J522" i="36"/>
  <c r="G522" i="36"/>
  <c r="K521" i="36"/>
  <c r="J521" i="36"/>
  <c r="J520" i="36" s="1"/>
  <c r="I521" i="36"/>
  <c r="I520" i="36" s="1"/>
  <c r="G521" i="36"/>
  <c r="G520" i="36" s="1"/>
  <c r="H519" i="36"/>
  <c r="L518" i="36"/>
  <c r="I518" i="36"/>
  <c r="I517" i="36" s="1"/>
  <c r="I516" i="36" s="1"/>
  <c r="G518" i="36"/>
  <c r="N518" i="36" s="1"/>
  <c r="K517" i="36"/>
  <c r="J517" i="36"/>
  <c r="H516" i="36"/>
  <c r="L511" i="36"/>
  <c r="G511" i="36"/>
  <c r="N511" i="36" s="1"/>
  <c r="K510" i="36"/>
  <c r="J510" i="36"/>
  <c r="J509" i="36" s="1"/>
  <c r="J508" i="36" s="1"/>
  <c r="J507" i="36" s="1"/>
  <c r="J506" i="36" s="1"/>
  <c r="J505" i="36" s="1"/>
  <c r="J782" i="36" s="1"/>
  <c r="I510" i="36"/>
  <c r="I509" i="36" s="1"/>
  <c r="I508" i="36" s="1"/>
  <c r="I507" i="36" s="1"/>
  <c r="I506" i="36" s="1"/>
  <c r="I505" i="36" s="1"/>
  <c r="I782" i="36" s="1"/>
  <c r="H509" i="36"/>
  <c r="H508" i="36" s="1"/>
  <c r="H507" i="36" s="1"/>
  <c r="H506" i="36" s="1"/>
  <c r="H505" i="36" s="1"/>
  <c r="N504" i="36"/>
  <c r="M504" i="36"/>
  <c r="L504" i="36"/>
  <c r="K503" i="36"/>
  <c r="J503" i="36"/>
  <c r="J502" i="36" s="1"/>
  <c r="I503" i="36"/>
  <c r="I502" i="36" s="1"/>
  <c r="I501" i="36" s="1"/>
  <c r="I500" i="36" s="1"/>
  <c r="I801" i="36" s="1"/>
  <c r="G503" i="36"/>
  <c r="G502" i="36" s="1"/>
  <c r="G501" i="36" s="1"/>
  <c r="G500" i="36" s="1"/>
  <c r="G801" i="36" s="1"/>
  <c r="H502" i="36"/>
  <c r="H501" i="36" s="1"/>
  <c r="H500" i="36" s="1"/>
  <c r="L499" i="36"/>
  <c r="K498" i="36"/>
  <c r="K497" i="36" s="1"/>
  <c r="J498" i="36"/>
  <c r="J497" i="36" s="1"/>
  <c r="I498" i="36"/>
  <c r="I497" i="36" s="1"/>
  <c r="L496" i="36"/>
  <c r="K495" i="36"/>
  <c r="K494" i="36" s="1"/>
  <c r="J495" i="36"/>
  <c r="I495" i="36"/>
  <c r="I494" i="36" s="1"/>
  <c r="L493" i="36"/>
  <c r="G493" i="36"/>
  <c r="G492" i="36" s="1"/>
  <c r="G491" i="36" s="1"/>
  <c r="K492" i="36"/>
  <c r="K491" i="36" s="1"/>
  <c r="J492" i="36"/>
  <c r="H491" i="36"/>
  <c r="L490" i="36"/>
  <c r="G490" i="36"/>
  <c r="N490" i="36" s="1"/>
  <c r="K489" i="36"/>
  <c r="K488" i="36" s="1"/>
  <c r="J489" i="36"/>
  <c r="J488" i="36" s="1"/>
  <c r="H488" i="36"/>
  <c r="L487" i="36"/>
  <c r="H487" i="36"/>
  <c r="H486" i="36" s="1"/>
  <c r="H485" i="36" s="1"/>
  <c r="G487" i="36"/>
  <c r="K486" i="36"/>
  <c r="J486" i="36"/>
  <c r="J485" i="36" s="1"/>
  <c r="J484" i="36" s="1"/>
  <c r="I486" i="36"/>
  <c r="I485" i="36" s="1"/>
  <c r="G486" i="36"/>
  <c r="G485" i="36" s="1"/>
  <c r="L483" i="36"/>
  <c r="K482" i="36"/>
  <c r="K481" i="36" s="1"/>
  <c r="J482" i="36"/>
  <c r="J481" i="36" s="1"/>
  <c r="L480" i="36"/>
  <c r="K479" i="36"/>
  <c r="J479" i="36"/>
  <c r="J478" i="36" s="1"/>
  <c r="N477" i="36"/>
  <c r="M477" i="36"/>
  <c r="L477" i="36"/>
  <c r="K476" i="36"/>
  <c r="J476" i="36"/>
  <c r="J475" i="36" s="1"/>
  <c r="I476" i="36"/>
  <c r="I475" i="36" s="1"/>
  <c r="G476" i="36"/>
  <c r="G475" i="36" s="1"/>
  <c r="H475" i="36"/>
  <c r="N474" i="36"/>
  <c r="M474" i="36"/>
  <c r="L474" i="36"/>
  <c r="K473" i="36"/>
  <c r="K472" i="36" s="1"/>
  <c r="J473" i="36"/>
  <c r="J472" i="36" s="1"/>
  <c r="I473" i="36"/>
  <c r="I472" i="36" s="1"/>
  <c r="G473" i="36"/>
  <c r="G472" i="36" s="1"/>
  <c r="H472" i="36"/>
  <c r="K471" i="36"/>
  <c r="J471" i="36"/>
  <c r="H471" i="36"/>
  <c r="H470" i="36" s="1"/>
  <c r="H469" i="36" s="1"/>
  <c r="G471" i="36"/>
  <c r="G470" i="36" s="1"/>
  <c r="G469" i="36" s="1"/>
  <c r="K470" i="36"/>
  <c r="K469" i="36" s="1"/>
  <c r="J470" i="36"/>
  <c r="J469" i="36" s="1"/>
  <c r="N468" i="36"/>
  <c r="M468" i="36"/>
  <c r="L468" i="36"/>
  <c r="K467" i="36"/>
  <c r="J467" i="36"/>
  <c r="J466" i="36" s="1"/>
  <c r="G467" i="36"/>
  <c r="H466" i="36"/>
  <c r="N465" i="36"/>
  <c r="M465" i="36"/>
  <c r="L465" i="36"/>
  <c r="K464" i="36"/>
  <c r="J464" i="36"/>
  <c r="I464" i="36"/>
  <c r="G464" i="36"/>
  <c r="L463" i="36"/>
  <c r="G463" i="36"/>
  <c r="M463" i="36" s="1"/>
  <c r="K462" i="36"/>
  <c r="J462" i="36"/>
  <c r="I462" i="36"/>
  <c r="H461" i="36"/>
  <c r="L456" i="36"/>
  <c r="G456" i="36"/>
  <c r="K455" i="36"/>
  <c r="J455" i="36"/>
  <c r="I455" i="36"/>
  <c r="I454" i="36" s="1"/>
  <c r="G455" i="36"/>
  <c r="K454" i="36"/>
  <c r="J454" i="36"/>
  <c r="H454" i="36"/>
  <c r="N453" i="36"/>
  <c r="M453" i="36"/>
  <c r="L453" i="36"/>
  <c r="K452" i="36"/>
  <c r="J452" i="36"/>
  <c r="J451" i="36" s="1"/>
  <c r="I452" i="36"/>
  <c r="I451" i="36" s="1"/>
  <c r="G452" i="36"/>
  <c r="G451" i="36" s="1"/>
  <c r="H451" i="36"/>
  <c r="N450" i="36"/>
  <c r="M450" i="36"/>
  <c r="L450" i="36"/>
  <c r="L449" i="36"/>
  <c r="G449" i="36"/>
  <c r="K448" i="36"/>
  <c r="J448" i="36"/>
  <c r="I448" i="36"/>
  <c r="N447" i="36"/>
  <c r="M447" i="36"/>
  <c r="L447" i="36"/>
  <c r="K446" i="36"/>
  <c r="J446" i="36"/>
  <c r="I446" i="36"/>
  <c r="G446" i="36"/>
  <c r="H445" i="36"/>
  <c r="L441" i="36"/>
  <c r="G441" i="36"/>
  <c r="N441" i="36" s="1"/>
  <c r="K440" i="36"/>
  <c r="J440" i="36"/>
  <c r="J439" i="36" s="1"/>
  <c r="J438" i="36" s="1"/>
  <c r="I440" i="36"/>
  <c r="I439" i="36" s="1"/>
  <c r="I438" i="36" s="1"/>
  <c r="H439" i="36"/>
  <c r="H438" i="36" s="1"/>
  <c r="L437" i="36"/>
  <c r="K436" i="36"/>
  <c r="J437" i="36"/>
  <c r="G437" i="36"/>
  <c r="G436" i="36" s="1"/>
  <c r="G435" i="36" s="1"/>
  <c r="G434" i="36" s="1"/>
  <c r="G433" i="36" s="1"/>
  <c r="G794" i="36" s="1"/>
  <c r="J436" i="36"/>
  <c r="I436" i="36"/>
  <c r="I435" i="36" s="1"/>
  <c r="I434" i="36" s="1"/>
  <c r="I433" i="36" s="1"/>
  <c r="I794" i="36" s="1"/>
  <c r="H435" i="36"/>
  <c r="H434" i="36" s="1"/>
  <c r="H433" i="36" s="1"/>
  <c r="N432" i="36"/>
  <c r="M432" i="36"/>
  <c r="L432" i="36"/>
  <c r="K431" i="36"/>
  <c r="J431" i="36"/>
  <c r="I431" i="36"/>
  <c r="I430" i="36" s="1"/>
  <c r="I429" i="36" s="1"/>
  <c r="I428" i="36" s="1"/>
  <c r="G431" i="36"/>
  <c r="K430" i="36"/>
  <c r="H430" i="36"/>
  <c r="H429" i="36" s="1"/>
  <c r="H428" i="36" s="1"/>
  <c r="N426" i="36"/>
  <c r="M426" i="36"/>
  <c r="L426" i="36"/>
  <c r="K425" i="36"/>
  <c r="J425" i="36"/>
  <c r="I425" i="36"/>
  <c r="I424" i="36" s="1"/>
  <c r="I423" i="36" s="1"/>
  <c r="I422" i="36" s="1"/>
  <c r="G425" i="36"/>
  <c r="K424" i="36"/>
  <c r="H424" i="36"/>
  <c r="H423" i="36" s="1"/>
  <c r="H422" i="36" s="1"/>
  <c r="K420" i="36"/>
  <c r="J420" i="36"/>
  <c r="J419" i="36" s="1"/>
  <c r="J418" i="36" s="1"/>
  <c r="J417" i="36"/>
  <c r="L417" i="36" s="1"/>
  <c r="I417" i="36"/>
  <c r="I416" i="36" s="1"/>
  <c r="I415" i="36" s="1"/>
  <c r="I414" i="36" s="1"/>
  <c r="I413" i="36" s="1"/>
  <c r="I401" i="36" s="1"/>
  <c r="G417" i="36"/>
  <c r="G416" i="36" s="1"/>
  <c r="G415" i="36" s="1"/>
  <c r="G414" i="36" s="1"/>
  <c r="G413" i="36" s="1"/>
  <c r="K416" i="36"/>
  <c r="H415" i="36"/>
  <c r="H414" i="36" s="1"/>
  <c r="H413" i="36" s="1"/>
  <c r="L412" i="36"/>
  <c r="K411" i="36"/>
  <c r="J411" i="36"/>
  <c r="J410" i="36" s="1"/>
  <c r="L409" i="36"/>
  <c r="K408" i="36"/>
  <c r="K407" i="36" s="1"/>
  <c r="J408" i="36"/>
  <c r="J407" i="36" s="1"/>
  <c r="G408" i="36"/>
  <c r="G407" i="36" s="1"/>
  <c r="N406" i="36"/>
  <c r="M406" i="36"/>
  <c r="L406" i="36"/>
  <c r="K405" i="36"/>
  <c r="J405" i="36"/>
  <c r="J404" i="36" s="1"/>
  <c r="H405" i="36"/>
  <c r="H404" i="36" s="1"/>
  <c r="H403" i="36" s="1"/>
  <c r="H402" i="36" s="1"/>
  <c r="G405" i="36"/>
  <c r="L400" i="36"/>
  <c r="G400" i="36"/>
  <c r="G399" i="36" s="1"/>
  <c r="K399" i="36"/>
  <c r="J399" i="36"/>
  <c r="J398" i="36" s="1"/>
  <c r="H398" i="36"/>
  <c r="N397" i="36"/>
  <c r="M397" i="36"/>
  <c r="L397" i="36"/>
  <c r="L396" i="36"/>
  <c r="G396" i="36"/>
  <c r="G395" i="36" s="1"/>
  <c r="G394" i="36" s="1"/>
  <c r="K395" i="36"/>
  <c r="J395" i="36"/>
  <c r="J394" i="36" s="1"/>
  <c r="I395" i="36"/>
  <c r="I394" i="36" s="1"/>
  <c r="I393" i="36" s="1"/>
  <c r="H394" i="36"/>
  <c r="L392" i="36"/>
  <c r="G392" i="36"/>
  <c r="M392" i="36" s="1"/>
  <c r="K391" i="36"/>
  <c r="K390" i="36" s="1"/>
  <c r="J391" i="36"/>
  <c r="H390" i="36"/>
  <c r="L389" i="36"/>
  <c r="G389" i="36"/>
  <c r="M389" i="36" s="1"/>
  <c r="K388" i="36"/>
  <c r="J388" i="36"/>
  <c r="J387" i="36" s="1"/>
  <c r="H387" i="36"/>
  <c r="K386" i="36"/>
  <c r="L386" i="36" s="1"/>
  <c r="I386" i="36"/>
  <c r="I385" i="36" s="1"/>
  <c r="I384" i="36" s="1"/>
  <c r="I383" i="36" s="1"/>
  <c r="G386" i="36"/>
  <c r="M386" i="36" s="1"/>
  <c r="J385" i="36"/>
  <c r="J384" i="36" s="1"/>
  <c r="H384" i="36"/>
  <c r="L382" i="36"/>
  <c r="K381" i="36"/>
  <c r="J381" i="36"/>
  <c r="J380" i="36" s="1"/>
  <c r="I381" i="36"/>
  <c r="I380" i="36" s="1"/>
  <c r="L379" i="36"/>
  <c r="K378" i="36"/>
  <c r="J378" i="36"/>
  <c r="J377" i="36" s="1"/>
  <c r="I378" i="36"/>
  <c r="I377" i="36" s="1"/>
  <c r="K376" i="36"/>
  <c r="I376" i="36"/>
  <c r="I375" i="36" s="1"/>
  <c r="I374" i="36" s="1"/>
  <c r="G376" i="36"/>
  <c r="M376" i="36" s="1"/>
  <c r="J375" i="36"/>
  <c r="H374" i="36"/>
  <c r="K368" i="36"/>
  <c r="J369" i="36"/>
  <c r="J368" i="36" s="1"/>
  <c r="J367" i="36" s="1"/>
  <c r="J366" i="36" s="1"/>
  <c r="I369" i="36"/>
  <c r="I368" i="36" s="1"/>
  <c r="I367" i="36" s="1"/>
  <c r="I366" i="36" s="1"/>
  <c r="L365" i="36"/>
  <c r="N365" i="36"/>
  <c r="L364" i="36"/>
  <c r="G364" i="36"/>
  <c r="N364" i="36" s="1"/>
  <c r="L363" i="36"/>
  <c r="H363" i="36"/>
  <c r="L362" i="36"/>
  <c r="L361" i="36"/>
  <c r="G361" i="36"/>
  <c r="G360" i="36" s="1"/>
  <c r="G359" i="36" s="1"/>
  <c r="L360" i="36"/>
  <c r="L359" i="36"/>
  <c r="N358" i="36"/>
  <c r="M358" i="36"/>
  <c r="L358" i="36"/>
  <c r="K357" i="36"/>
  <c r="K356" i="36" s="1"/>
  <c r="J357" i="36"/>
  <c r="J356" i="36" s="1"/>
  <c r="I357" i="36"/>
  <c r="I356" i="36" s="1"/>
  <c r="G357" i="36"/>
  <c r="G356" i="36" s="1"/>
  <c r="H356" i="36"/>
  <c r="K355" i="36"/>
  <c r="I355" i="36"/>
  <c r="I354" i="36" s="1"/>
  <c r="I353" i="36" s="1"/>
  <c r="G355" i="36"/>
  <c r="G354" i="36" s="1"/>
  <c r="G353" i="36" s="1"/>
  <c r="J354" i="36"/>
  <c r="H353" i="36"/>
  <c r="M348" i="36"/>
  <c r="L348" i="36"/>
  <c r="I348" i="36"/>
  <c r="G348" i="36"/>
  <c r="G347" i="36" s="1"/>
  <c r="K347" i="36"/>
  <c r="J347" i="36"/>
  <c r="I347" i="36"/>
  <c r="I346" i="36" s="1"/>
  <c r="I345" i="36" s="1"/>
  <c r="I344" i="36" s="1"/>
  <c r="I797" i="36" s="1"/>
  <c r="H346" i="36"/>
  <c r="H345" i="36"/>
  <c r="H344" i="36" s="1"/>
  <c r="N343" i="36"/>
  <c r="M343" i="36"/>
  <c r="L343" i="36"/>
  <c r="I343" i="36"/>
  <c r="I342" i="36" s="1"/>
  <c r="I341" i="36" s="1"/>
  <c r="I340" i="36" s="1"/>
  <c r="K342" i="36"/>
  <c r="K341" i="36" s="1"/>
  <c r="K340" i="36" s="1"/>
  <c r="J342" i="36"/>
  <c r="J341" i="36" s="1"/>
  <c r="G342" i="36"/>
  <c r="H341" i="36"/>
  <c r="H340" i="36" s="1"/>
  <c r="N339" i="36"/>
  <c r="M339" i="36"/>
  <c r="L339" i="36"/>
  <c r="I339" i="36"/>
  <c r="I338" i="36" s="1"/>
  <c r="I337" i="36" s="1"/>
  <c r="I336" i="36" s="1"/>
  <c r="K338" i="36"/>
  <c r="J338" i="36"/>
  <c r="J337" i="36" s="1"/>
  <c r="J336" i="36" s="1"/>
  <c r="G338" i="36"/>
  <c r="K337" i="36"/>
  <c r="H337" i="36"/>
  <c r="H336" i="36" s="1"/>
  <c r="G337" i="36"/>
  <c r="G336" i="36" s="1"/>
  <c r="K336" i="36"/>
  <c r="N332" i="36"/>
  <c r="M332" i="36"/>
  <c r="L332" i="36"/>
  <c r="K331" i="36"/>
  <c r="J331" i="36"/>
  <c r="I331" i="36"/>
  <c r="I330" i="36" s="1"/>
  <c r="I326" i="36" s="1"/>
  <c r="I325" i="36" s="1"/>
  <c r="I324" i="36" s="1"/>
  <c r="G331" i="36"/>
  <c r="G330" i="36" s="1"/>
  <c r="H330" i="36"/>
  <c r="N329" i="36"/>
  <c r="M329" i="36"/>
  <c r="L329" i="36"/>
  <c r="K328" i="36"/>
  <c r="K327" i="36" s="1"/>
  <c r="J328" i="36"/>
  <c r="J327" i="36" s="1"/>
  <c r="G328" i="36"/>
  <c r="G327" i="36" s="1"/>
  <c r="H327" i="36"/>
  <c r="L323" i="36"/>
  <c r="G323" i="36"/>
  <c r="M323" i="36" s="1"/>
  <c r="L322" i="36"/>
  <c r="L321" i="36"/>
  <c r="H321" i="36"/>
  <c r="K320" i="36"/>
  <c r="I320" i="36"/>
  <c r="I319" i="36" s="1"/>
  <c r="I318" i="36" s="1"/>
  <c r="G320" i="36"/>
  <c r="M320" i="36" s="1"/>
  <c r="J319" i="36"/>
  <c r="J318" i="36" s="1"/>
  <c r="H318" i="36"/>
  <c r="N317" i="36"/>
  <c r="M317" i="36"/>
  <c r="L317" i="36"/>
  <c r="I317" i="36"/>
  <c r="I316" i="36" s="1"/>
  <c r="I315" i="36" s="1"/>
  <c r="K316" i="36"/>
  <c r="J316" i="36"/>
  <c r="J315" i="36" s="1"/>
  <c r="G316" i="36"/>
  <c r="G315" i="36" s="1"/>
  <c r="H315" i="36"/>
  <c r="L312" i="36"/>
  <c r="G312" i="36"/>
  <c r="M312" i="36" s="1"/>
  <c r="L311" i="36"/>
  <c r="L310" i="36"/>
  <c r="H310" i="36"/>
  <c r="J309" i="36"/>
  <c r="I309" i="36"/>
  <c r="I308" i="36" s="1"/>
  <c r="I307" i="36" s="1"/>
  <c r="I306" i="36" s="1"/>
  <c r="I305" i="36" s="1"/>
  <c r="G309" i="36"/>
  <c r="G308" i="36" s="1"/>
  <c r="G307" i="36" s="1"/>
  <c r="G306" i="36" s="1"/>
  <c r="H307" i="36"/>
  <c r="H306" i="36" s="1"/>
  <c r="N303" i="36"/>
  <c r="M303" i="36"/>
  <c r="L303" i="36"/>
  <c r="K302" i="36"/>
  <c r="K301" i="36" s="1"/>
  <c r="J302" i="36"/>
  <c r="G302" i="36"/>
  <c r="H301" i="36"/>
  <c r="L300" i="36"/>
  <c r="G300" i="36"/>
  <c r="M300" i="36" s="1"/>
  <c r="L299" i="36"/>
  <c r="L298" i="36"/>
  <c r="H298" i="36"/>
  <c r="K297" i="36"/>
  <c r="I297" i="36"/>
  <c r="I296" i="36" s="1"/>
  <c r="I295" i="36" s="1"/>
  <c r="M297" i="36"/>
  <c r="J296" i="36"/>
  <c r="J295" i="36" s="1"/>
  <c r="G296" i="36"/>
  <c r="G295" i="36" s="1"/>
  <c r="H295" i="36"/>
  <c r="K294" i="36"/>
  <c r="I294" i="36"/>
  <c r="I293" i="36" s="1"/>
  <c r="I292" i="36" s="1"/>
  <c r="G294" i="36"/>
  <c r="J293" i="36"/>
  <c r="H292" i="36"/>
  <c r="L291" i="36"/>
  <c r="I291" i="36"/>
  <c r="I290" i="36" s="1"/>
  <c r="G291" i="36"/>
  <c r="G290" i="36" s="1"/>
  <c r="G289" i="36" s="1"/>
  <c r="K290" i="36"/>
  <c r="J290" i="36"/>
  <c r="I289" i="36"/>
  <c r="H289" i="36"/>
  <c r="L286" i="36"/>
  <c r="L285" i="36"/>
  <c r="H285" i="36"/>
  <c r="H284" i="36" s="1"/>
  <c r="G285" i="36"/>
  <c r="G284" i="36" s="1"/>
  <c r="L284" i="36"/>
  <c r="N283" i="36"/>
  <c r="M283" i="36"/>
  <c r="L283" i="36"/>
  <c r="I283" i="36"/>
  <c r="I282" i="36" s="1"/>
  <c r="I281" i="36" s="1"/>
  <c r="K282" i="36"/>
  <c r="K281" i="36" s="1"/>
  <c r="J282" i="36"/>
  <c r="J281" i="36" s="1"/>
  <c r="G282" i="36"/>
  <c r="G281" i="36" s="1"/>
  <c r="H281" i="36"/>
  <c r="L280" i="36"/>
  <c r="I280" i="36"/>
  <c r="I279" i="36" s="1"/>
  <c r="I278" i="36" s="1"/>
  <c r="K279" i="36"/>
  <c r="J279" i="36"/>
  <c r="J278" i="36" s="1"/>
  <c r="H279" i="36"/>
  <c r="H278" i="36" s="1"/>
  <c r="G279" i="36"/>
  <c r="G278" i="36" s="1"/>
  <c r="M277" i="36"/>
  <c r="L277" i="36"/>
  <c r="I277" i="36"/>
  <c r="I276" i="36" s="1"/>
  <c r="I275" i="36" s="1"/>
  <c r="G277" i="36"/>
  <c r="G276" i="36" s="1"/>
  <c r="G275" i="36" s="1"/>
  <c r="K276" i="36"/>
  <c r="J276" i="36"/>
  <c r="H275" i="36"/>
  <c r="N271" i="36"/>
  <c r="M271" i="36"/>
  <c r="L271" i="36"/>
  <c r="K270" i="36"/>
  <c r="J270" i="36"/>
  <c r="J269" i="36" s="1"/>
  <c r="G270" i="36"/>
  <c r="G269" i="36" s="1"/>
  <c r="G268" i="36" s="1"/>
  <c r="H269" i="36"/>
  <c r="H268" i="36" s="1"/>
  <c r="L267" i="36"/>
  <c r="L266" i="36"/>
  <c r="H266" i="36"/>
  <c r="H265" i="36" s="1"/>
  <c r="G266" i="36"/>
  <c r="G265" i="36" s="1"/>
  <c r="L265" i="36"/>
  <c r="L264" i="36"/>
  <c r="L263" i="36"/>
  <c r="H263" i="36"/>
  <c r="H262" i="36" s="1"/>
  <c r="G263" i="36"/>
  <c r="G262" i="36" s="1"/>
  <c r="L262" i="36"/>
  <c r="N261" i="36"/>
  <c r="M261" i="36"/>
  <c r="L261" i="36"/>
  <c r="I261" i="36"/>
  <c r="I260" i="36" s="1"/>
  <c r="I259" i="36" s="1"/>
  <c r="K260" i="36"/>
  <c r="J260" i="36"/>
  <c r="G260" i="36"/>
  <c r="G259" i="36" s="1"/>
  <c r="H259" i="36"/>
  <c r="N258" i="36"/>
  <c r="M258" i="36"/>
  <c r="L258" i="36"/>
  <c r="I258" i="36"/>
  <c r="I257" i="36" s="1"/>
  <c r="I256" i="36" s="1"/>
  <c r="K257" i="36"/>
  <c r="K256" i="36" s="1"/>
  <c r="J257" i="36"/>
  <c r="J256" i="36" s="1"/>
  <c r="G257" i="36"/>
  <c r="G256" i="36" s="1"/>
  <c r="H256" i="36"/>
  <c r="L255" i="36"/>
  <c r="I255" i="36"/>
  <c r="I254" i="36" s="1"/>
  <c r="I253" i="36" s="1"/>
  <c r="G255" i="36"/>
  <c r="N255" i="36" s="1"/>
  <c r="K254" i="36"/>
  <c r="J254" i="36"/>
  <c r="J253" i="36" s="1"/>
  <c r="H253" i="36"/>
  <c r="L252" i="36"/>
  <c r="I252" i="36"/>
  <c r="I251" i="36" s="1"/>
  <c r="I250" i="36" s="1"/>
  <c r="G252" i="36"/>
  <c r="G251" i="36" s="1"/>
  <c r="K251" i="36"/>
  <c r="K250" i="36" s="1"/>
  <c r="J251" i="36"/>
  <c r="H250" i="36"/>
  <c r="L249" i="36"/>
  <c r="I249" i="36"/>
  <c r="G249" i="36"/>
  <c r="N249" i="36" s="1"/>
  <c r="K248" i="36"/>
  <c r="J248" i="36"/>
  <c r="I248" i="36"/>
  <c r="K247" i="36"/>
  <c r="N247" i="36" s="1"/>
  <c r="J247" i="36"/>
  <c r="I247" i="36"/>
  <c r="I246" i="36" s="1"/>
  <c r="G247" i="36"/>
  <c r="J246" i="36"/>
  <c r="K245" i="36"/>
  <c r="I245" i="36"/>
  <c r="I244" i="36" s="1"/>
  <c r="G245" i="36"/>
  <c r="M245" i="36" s="1"/>
  <c r="J244" i="36"/>
  <c r="H243" i="36"/>
  <c r="L239" i="36"/>
  <c r="L238" i="36"/>
  <c r="G238" i="36"/>
  <c r="G237" i="36" s="1"/>
  <c r="G236" i="36" s="1"/>
  <c r="G235" i="36" s="1"/>
  <c r="L237" i="36"/>
  <c r="L236" i="36"/>
  <c r="L235" i="36"/>
  <c r="K234" i="36"/>
  <c r="I234" i="36"/>
  <c r="I233" i="36" s="1"/>
  <c r="I232" i="36" s="1"/>
  <c r="I231" i="36" s="1"/>
  <c r="I230" i="36" s="1"/>
  <c r="I229" i="36" s="1"/>
  <c r="G234" i="36"/>
  <c r="G233" i="36" s="1"/>
  <c r="J233" i="36"/>
  <c r="H232" i="36"/>
  <c r="H231" i="36" s="1"/>
  <c r="H230" i="36" s="1"/>
  <c r="H229" i="36" s="1"/>
  <c r="M227" i="36"/>
  <c r="K227" i="36"/>
  <c r="I227" i="36"/>
  <c r="I226" i="36" s="1"/>
  <c r="I225" i="36" s="1"/>
  <c r="I224" i="36" s="1"/>
  <c r="J226" i="36"/>
  <c r="G226" i="36"/>
  <c r="G225" i="36" s="1"/>
  <c r="G224" i="36" s="1"/>
  <c r="H225" i="36"/>
  <c r="H224" i="36" s="1"/>
  <c r="M223" i="36"/>
  <c r="L223" i="36"/>
  <c r="I223" i="36"/>
  <c r="G222" i="36"/>
  <c r="K222" i="36"/>
  <c r="J222" i="36"/>
  <c r="I222" i="36"/>
  <c r="I221" i="36" s="1"/>
  <c r="I220" i="36" s="1"/>
  <c r="H221" i="36"/>
  <c r="H220" i="36" s="1"/>
  <c r="N218" i="36"/>
  <c r="M218" i="36"/>
  <c r="L218" i="36"/>
  <c r="I218" i="36"/>
  <c r="I217" i="36" s="1"/>
  <c r="I216" i="36" s="1"/>
  <c r="I215" i="36" s="1"/>
  <c r="I214" i="36" s="1"/>
  <c r="K217" i="36"/>
  <c r="K216" i="36" s="1"/>
  <c r="J217" i="36"/>
  <c r="G217" i="36"/>
  <c r="H216" i="36"/>
  <c r="H215" i="36" s="1"/>
  <c r="H214" i="36" s="1"/>
  <c r="L212" i="36"/>
  <c r="I212" i="36"/>
  <c r="G212" i="36"/>
  <c r="G211" i="36" s="1"/>
  <c r="G210" i="36" s="1"/>
  <c r="K211" i="36"/>
  <c r="J211" i="36"/>
  <c r="I211" i="36"/>
  <c r="I210" i="36" s="1"/>
  <c r="H211" i="36"/>
  <c r="H210" i="36" s="1"/>
  <c r="K210" i="36"/>
  <c r="L209" i="36"/>
  <c r="K208" i="36"/>
  <c r="J208" i="36"/>
  <c r="J207" i="36" s="1"/>
  <c r="H208" i="36"/>
  <c r="H207" i="36" s="1"/>
  <c r="G208" i="36"/>
  <c r="G207" i="36" s="1"/>
  <c r="K207" i="36"/>
  <c r="L206" i="36"/>
  <c r="I206" i="36"/>
  <c r="I205" i="36" s="1"/>
  <c r="I204" i="36" s="1"/>
  <c r="G206" i="36"/>
  <c r="N206" i="36" s="1"/>
  <c r="K205" i="36"/>
  <c r="J205" i="36"/>
  <c r="J204" i="36" s="1"/>
  <c r="H204" i="36"/>
  <c r="N200" i="36"/>
  <c r="M200" i="36"/>
  <c r="L200" i="36"/>
  <c r="I200" i="36"/>
  <c r="I199" i="36" s="1"/>
  <c r="I198" i="36" s="1"/>
  <c r="I197" i="36" s="1"/>
  <c r="I196" i="36" s="1"/>
  <c r="I800" i="36" s="1"/>
  <c r="K199" i="36"/>
  <c r="J199" i="36"/>
  <c r="G199" i="36"/>
  <c r="G198" i="36" s="1"/>
  <c r="G197" i="36" s="1"/>
  <c r="G196" i="36" s="1"/>
  <c r="G800" i="36" s="1"/>
  <c r="H198" i="36"/>
  <c r="H197" i="36" s="1"/>
  <c r="H196" i="36" s="1"/>
  <c r="N195" i="36"/>
  <c r="M195" i="36"/>
  <c r="L195" i="36"/>
  <c r="I195" i="36"/>
  <c r="I194" i="36" s="1"/>
  <c r="I193" i="36" s="1"/>
  <c r="I192" i="36" s="1"/>
  <c r="I191" i="36" s="1"/>
  <c r="K194" i="36"/>
  <c r="K193" i="36" s="1"/>
  <c r="K192" i="36" s="1"/>
  <c r="K191" i="36" s="1"/>
  <c r="J194" i="36"/>
  <c r="G194" i="36"/>
  <c r="G193" i="36" s="1"/>
  <c r="H193" i="36"/>
  <c r="H191" i="36" s="1"/>
  <c r="L189" i="36"/>
  <c r="I189" i="36"/>
  <c r="G189" i="36"/>
  <c r="N189" i="36" s="1"/>
  <c r="K188" i="36"/>
  <c r="J188" i="36"/>
  <c r="I188" i="36"/>
  <c r="I187" i="36" s="1"/>
  <c r="G188" i="36"/>
  <c r="G187" i="36" s="1"/>
  <c r="K187" i="36"/>
  <c r="K186" i="36" s="1"/>
  <c r="H187" i="36"/>
  <c r="H185" i="36" s="1"/>
  <c r="H184" i="36" s="1"/>
  <c r="M182" i="36"/>
  <c r="K182" i="36"/>
  <c r="I182" i="36"/>
  <c r="I181" i="36" s="1"/>
  <c r="I180" i="36" s="1"/>
  <c r="I179" i="36" s="1"/>
  <c r="I178" i="36" s="1"/>
  <c r="J181" i="36"/>
  <c r="J180" i="36" s="1"/>
  <c r="G181" i="36"/>
  <c r="G180" i="36" s="1"/>
  <c r="G179" i="36" s="1"/>
  <c r="G178" i="36" s="1"/>
  <c r="H180" i="36"/>
  <c r="H179" i="36" s="1"/>
  <c r="H178" i="36" s="1"/>
  <c r="L177" i="36"/>
  <c r="I177" i="36"/>
  <c r="G177" i="36"/>
  <c r="N177" i="36" s="1"/>
  <c r="K176" i="36"/>
  <c r="K175" i="36" s="1"/>
  <c r="K174" i="36" s="1"/>
  <c r="J176" i="36"/>
  <c r="I176" i="36"/>
  <c r="I175" i="36" s="1"/>
  <c r="I174" i="36" s="1"/>
  <c r="I173" i="36" s="1"/>
  <c r="H175" i="36"/>
  <c r="H174" i="36" s="1"/>
  <c r="H173" i="36" s="1"/>
  <c r="L171" i="36"/>
  <c r="I171" i="36"/>
  <c r="G171" i="36"/>
  <c r="N171" i="36" s="1"/>
  <c r="K170" i="36"/>
  <c r="K169" i="36" s="1"/>
  <c r="J170" i="36"/>
  <c r="I170" i="36"/>
  <c r="I169" i="36" s="1"/>
  <c r="G170" i="36"/>
  <c r="G169" i="36" s="1"/>
  <c r="H169" i="36"/>
  <c r="N168" i="36"/>
  <c r="M168" i="36"/>
  <c r="L168" i="36"/>
  <c r="I168" i="36"/>
  <c r="I167" i="36" s="1"/>
  <c r="I166" i="36" s="1"/>
  <c r="I165" i="36" s="1"/>
  <c r="K167" i="36"/>
  <c r="K166" i="36" s="1"/>
  <c r="K165" i="36" s="1"/>
  <c r="J167" i="36"/>
  <c r="J166" i="36" s="1"/>
  <c r="J165" i="36" s="1"/>
  <c r="G167" i="36"/>
  <c r="G166" i="36" s="1"/>
  <c r="G165" i="36" s="1"/>
  <c r="H166" i="36"/>
  <c r="H165" i="36" s="1"/>
  <c r="L161" i="36"/>
  <c r="I161" i="36"/>
  <c r="I160" i="36" s="1"/>
  <c r="G161" i="36"/>
  <c r="N161" i="36" s="1"/>
  <c r="K160" i="36"/>
  <c r="J160" i="36"/>
  <c r="L159" i="36"/>
  <c r="I159" i="36"/>
  <c r="I158" i="36" s="1"/>
  <c r="G159" i="36"/>
  <c r="N159" i="36" s="1"/>
  <c r="K158" i="36"/>
  <c r="J158" i="36"/>
  <c r="H157" i="36"/>
  <c r="N156" i="36"/>
  <c r="M156" i="36"/>
  <c r="L156" i="36"/>
  <c r="I156" i="36"/>
  <c r="I155" i="36" s="1"/>
  <c r="K155" i="36"/>
  <c r="J155" i="36"/>
  <c r="G155" i="36"/>
  <c r="N154" i="36"/>
  <c r="M154" i="36"/>
  <c r="L154" i="36"/>
  <c r="I154" i="36"/>
  <c r="I153" i="36" s="1"/>
  <c r="K153" i="36"/>
  <c r="J153" i="36"/>
  <c r="G153" i="36"/>
  <c r="H152" i="36"/>
  <c r="N151" i="36"/>
  <c r="M151" i="36"/>
  <c r="L151" i="36"/>
  <c r="I151" i="36"/>
  <c r="I150" i="36" s="1"/>
  <c r="K150" i="36"/>
  <c r="J150" i="36"/>
  <c r="G150" i="36"/>
  <c r="K149" i="36"/>
  <c r="J149" i="36"/>
  <c r="J148" i="36" s="1"/>
  <c r="I149" i="36"/>
  <c r="I148" i="36" s="1"/>
  <c r="G148" i="36"/>
  <c r="H147" i="36"/>
  <c r="N146" i="36"/>
  <c r="M146" i="36"/>
  <c r="L146" i="36"/>
  <c r="I146" i="36"/>
  <c r="I145" i="36" s="1"/>
  <c r="K145" i="36"/>
  <c r="J145" i="36"/>
  <c r="G145" i="36"/>
  <c r="N144" i="36"/>
  <c r="M144" i="36"/>
  <c r="L144" i="36"/>
  <c r="I144" i="36"/>
  <c r="I143" i="36" s="1"/>
  <c r="K143" i="36"/>
  <c r="J143" i="36"/>
  <c r="G143" i="36"/>
  <c r="H142" i="36"/>
  <c r="N141" i="36"/>
  <c r="M141" i="36"/>
  <c r="L141" i="36"/>
  <c r="I141" i="36"/>
  <c r="I140" i="36" s="1"/>
  <c r="I139" i="36" s="1"/>
  <c r="K140" i="36"/>
  <c r="K139" i="36" s="1"/>
  <c r="J140" i="36"/>
  <c r="G140" i="36"/>
  <c r="G139" i="36" s="1"/>
  <c r="H139" i="36"/>
  <c r="L138" i="36"/>
  <c r="I138" i="36"/>
  <c r="I137" i="36" s="1"/>
  <c r="G138" i="36"/>
  <c r="M138" i="36" s="1"/>
  <c r="K137" i="36"/>
  <c r="J137" i="36"/>
  <c r="K136" i="36"/>
  <c r="J136" i="36"/>
  <c r="J135" i="36" s="1"/>
  <c r="I136" i="36"/>
  <c r="I135" i="36" s="1"/>
  <c r="G136" i="36"/>
  <c r="G135" i="36" s="1"/>
  <c r="H134" i="36"/>
  <c r="N132" i="36"/>
  <c r="M132" i="36"/>
  <c r="L132" i="36"/>
  <c r="I132" i="36"/>
  <c r="I131" i="36" s="1"/>
  <c r="I130" i="36" s="1"/>
  <c r="K131" i="36"/>
  <c r="K130" i="36" s="1"/>
  <c r="J131" i="36"/>
  <c r="J130" i="36" s="1"/>
  <c r="G131" i="36"/>
  <c r="H130" i="36"/>
  <c r="L129" i="36"/>
  <c r="L128" i="36"/>
  <c r="H128" i="36"/>
  <c r="G128" i="36"/>
  <c r="L127" i="36"/>
  <c r="L126" i="36"/>
  <c r="H126" i="36"/>
  <c r="H125" i="36" s="1"/>
  <c r="G126" i="36"/>
  <c r="G125" i="36" s="1"/>
  <c r="L125" i="36"/>
  <c r="L124" i="36"/>
  <c r="I124" i="36"/>
  <c r="G124" i="36"/>
  <c r="K123" i="36"/>
  <c r="J123" i="36"/>
  <c r="J122" i="36" s="1"/>
  <c r="I123" i="36"/>
  <c r="G123" i="36"/>
  <c r="G122" i="36"/>
  <c r="L121" i="36"/>
  <c r="G121" i="36"/>
  <c r="N121" i="36" s="1"/>
  <c r="K120" i="36"/>
  <c r="J120" i="36"/>
  <c r="I120" i="36"/>
  <c r="G120" i="36"/>
  <c r="H119" i="36"/>
  <c r="N118" i="36"/>
  <c r="J118" i="36"/>
  <c r="M118" i="36" s="1"/>
  <c r="I118" i="36"/>
  <c r="I117" i="36" s="1"/>
  <c r="K117" i="36"/>
  <c r="G117" i="36"/>
  <c r="K116" i="36"/>
  <c r="J116" i="36"/>
  <c r="I116" i="36"/>
  <c r="I115" i="36" s="1"/>
  <c r="G116" i="36"/>
  <c r="G115" i="36" s="1"/>
  <c r="G114" i="36" s="1"/>
  <c r="H114" i="36"/>
  <c r="N113" i="36"/>
  <c r="M113" i="36"/>
  <c r="L113" i="36"/>
  <c r="K112" i="36"/>
  <c r="G112" i="36"/>
  <c r="G111" i="36" s="1"/>
  <c r="M111" i="36" s="1"/>
  <c r="H111" i="36"/>
  <c r="N109" i="36"/>
  <c r="M109" i="36"/>
  <c r="L109" i="36"/>
  <c r="K108" i="36"/>
  <c r="J108" i="36"/>
  <c r="I108" i="36"/>
  <c r="I107" i="36" s="1"/>
  <c r="I106" i="36" s="1"/>
  <c r="I105" i="36" s="1"/>
  <c r="G108" i="36"/>
  <c r="G107" i="36" s="1"/>
  <c r="K107" i="36"/>
  <c r="L107" i="36" s="1"/>
  <c r="J106" i="36"/>
  <c r="J105" i="36" s="1"/>
  <c r="N104" i="36"/>
  <c r="J104" i="36"/>
  <c r="L104" i="36" s="1"/>
  <c r="I104" i="36"/>
  <c r="I103" i="36" s="1"/>
  <c r="K103" i="36"/>
  <c r="G103" i="36"/>
  <c r="K102" i="36"/>
  <c r="I102" i="36"/>
  <c r="I101" i="36" s="1"/>
  <c r="G102" i="36"/>
  <c r="J101" i="36"/>
  <c r="H100" i="36"/>
  <c r="H99" i="36" s="1"/>
  <c r="H98" i="36" s="1"/>
  <c r="N97" i="36"/>
  <c r="M97" i="36"/>
  <c r="L97" i="36"/>
  <c r="I97" i="36"/>
  <c r="I96" i="36" s="1"/>
  <c r="I95" i="36" s="1"/>
  <c r="K96" i="36"/>
  <c r="J96" i="36"/>
  <c r="J95" i="36" s="1"/>
  <c r="G96" i="36"/>
  <c r="G95" i="36" s="1"/>
  <c r="H95" i="36"/>
  <c r="K94" i="36"/>
  <c r="I94" i="36"/>
  <c r="I93" i="36" s="1"/>
  <c r="I92" i="36" s="1"/>
  <c r="G94" i="36"/>
  <c r="J93" i="36"/>
  <c r="J92" i="36" s="1"/>
  <c r="H92" i="36"/>
  <c r="N89" i="36"/>
  <c r="J89" i="36"/>
  <c r="L89" i="36" s="1"/>
  <c r="I89" i="36"/>
  <c r="I88" i="36" s="1"/>
  <c r="I87" i="36" s="1"/>
  <c r="I86" i="36" s="1"/>
  <c r="I85" i="36" s="1"/>
  <c r="I792" i="36" s="1"/>
  <c r="K88" i="36"/>
  <c r="G88" i="36"/>
  <c r="G87" i="36" s="1"/>
  <c r="G86" i="36" s="1"/>
  <c r="G85" i="36" s="1"/>
  <c r="G792" i="36" s="1"/>
  <c r="H87" i="36"/>
  <c r="H86" i="36" s="1"/>
  <c r="H85" i="36" s="1"/>
  <c r="L84" i="36"/>
  <c r="I84" i="36"/>
  <c r="G84" i="36"/>
  <c r="G83" i="36" s="1"/>
  <c r="K83" i="36"/>
  <c r="J83" i="36"/>
  <c r="I83" i="36"/>
  <c r="I80" i="36" s="1"/>
  <c r="N82" i="36"/>
  <c r="M82" i="36"/>
  <c r="L82" i="36"/>
  <c r="K81" i="36"/>
  <c r="J81" i="36"/>
  <c r="G81" i="36"/>
  <c r="H80" i="36"/>
  <c r="L79" i="36"/>
  <c r="I79" i="36"/>
  <c r="I78" i="36" s="1"/>
  <c r="I77" i="36" s="1"/>
  <c r="K78" i="36"/>
  <c r="K77" i="36" s="1"/>
  <c r="J78" i="36"/>
  <c r="J77" i="36" s="1"/>
  <c r="H78" i="36"/>
  <c r="H77" i="36" s="1"/>
  <c r="G78" i="36"/>
  <c r="G77" i="36" s="1"/>
  <c r="N75" i="36"/>
  <c r="M75" i="36"/>
  <c r="L75" i="36"/>
  <c r="I75" i="36"/>
  <c r="I74" i="36" s="1"/>
  <c r="L74" i="36"/>
  <c r="G74" i="36"/>
  <c r="N74" i="36" s="1"/>
  <c r="K73" i="36"/>
  <c r="I73" i="36"/>
  <c r="I72" i="36" s="1"/>
  <c r="G73" i="36"/>
  <c r="M73" i="36" s="1"/>
  <c r="J72" i="36"/>
  <c r="L71" i="36"/>
  <c r="I71" i="36"/>
  <c r="I70" i="36" s="1"/>
  <c r="G71" i="36"/>
  <c r="M71" i="36" s="1"/>
  <c r="K70" i="36"/>
  <c r="J70" i="36"/>
  <c r="H69" i="36"/>
  <c r="H68" i="36" s="1"/>
  <c r="K67" i="36"/>
  <c r="J67" i="36"/>
  <c r="J66" i="36" s="1"/>
  <c r="J65" i="36" s="1"/>
  <c r="I67" i="36"/>
  <c r="I66" i="36" s="1"/>
  <c r="I65" i="36" s="1"/>
  <c r="G67" i="36"/>
  <c r="G66" i="36" s="1"/>
  <c r="G65" i="36" s="1"/>
  <c r="N64" i="36"/>
  <c r="M64" i="36"/>
  <c r="L64" i="36"/>
  <c r="I64" i="36"/>
  <c r="I63" i="36" s="1"/>
  <c r="I62" i="36" s="1"/>
  <c r="K63" i="36"/>
  <c r="J63" i="36"/>
  <c r="J62" i="36" s="1"/>
  <c r="G63" i="36"/>
  <c r="G62" i="36" s="1"/>
  <c r="H61" i="36"/>
  <c r="M58" i="36"/>
  <c r="L58" i="36"/>
  <c r="N58" i="36"/>
  <c r="K57" i="36"/>
  <c r="J57" i="36"/>
  <c r="J56" i="36" s="1"/>
  <c r="I57" i="36"/>
  <c r="I56" i="36" s="1"/>
  <c r="I55" i="36" s="1"/>
  <c r="I54" i="36" s="1"/>
  <c r="L53" i="36"/>
  <c r="I53" i="36"/>
  <c r="I52" i="36" s="1"/>
  <c r="I51" i="36" s="1"/>
  <c r="I50" i="36" s="1"/>
  <c r="I49" i="36" s="1"/>
  <c r="G53" i="36"/>
  <c r="N53" i="36" s="1"/>
  <c r="K52" i="36"/>
  <c r="J52" i="36"/>
  <c r="N48" i="36"/>
  <c r="M48" i="36"/>
  <c r="L48" i="36"/>
  <c r="K47" i="36"/>
  <c r="J47" i="36"/>
  <c r="J46" i="36" s="1"/>
  <c r="I47" i="36"/>
  <c r="I46" i="36" s="1"/>
  <c r="I45" i="36" s="1"/>
  <c r="I44" i="36" s="1"/>
  <c r="I43" i="36" s="1"/>
  <c r="G47" i="36"/>
  <c r="G46" i="36" s="1"/>
  <c r="G44" i="36" s="1"/>
  <c r="G43" i="36" s="1"/>
  <c r="N42" i="36"/>
  <c r="M42" i="36"/>
  <c r="L42" i="36"/>
  <c r="I42" i="36"/>
  <c r="I41" i="36" s="1"/>
  <c r="K41" i="36"/>
  <c r="J41" i="36"/>
  <c r="G41" i="36"/>
  <c r="K40" i="36"/>
  <c r="J40" i="36"/>
  <c r="J39" i="36" s="1"/>
  <c r="I40" i="36"/>
  <c r="I39" i="36" s="1"/>
  <c r="G40" i="36"/>
  <c r="L35" i="36"/>
  <c r="I35" i="36"/>
  <c r="I34" i="36" s="1"/>
  <c r="I33" i="36" s="1"/>
  <c r="I32" i="36" s="1"/>
  <c r="I31" i="36" s="1"/>
  <c r="G35" i="36"/>
  <c r="G34" i="36" s="1"/>
  <c r="K34" i="36"/>
  <c r="J34" i="36"/>
  <c r="J33" i="36" s="1"/>
  <c r="J32" i="36" s="1"/>
  <c r="J31" i="36" s="1"/>
  <c r="H33" i="36"/>
  <c r="H32" i="36" s="1"/>
  <c r="M28" i="36"/>
  <c r="K28" i="36"/>
  <c r="I28" i="36"/>
  <c r="I27" i="36" s="1"/>
  <c r="I26" i="36" s="1"/>
  <c r="I25" i="36" s="1"/>
  <c r="I24" i="36" s="1"/>
  <c r="J27" i="36"/>
  <c r="J26" i="36" s="1"/>
  <c r="J25" i="36" s="1"/>
  <c r="J24" i="36" s="1"/>
  <c r="H27" i="36"/>
  <c r="H26" i="36" s="1"/>
  <c r="H25" i="36" s="1"/>
  <c r="H24" i="36" s="1"/>
  <c r="G27" i="36"/>
  <c r="G26" i="36" s="1"/>
  <c r="G25" i="36" s="1"/>
  <c r="G24" i="36" s="1"/>
  <c r="N23" i="36"/>
  <c r="M23" i="36"/>
  <c r="L23" i="36"/>
  <c r="I23" i="36"/>
  <c r="I22" i="36" s="1"/>
  <c r="I21" i="36" s="1"/>
  <c r="I20" i="36" s="1"/>
  <c r="I19" i="36" s="1"/>
  <c r="K22" i="36"/>
  <c r="K21" i="36" s="1"/>
  <c r="K20" i="36" s="1"/>
  <c r="J22" i="36"/>
  <c r="H22" i="36"/>
  <c r="H21" i="36" s="1"/>
  <c r="H20" i="36" s="1"/>
  <c r="H19" i="36" s="1"/>
  <c r="G22" i="36"/>
  <c r="G21" i="36" s="1"/>
  <c r="G20" i="36" s="1"/>
  <c r="G19" i="36" s="1"/>
  <c r="L17" i="36"/>
  <c r="K16" i="36"/>
  <c r="J16" i="36"/>
  <c r="H16" i="36"/>
  <c r="H11" i="36" s="1"/>
  <c r="H10" i="36" s="1"/>
  <c r="G16" i="36"/>
  <c r="L15" i="36"/>
  <c r="I15" i="36"/>
  <c r="I14" i="36" s="1"/>
  <c r="G15" i="36"/>
  <c r="N15" i="36" s="1"/>
  <c r="K14" i="36"/>
  <c r="J14" i="36"/>
  <c r="K13" i="36"/>
  <c r="J13" i="36"/>
  <c r="J12" i="36" s="1"/>
  <c r="I13" i="36"/>
  <c r="I12" i="36" s="1"/>
  <c r="G13" i="36"/>
  <c r="G12" i="36" s="1"/>
  <c r="K246" i="36" l="1"/>
  <c r="K375" i="36"/>
  <c r="L375" i="36" s="1"/>
  <c r="G595" i="36"/>
  <c r="G594" i="36" s="1"/>
  <c r="G590" i="36" s="1"/>
  <c r="K226" i="36"/>
  <c r="L226" i="36" s="1"/>
  <c r="G569" i="36"/>
  <c r="G568" i="36" s="1"/>
  <c r="N149" i="36"/>
  <c r="G158" i="36"/>
  <c r="N158" i="36" s="1"/>
  <c r="K244" i="36"/>
  <c r="G311" i="36"/>
  <c r="N311" i="36" s="1"/>
  <c r="N312" i="36"/>
  <c r="M400" i="36"/>
  <c r="K572" i="36"/>
  <c r="K571" i="36" s="1"/>
  <c r="N683" i="36"/>
  <c r="G689" i="36"/>
  <c r="M689" i="36" s="1"/>
  <c r="L67" i="36"/>
  <c r="G248" i="36"/>
  <c r="L294" i="36"/>
  <c r="L28" i="36"/>
  <c r="L40" i="36"/>
  <c r="K101" i="36"/>
  <c r="L102" i="36"/>
  <c r="M40" i="36"/>
  <c r="M189" i="36"/>
  <c r="L234" i="36"/>
  <c r="M309" i="36"/>
  <c r="L320" i="36"/>
  <c r="N400" i="36"/>
  <c r="N573" i="36"/>
  <c r="L692" i="36"/>
  <c r="I764" i="36"/>
  <c r="G462" i="36"/>
  <c r="N462" i="36" s="1"/>
  <c r="N245" i="36"/>
  <c r="N355" i="36"/>
  <c r="G375" i="36"/>
  <c r="G374" i="36" s="1"/>
  <c r="G682" i="36"/>
  <c r="G681" i="36" s="1"/>
  <c r="M681" i="36" s="1"/>
  <c r="M104" i="36"/>
  <c r="G72" i="36"/>
  <c r="N621" i="36"/>
  <c r="M116" i="36"/>
  <c r="I122" i="36"/>
  <c r="M177" i="36"/>
  <c r="G575" i="36"/>
  <c r="N575" i="36" s="1"/>
  <c r="M441" i="36"/>
  <c r="M490" i="36"/>
  <c r="N13" i="36"/>
  <c r="M291" i="36"/>
  <c r="G620" i="36"/>
  <c r="N620" i="36" s="1"/>
  <c r="L73" i="36"/>
  <c r="L94" i="36"/>
  <c r="E105" i="23"/>
  <c r="N182" i="36"/>
  <c r="K667" i="36"/>
  <c r="K666" i="36" s="1"/>
  <c r="L666" i="36" s="1"/>
  <c r="K461" i="36"/>
  <c r="J38" i="36"/>
  <c r="J37" i="36" s="1"/>
  <c r="H709" i="36"/>
  <c r="H708" i="36" s="1"/>
  <c r="H707" i="36" s="1"/>
  <c r="H706" i="36" s="1"/>
  <c r="H705" i="36" s="1"/>
  <c r="H698" i="36" s="1"/>
  <c r="H515" i="36"/>
  <c r="H514" i="36" s="1"/>
  <c r="H513" i="36" s="1"/>
  <c r="H512" i="36" s="1"/>
  <c r="G70" i="36"/>
  <c r="N70" i="36" s="1"/>
  <c r="N107" i="36"/>
  <c r="K148" i="36"/>
  <c r="L148" i="36" s="1"/>
  <c r="G176" i="36"/>
  <c r="G175" i="36" s="1"/>
  <c r="G174" i="36" s="1"/>
  <c r="G173" i="36" s="1"/>
  <c r="G172" i="36" s="1"/>
  <c r="G774" i="36" s="1"/>
  <c r="M13" i="36"/>
  <c r="G39" i="36"/>
  <c r="G38" i="36" s="1"/>
  <c r="G37" i="36" s="1"/>
  <c r="G36" i="36" s="1"/>
  <c r="M53" i="36"/>
  <c r="M67" i="36"/>
  <c r="J103" i="36"/>
  <c r="J100" i="36" s="1"/>
  <c r="J99" i="36" s="1"/>
  <c r="J98" i="36" s="1"/>
  <c r="K106" i="36"/>
  <c r="L106" i="36" s="1"/>
  <c r="M121" i="36"/>
  <c r="M149" i="36"/>
  <c r="G160" i="36"/>
  <c r="G157" i="36" s="1"/>
  <c r="M171" i="36"/>
  <c r="N227" i="36"/>
  <c r="K233" i="36"/>
  <c r="L233" i="36" s="1"/>
  <c r="G244" i="36"/>
  <c r="N244" i="36" s="1"/>
  <c r="M247" i="36"/>
  <c r="L247" i="36"/>
  <c r="M249" i="36"/>
  <c r="M252" i="36"/>
  <c r="G299" i="36"/>
  <c r="M299" i="36" s="1"/>
  <c r="N300" i="36"/>
  <c r="N320" i="36"/>
  <c r="N323" i="36"/>
  <c r="N389" i="36"/>
  <c r="N392" i="36"/>
  <c r="N463" i="36"/>
  <c r="G489" i="36"/>
  <c r="G488" i="36" s="1"/>
  <c r="M488" i="36" s="1"/>
  <c r="M493" i="36"/>
  <c r="M511" i="36"/>
  <c r="M518" i="36"/>
  <c r="M521" i="36"/>
  <c r="M612" i="36"/>
  <c r="G742" i="36"/>
  <c r="N742" i="36" s="1"/>
  <c r="M743" i="36"/>
  <c r="M136" i="36"/>
  <c r="N493" i="36"/>
  <c r="G572" i="36"/>
  <c r="G571" i="36" s="1"/>
  <c r="N571" i="36" s="1"/>
  <c r="G611" i="36"/>
  <c r="G610" i="36" s="1"/>
  <c r="M610" i="36" s="1"/>
  <c r="M615" i="36"/>
  <c r="N697" i="36"/>
  <c r="M711" i="36"/>
  <c r="G14" i="36"/>
  <c r="G11" i="36" s="1"/>
  <c r="G10" i="36" s="1"/>
  <c r="G52" i="36"/>
  <c r="G51" i="36" s="1"/>
  <c r="G50" i="36" s="1"/>
  <c r="G49" i="36" s="1"/>
  <c r="J115" i="36"/>
  <c r="M115" i="36" s="1"/>
  <c r="L116" i="36"/>
  <c r="L123" i="36"/>
  <c r="N136" i="36"/>
  <c r="L227" i="36"/>
  <c r="K293" i="36"/>
  <c r="K292" i="36" s="1"/>
  <c r="J308" i="36"/>
  <c r="J307" i="36" s="1"/>
  <c r="K354" i="36"/>
  <c r="N354" i="36" s="1"/>
  <c r="L355" i="36"/>
  <c r="L376" i="36"/>
  <c r="G391" i="36"/>
  <c r="N391" i="36" s="1"/>
  <c r="N437" i="36"/>
  <c r="G517" i="36"/>
  <c r="G516" i="36" s="1"/>
  <c r="N639" i="36"/>
  <c r="G696" i="36"/>
  <c r="G695" i="36" s="1"/>
  <c r="N695" i="36" s="1"/>
  <c r="G739" i="36"/>
  <c r="G738" i="36" s="1"/>
  <c r="M740" i="36"/>
  <c r="G744" i="36"/>
  <c r="M744" i="36" s="1"/>
  <c r="M745" i="36"/>
  <c r="N102" i="36"/>
  <c r="N123" i="36"/>
  <c r="L149" i="36"/>
  <c r="N234" i="36"/>
  <c r="N294" i="36"/>
  <c r="G319" i="36"/>
  <c r="G318" i="36" s="1"/>
  <c r="M318" i="36" s="1"/>
  <c r="G322" i="36"/>
  <c r="M322" i="36" s="1"/>
  <c r="L369" i="36"/>
  <c r="N376" i="36"/>
  <c r="G388" i="36"/>
  <c r="G387" i="36" s="1"/>
  <c r="M396" i="36"/>
  <c r="M437" i="36"/>
  <c r="N570" i="36"/>
  <c r="N576" i="36"/>
  <c r="G640" i="36"/>
  <c r="G18" i="36"/>
  <c r="N248" i="36"/>
  <c r="N131" i="36"/>
  <c r="L522" i="36"/>
  <c r="K164" i="36"/>
  <c r="K163" i="36" s="1"/>
  <c r="K162" i="36" s="1"/>
  <c r="H76" i="36"/>
  <c r="H60" i="36" s="1"/>
  <c r="J80" i="36"/>
  <c r="J76" i="36" s="1"/>
  <c r="H91" i="36"/>
  <c r="H90" i="36" s="1"/>
  <c r="M684" i="36"/>
  <c r="M566" i="36"/>
  <c r="H190" i="36"/>
  <c r="I147" i="36"/>
  <c r="M81" i="36"/>
  <c r="M217" i="36"/>
  <c r="L425" i="36"/>
  <c r="M559" i="36"/>
  <c r="N605" i="36"/>
  <c r="K741" i="36"/>
  <c r="I119" i="36"/>
  <c r="L399" i="36"/>
  <c r="N617" i="36"/>
  <c r="H640" i="36"/>
  <c r="H635" i="36" s="1"/>
  <c r="H634" i="36" s="1"/>
  <c r="H633" i="36" s="1"/>
  <c r="M642" i="36"/>
  <c r="M651" i="36"/>
  <c r="H667" i="36"/>
  <c r="H666" i="36" s="1"/>
  <c r="H661" i="36" s="1"/>
  <c r="H660" i="36" s="1"/>
  <c r="H659" i="36" s="1"/>
  <c r="L672" i="36"/>
  <c r="M693" i="36"/>
  <c r="N103" i="36"/>
  <c r="L328" i="36"/>
  <c r="I554" i="36"/>
  <c r="L63" i="36"/>
  <c r="H335" i="36"/>
  <c r="H334" i="36" s="1"/>
  <c r="H333" i="36" s="1"/>
  <c r="L378" i="36"/>
  <c r="M399" i="36"/>
  <c r="N527" i="36"/>
  <c r="G650" i="36"/>
  <c r="N650" i="36" s="1"/>
  <c r="L668" i="36"/>
  <c r="G667" i="36"/>
  <c r="M667" i="36" s="1"/>
  <c r="I741" i="36"/>
  <c r="I737" i="36" s="1"/>
  <c r="I736" i="36" s="1"/>
  <c r="I735" i="36" s="1"/>
  <c r="I734" i="36" s="1"/>
  <c r="L497" i="36"/>
  <c r="N446" i="36"/>
  <c r="L338" i="36"/>
  <c r="M338" i="36"/>
  <c r="M165" i="36"/>
  <c r="M166" i="36"/>
  <c r="N167" i="36"/>
  <c r="I152" i="36"/>
  <c r="L145" i="36"/>
  <c r="I134" i="36"/>
  <c r="N120" i="36"/>
  <c r="K62" i="36"/>
  <c r="L62" i="36" s="1"/>
  <c r="J157" i="36"/>
  <c r="K377" i="36"/>
  <c r="L377" i="36" s="1"/>
  <c r="N425" i="36"/>
  <c r="L473" i="36"/>
  <c r="M600" i="36"/>
  <c r="M670" i="36"/>
  <c r="M675" i="36"/>
  <c r="H688" i="36"/>
  <c r="N96" i="36"/>
  <c r="L158" i="36"/>
  <c r="H383" i="36"/>
  <c r="M395" i="36"/>
  <c r="G61" i="36"/>
  <c r="G119" i="36"/>
  <c r="G164" i="36"/>
  <c r="G163" i="36" s="1"/>
  <c r="G162" i="36" s="1"/>
  <c r="G773" i="36" s="1"/>
  <c r="H203" i="36"/>
  <c r="H202" i="36" s="1"/>
  <c r="H201" i="36" s="1"/>
  <c r="L408" i="36"/>
  <c r="H444" i="36"/>
  <c r="H443" i="36" s="1"/>
  <c r="H442" i="36" s="1"/>
  <c r="K526" i="36"/>
  <c r="N526" i="36" s="1"/>
  <c r="M538" i="36"/>
  <c r="I640" i="36"/>
  <c r="I635" i="36" s="1"/>
  <c r="I634" i="36" s="1"/>
  <c r="I633" i="36" s="1"/>
  <c r="J688" i="36"/>
  <c r="J680" i="36" s="1"/>
  <c r="L710" i="36"/>
  <c r="H717" i="36"/>
  <c r="H716" i="36" s="1"/>
  <c r="H715" i="36" s="1"/>
  <c r="H714" i="36" s="1"/>
  <c r="L16" i="36"/>
  <c r="M143" i="36"/>
  <c r="L407" i="36"/>
  <c r="G709" i="36"/>
  <c r="G708" i="36" s="1"/>
  <c r="G707" i="36" s="1"/>
  <c r="G706" i="36" s="1"/>
  <c r="G705" i="36" s="1"/>
  <c r="K51" i="36"/>
  <c r="G142" i="36"/>
  <c r="H164" i="36"/>
  <c r="H163" i="36" s="1"/>
  <c r="H162" i="36" s="1"/>
  <c r="G216" i="36"/>
  <c r="G215" i="36" s="1"/>
  <c r="G214" i="36" s="1"/>
  <c r="G793" i="36" s="1"/>
  <c r="L248" i="36"/>
  <c r="N260" i="36"/>
  <c r="I314" i="36"/>
  <c r="I313" i="36" s="1"/>
  <c r="I304" i="36" s="1"/>
  <c r="I803" i="36" s="1"/>
  <c r="H326" i="36"/>
  <c r="H325" i="36" s="1"/>
  <c r="H324" i="36" s="1"/>
  <c r="N331" i="36"/>
  <c r="L381" i="36"/>
  <c r="L388" i="36"/>
  <c r="L431" i="36"/>
  <c r="I445" i="36"/>
  <c r="I444" i="36" s="1"/>
  <c r="I443" i="36" s="1"/>
  <c r="I442" i="36" s="1"/>
  <c r="N452" i="36"/>
  <c r="L455" i="36"/>
  <c r="H460" i="36"/>
  <c r="H484" i="36"/>
  <c r="N491" i="36"/>
  <c r="M568" i="36"/>
  <c r="M569" i="36"/>
  <c r="N598" i="36"/>
  <c r="M624" i="36"/>
  <c r="J661" i="36"/>
  <c r="N668" i="36"/>
  <c r="H681" i="36"/>
  <c r="I681" i="36"/>
  <c r="M703" i="36"/>
  <c r="L703" i="36"/>
  <c r="G721" i="36"/>
  <c r="L746" i="36"/>
  <c r="I38" i="36"/>
  <c r="I37" i="36" s="1"/>
  <c r="I36" i="36" s="1"/>
  <c r="M74" i="36"/>
  <c r="M112" i="36"/>
  <c r="K157" i="36"/>
  <c r="L157" i="36" s="1"/>
  <c r="K185" i="36"/>
  <c r="K184" i="36" s="1"/>
  <c r="L194" i="36"/>
  <c r="H288" i="36"/>
  <c r="H287" i="36" s="1"/>
  <c r="H314" i="36"/>
  <c r="H313" i="36" s="1"/>
  <c r="N328" i="36"/>
  <c r="N342" i="36"/>
  <c r="M357" i="36"/>
  <c r="M405" i="36"/>
  <c r="J445" i="36"/>
  <c r="J444" i="36" s="1"/>
  <c r="M475" i="36"/>
  <c r="M524" i="36"/>
  <c r="M565" i="36"/>
  <c r="N566" i="36"/>
  <c r="N592" i="36"/>
  <c r="N604" i="36"/>
  <c r="N624" i="36"/>
  <c r="M676" i="36"/>
  <c r="M22" i="36"/>
  <c r="L52" i="36"/>
  <c r="L188" i="36"/>
  <c r="J243" i="36"/>
  <c r="N610" i="36"/>
  <c r="N616" i="36"/>
  <c r="N712" i="36"/>
  <c r="H133" i="36"/>
  <c r="H110" i="36" s="1"/>
  <c r="N217" i="36"/>
  <c r="H305" i="36"/>
  <c r="L581" i="36"/>
  <c r="L757" i="36"/>
  <c r="H741" i="36"/>
  <c r="H737" i="36" s="1"/>
  <c r="H736" i="36" s="1"/>
  <c r="H735" i="36" s="1"/>
  <c r="H734" i="36" s="1"/>
  <c r="L739" i="36"/>
  <c r="N710" i="36"/>
  <c r="J674" i="36"/>
  <c r="M674" i="36" s="1"/>
  <c r="J660" i="36"/>
  <c r="J659" i="36" s="1"/>
  <c r="G534" i="36"/>
  <c r="M542" i="36"/>
  <c r="M492" i="36"/>
  <c r="J491" i="36"/>
  <c r="M491" i="36" s="1"/>
  <c r="N492" i="36"/>
  <c r="L492" i="36"/>
  <c r="N489" i="36"/>
  <c r="L467" i="36"/>
  <c r="M342" i="36"/>
  <c r="G341" i="36"/>
  <c r="G340" i="36" s="1"/>
  <c r="G335" i="36" s="1"/>
  <c r="G787" i="36" s="1"/>
  <c r="M296" i="36"/>
  <c r="M256" i="36"/>
  <c r="M257" i="36"/>
  <c r="N226" i="36"/>
  <c r="M226" i="36"/>
  <c r="L211" i="36"/>
  <c r="L208" i="36"/>
  <c r="G191" i="36"/>
  <c r="G190" i="36" s="1"/>
  <c r="G192" i="36"/>
  <c r="N192" i="36" s="1"/>
  <c r="N194" i="36"/>
  <c r="G185" i="36"/>
  <c r="G184" i="36" s="1"/>
  <c r="G186" i="36"/>
  <c r="N186" i="36" s="1"/>
  <c r="L182" i="36"/>
  <c r="I172" i="36"/>
  <c r="I774" i="36" s="1"/>
  <c r="L176" i="36"/>
  <c r="I164" i="36"/>
  <c r="I163" i="36" s="1"/>
  <c r="I162" i="36" s="1"/>
  <c r="I773" i="36" s="1"/>
  <c r="N170" i="36"/>
  <c r="M170" i="36"/>
  <c r="L160" i="36"/>
  <c r="M158" i="36"/>
  <c r="N153" i="36"/>
  <c r="M150" i="36"/>
  <c r="I142" i="36"/>
  <c r="N143" i="36"/>
  <c r="J142" i="36"/>
  <c r="M135" i="36"/>
  <c r="I114" i="36"/>
  <c r="N117" i="36"/>
  <c r="N112" i="36"/>
  <c r="L112" i="36"/>
  <c r="N108" i="36"/>
  <c r="I91" i="36"/>
  <c r="I90" i="36" s="1"/>
  <c r="I795" i="36" s="1"/>
  <c r="I76" i="36"/>
  <c r="N81" i="36"/>
  <c r="J69" i="36"/>
  <c r="J68" i="36" s="1"/>
  <c r="L70" i="36"/>
  <c r="M47" i="36"/>
  <c r="M46" i="36"/>
  <c r="L41" i="36"/>
  <c r="I18" i="36"/>
  <c r="N22" i="36"/>
  <c r="I11" i="36"/>
  <c r="I10" i="36" s="1"/>
  <c r="I9" i="36" s="1"/>
  <c r="K19" i="36"/>
  <c r="N19" i="36" s="1"/>
  <c r="N20" i="36"/>
  <c r="H172" i="36"/>
  <c r="K173" i="36"/>
  <c r="K335" i="36"/>
  <c r="N356" i="36"/>
  <c r="L356" i="36"/>
  <c r="N41" i="36"/>
  <c r="L34" i="36"/>
  <c r="M63" i="36"/>
  <c r="N73" i="36"/>
  <c r="L83" i="36"/>
  <c r="K93" i="36"/>
  <c r="L93" i="36" s="1"/>
  <c r="M120" i="36"/>
  <c r="L120" i="36"/>
  <c r="N145" i="36"/>
  <c r="G152" i="36"/>
  <c r="I157" i="36"/>
  <c r="M167" i="36"/>
  <c r="L167" i="36"/>
  <c r="H186" i="36"/>
  <c r="H192" i="36"/>
  <c r="M12" i="36"/>
  <c r="L14" i="36"/>
  <c r="J21" i="36"/>
  <c r="L21" i="36" s="1"/>
  <c r="M24" i="36"/>
  <c r="M25" i="36"/>
  <c r="M26" i="36"/>
  <c r="M27" i="36"/>
  <c r="M41" i="36"/>
  <c r="N47" i="36"/>
  <c r="N63" i="36"/>
  <c r="M72" i="36"/>
  <c r="G80" i="36"/>
  <c r="G76" i="36" s="1"/>
  <c r="N94" i="36"/>
  <c r="L101" i="36"/>
  <c r="L108" i="36"/>
  <c r="M155" i="36"/>
  <c r="N188" i="36"/>
  <c r="M188" i="36"/>
  <c r="M194" i="36"/>
  <c r="M199" i="36"/>
  <c r="K215" i="36"/>
  <c r="H242" i="36"/>
  <c r="H241" i="36" s="1"/>
  <c r="H240" i="36" s="1"/>
  <c r="N257" i="36"/>
  <c r="N270" i="36"/>
  <c r="L270" i="36"/>
  <c r="K269" i="36"/>
  <c r="L269" i="36" s="1"/>
  <c r="I288" i="36"/>
  <c r="I287" i="36" s="1"/>
  <c r="I802" i="36" s="1"/>
  <c r="M316" i="36"/>
  <c r="M356" i="36"/>
  <c r="G404" i="36"/>
  <c r="G403" i="36" s="1"/>
  <c r="G402" i="36" s="1"/>
  <c r="G401" i="36" s="1"/>
  <c r="H427" i="36"/>
  <c r="M455" i="36"/>
  <c r="J461" i="36"/>
  <c r="L461" i="36" s="1"/>
  <c r="L462" i="36"/>
  <c r="L150" i="36"/>
  <c r="L170" i="36"/>
  <c r="L199" i="36"/>
  <c r="N199" i="36"/>
  <c r="I274" i="36"/>
  <c r="I273" i="36" s="1"/>
  <c r="L302" i="36"/>
  <c r="M302" i="36"/>
  <c r="N338" i="36"/>
  <c r="N357" i="36"/>
  <c r="H393" i="36"/>
  <c r="M452" i="36"/>
  <c r="N464" i="36"/>
  <c r="M502" i="36"/>
  <c r="J501" i="36"/>
  <c r="I61" i="36"/>
  <c r="K80" i="36"/>
  <c r="M131" i="36"/>
  <c r="M140" i="36"/>
  <c r="N169" i="36"/>
  <c r="H219" i="36"/>
  <c r="H213" i="36" s="1"/>
  <c r="M248" i="36"/>
  <c r="N256" i="36"/>
  <c r="L256" i="36"/>
  <c r="L290" i="36"/>
  <c r="N290" i="36"/>
  <c r="M315" i="36"/>
  <c r="M446" i="36"/>
  <c r="M464" i="36"/>
  <c r="N21" i="36"/>
  <c r="K72" i="36"/>
  <c r="M62" i="36"/>
  <c r="L96" i="36"/>
  <c r="M108" i="36"/>
  <c r="G130" i="36"/>
  <c r="N130" i="36" s="1"/>
  <c r="L140" i="36"/>
  <c r="G147" i="36"/>
  <c r="M181" i="36"/>
  <c r="N187" i="36"/>
  <c r="I203" i="36"/>
  <c r="I202" i="36" s="1"/>
  <c r="I796" i="36" s="1"/>
  <c r="L222" i="36"/>
  <c r="L282" i="36"/>
  <c r="J314" i="36"/>
  <c r="J313" i="36" s="1"/>
  <c r="L347" i="36"/>
  <c r="N347" i="36"/>
  <c r="L368" i="36"/>
  <c r="K367" i="36"/>
  <c r="K380" i="36"/>
  <c r="L380" i="36" s="1"/>
  <c r="M451" i="36"/>
  <c r="M467" i="36"/>
  <c r="G466" i="36"/>
  <c r="N193" i="36"/>
  <c r="L217" i="36"/>
  <c r="I219" i="36"/>
  <c r="I798" i="36" s="1"/>
  <c r="M244" i="36"/>
  <c r="L257" i="36"/>
  <c r="M295" i="36"/>
  <c r="G326" i="36"/>
  <c r="G325" i="36" s="1"/>
  <c r="G324" i="36" s="1"/>
  <c r="I335" i="36"/>
  <c r="I787" i="36" s="1"/>
  <c r="L341" i="36"/>
  <c r="H352" i="36"/>
  <c r="H351" i="36" s="1"/>
  <c r="H350" i="36" s="1"/>
  <c r="H349" i="36" s="1"/>
  <c r="I352" i="36"/>
  <c r="I351" i="36" s="1"/>
  <c r="I373" i="36"/>
  <c r="I372" i="36" s="1"/>
  <c r="I371" i="36" s="1"/>
  <c r="I370" i="36" s="1"/>
  <c r="I779" i="36" s="1"/>
  <c r="H373" i="36"/>
  <c r="H401" i="36"/>
  <c r="N431" i="36"/>
  <c r="M472" i="36"/>
  <c r="M476" i="36"/>
  <c r="L482" i="36"/>
  <c r="L495" i="36"/>
  <c r="I484" i="36"/>
  <c r="I519" i="36"/>
  <c r="I515" i="36" s="1"/>
  <c r="I514" i="36" s="1"/>
  <c r="N524" i="36"/>
  <c r="J537" i="36"/>
  <c r="J536" i="36" s="1"/>
  <c r="N538" i="36"/>
  <c r="J555" i="36"/>
  <c r="M556" i="36"/>
  <c r="H603" i="36"/>
  <c r="L469" i="36"/>
  <c r="L464" i="36"/>
  <c r="K466" i="36"/>
  <c r="N467" i="36"/>
  <c r="N473" i="36"/>
  <c r="M503" i="36"/>
  <c r="K516" i="36"/>
  <c r="N613" i="36"/>
  <c r="G622" i="36"/>
  <c r="N622" i="36" s="1"/>
  <c r="N623" i="36"/>
  <c r="L722" i="36"/>
  <c r="K721" i="36"/>
  <c r="K717" i="36" s="1"/>
  <c r="K597" i="36"/>
  <c r="N597" i="36" s="1"/>
  <c r="L651" i="36"/>
  <c r="N672" i="36"/>
  <c r="N703" i="36"/>
  <c r="J709" i="36"/>
  <c r="N719" i="36"/>
  <c r="N732" i="36"/>
  <c r="L742" i="36"/>
  <c r="H554" i="36"/>
  <c r="H590" i="36"/>
  <c r="N614" i="36"/>
  <c r="J623" i="36"/>
  <c r="M636" i="36"/>
  <c r="M637" i="36"/>
  <c r="M638" i="36"/>
  <c r="N642" i="36"/>
  <c r="M648" i="36"/>
  <c r="I667" i="36"/>
  <c r="I666" i="36" s="1"/>
  <c r="I661" i="36" s="1"/>
  <c r="I660" i="36" s="1"/>
  <c r="I659" i="36" s="1"/>
  <c r="N675" i="36"/>
  <c r="M691" i="36"/>
  <c r="L693" i="36"/>
  <c r="H721" i="36"/>
  <c r="L723" i="36"/>
  <c r="G731" i="36"/>
  <c r="N731" i="36" s="1"/>
  <c r="M739" i="36"/>
  <c r="J741" i="36"/>
  <c r="J737" i="36" s="1"/>
  <c r="L744" i="36"/>
  <c r="M592" i="36"/>
  <c r="I603" i="36"/>
  <c r="L624" i="36"/>
  <c r="J641" i="36"/>
  <c r="M641" i="36" s="1"/>
  <c r="M663" i="36"/>
  <c r="L682" i="36"/>
  <c r="I698" i="36"/>
  <c r="L712" i="36"/>
  <c r="M738" i="36"/>
  <c r="L752" i="36"/>
  <c r="L498" i="36"/>
  <c r="I534" i="36"/>
  <c r="J541" i="36"/>
  <c r="J540" i="36" s="1"/>
  <c r="M540" i="36" s="1"/>
  <c r="J571" i="36"/>
  <c r="K580" i="36"/>
  <c r="L580" i="36" s="1"/>
  <c r="I590" i="36"/>
  <c r="K641" i="36"/>
  <c r="N641" i="36" s="1"/>
  <c r="J650" i="36"/>
  <c r="M664" i="36"/>
  <c r="N670" i="36"/>
  <c r="K674" i="36"/>
  <c r="N674" i="36" s="1"/>
  <c r="N676" i="36"/>
  <c r="I688" i="36"/>
  <c r="G702" i="36"/>
  <c r="K702" i="36"/>
  <c r="K709" i="36"/>
  <c r="K708" i="36" s="1"/>
  <c r="K707" i="36" s="1"/>
  <c r="K706" i="36" s="1"/>
  <c r="K705" i="36" s="1"/>
  <c r="G718" i="36"/>
  <c r="K738" i="36"/>
  <c r="H274" i="36"/>
  <c r="H273" i="36" s="1"/>
  <c r="M122" i="36"/>
  <c r="J119" i="36"/>
  <c r="M34" i="36"/>
  <c r="G33" i="36"/>
  <c r="G32" i="36" s="1"/>
  <c r="G31" i="36" s="1"/>
  <c r="M31" i="36" s="1"/>
  <c r="M65" i="36"/>
  <c r="J61" i="36"/>
  <c r="L77" i="36"/>
  <c r="L130" i="36"/>
  <c r="I69" i="36"/>
  <c r="I68" i="36" s="1"/>
  <c r="M83" i="36"/>
  <c r="M95" i="36"/>
  <c r="J91" i="36"/>
  <c r="I100" i="36"/>
  <c r="I99" i="36" s="1"/>
  <c r="I98" i="36" s="1"/>
  <c r="I799" i="36" s="1"/>
  <c r="J11" i="36"/>
  <c r="K12" i="36"/>
  <c r="L13" i="36"/>
  <c r="K27" i="36"/>
  <c r="N28" i="36"/>
  <c r="N34" i="36"/>
  <c r="M35" i="36"/>
  <c r="N40" i="36"/>
  <c r="J45" i="36"/>
  <c r="K46" i="36"/>
  <c r="L47" i="36"/>
  <c r="J55" i="36"/>
  <c r="K56" i="36"/>
  <c r="G57" i="36"/>
  <c r="L57" i="36"/>
  <c r="M66" i="36"/>
  <c r="N67" i="36"/>
  <c r="N71" i="36"/>
  <c r="L81" i="36"/>
  <c r="N83" i="36"/>
  <c r="M84" i="36"/>
  <c r="J88" i="36"/>
  <c r="N88" i="36"/>
  <c r="M89" i="36"/>
  <c r="M96" i="36"/>
  <c r="N116" i="36"/>
  <c r="M123" i="36"/>
  <c r="L131" i="36"/>
  <c r="L136" i="36"/>
  <c r="K135" i="36"/>
  <c r="N138" i="36"/>
  <c r="J139" i="36"/>
  <c r="M139" i="36" s="1"/>
  <c r="N140" i="36"/>
  <c r="K142" i="36"/>
  <c r="M148" i="36"/>
  <c r="J147" i="36"/>
  <c r="N222" i="36"/>
  <c r="G221" i="36"/>
  <c r="G220" i="36" s="1"/>
  <c r="G219" i="36" s="1"/>
  <c r="G232" i="36"/>
  <c r="G231" i="36" s="1"/>
  <c r="G230" i="36" s="1"/>
  <c r="G229" i="36" s="1"/>
  <c r="L244" i="36"/>
  <c r="K243" i="36"/>
  <c r="N251" i="36"/>
  <c r="G250" i="36"/>
  <c r="N250" i="36" s="1"/>
  <c r="M15" i="36"/>
  <c r="L22" i="36"/>
  <c r="N35" i="36"/>
  <c r="N84" i="36"/>
  <c r="M94" i="36"/>
  <c r="M102" i="36"/>
  <c r="M107" i="36"/>
  <c r="L207" i="36"/>
  <c r="K33" i="36"/>
  <c r="K39" i="36"/>
  <c r="G45" i="36"/>
  <c r="J51" i="36"/>
  <c r="K66" i="36"/>
  <c r="L78" i="36"/>
  <c r="K87" i="36"/>
  <c r="G93" i="36"/>
  <c r="G92" i="36" s="1"/>
  <c r="G91" i="36" s="1"/>
  <c r="G90" i="36" s="1"/>
  <c r="K100" i="36"/>
  <c r="G101" i="36"/>
  <c r="G100" i="36" s="1"/>
  <c r="G99" i="36" s="1"/>
  <c r="G98" i="36" s="1"/>
  <c r="G106" i="36"/>
  <c r="G105" i="36" s="1"/>
  <c r="M105" i="36" s="1"/>
  <c r="K115" i="36"/>
  <c r="L118" i="36"/>
  <c r="J134" i="36"/>
  <c r="L137" i="36"/>
  <c r="M145" i="36"/>
  <c r="M153" i="36"/>
  <c r="J152" i="36"/>
  <c r="I186" i="36"/>
  <c r="I185" i="36"/>
  <c r="I184" i="36" s="1"/>
  <c r="I190" i="36"/>
  <c r="M222" i="36"/>
  <c r="M233" i="36"/>
  <c r="M251" i="36"/>
  <c r="K95" i="36"/>
  <c r="K111" i="36"/>
  <c r="J117" i="36"/>
  <c r="K122" i="36"/>
  <c r="G137" i="36"/>
  <c r="G134" i="36" s="1"/>
  <c r="N139" i="36"/>
  <c r="L143" i="36"/>
  <c r="L153" i="36"/>
  <c r="N155" i="36"/>
  <c r="L155" i="36"/>
  <c r="N165" i="36"/>
  <c r="L165" i="36"/>
  <c r="N166" i="36"/>
  <c r="L166" i="36"/>
  <c r="J179" i="36"/>
  <c r="M180" i="36"/>
  <c r="I793" i="36"/>
  <c r="I243" i="36"/>
  <c r="I242" i="36" s="1"/>
  <c r="I241" i="36" s="1"/>
  <c r="N150" i="36"/>
  <c r="J198" i="36"/>
  <c r="K204" i="36"/>
  <c r="G205" i="36"/>
  <c r="G204" i="36" s="1"/>
  <c r="G203" i="36" s="1"/>
  <c r="G202" i="36" s="1"/>
  <c r="L205" i="36"/>
  <c r="J221" i="36"/>
  <c r="N223" i="36"/>
  <c r="J225" i="36"/>
  <c r="J232" i="36"/>
  <c r="M234" i="36"/>
  <c r="G246" i="36"/>
  <c r="L246" i="36"/>
  <c r="N252" i="36"/>
  <c r="L260" i="36"/>
  <c r="J268" i="36"/>
  <c r="M268" i="36" s="1"/>
  <c r="M269" i="36"/>
  <c r="J275" i="36"/>
  <c r="M276" i="36"/>
  <c r="J292" i="36"/>
  <c r="K296" i="36"/>
  <c r="L297" i="36"/>
  <c r="N297" i="36"/>
  <c r="M327" i="36"/>
  <c r="J330" i="36"/>
  <c r="M331" i="36"/>
  <c r="G346" i="36"/>
  <c r="G345" i="36"/>
  <c r="G344" i="36" s="1"/>
  <c r="G797" i="36" s="1"/>
  <c r="J353" i="36"/>
  <c r="M354" i="36"/>
  <c r="I789" i="36"/>
  <c r="I427" i="36"/>
  <c r="K147" i="36"/>
  <c r="K152" i="36"/>
  <c r="M159" i="36"/>
  <c r="M161" i="36"/>
  <c r="J169" i="36"/>
  <c r="J175" i="36"/>
  <c r="K181" i="36"/>
  <c r="J187" i="36"/>
  <c r="J193" i="36"/>
  <c r="K198" i="36"/>
  <c r="J216" i="36"/>
  <c r="K221" i="36"/>
  <c r="K225" i="36"/>
  <c r="L245" i="36"/>
  <c r="J250" i="36"/>
  <c r="L251" i="36"/>
  <c r="L276" i="36"/>
  <c r="K278" i="36"/>
  <c r="L278" i="36" s="1"/>
  <c r="L279" i="36"/>
  <c r="M281" i="36"/>
  <c r="L293" i="36"/>
  <c r="N302" i="36"/>
  <c r="G301" i="36"/>
  <c r="N301" i="36" s="1"/>
  <c r="L309" i="36"/>
  <c r="K308" i="36"/>
  <c r="N309" i="36"/>
  <c r="L327" i="36"/>
  <c r="L331" i="36"/>
  <c r="J346" i="36"/>
  <c r="M347" i="36"/>
  <c r="K374" i="36"/>
  <c r="M394" i="36"/>
  <c r="J393" i="36"/>
  <c r="M206" i="36"/>
  <c r="J210" i="36"/>
  <c r="J203" i="36" s="1"/>
  <c r="N276" i="36"/>
  <c r="L281" i="36"/>
  <c r="N281" i="36"/>
  <c r="J289" i="36"/>
  <c r="M290" i="36"/>
  <c r="L316" i="36"/>
  <c r="K315" i="36"/>
  <c r="N316" i="36"/>
  <c r="N327" i="36"/>
  <c r="M336" i="36"/>
  <c r="M337" i="36"/>
  <c r="J259" i="36"/>
  <c r="M259" i="36" s="1"/>
  <c r="M260" i="36"/>
  <c r="G274" i="36"/>
  <c r="G273" i="36" s="1"/>
  <c r="N282" i="36"/>
  <c r="M282" i="36"/>
  <c r="L336" i="36"/>
  <c r="N336" i="36"/>
  <c r="L337" i="36"/>
  <c r="N337" i="36"/>
  <c r="J340" i="36"/>
  <c r="K253" i="36"/>
  <c r="G254" i="36"/>
  <c r="N254" i="36" s="1"/>
  <c r="L254" i="36"/>
  <c r="J301" i="36"/>
  <c r="K319" i="36"/>
  <c r="L342" i="36"/>
  <c r="L357" i="36"/>
  <c r="M364" i="36"/>
  <c r="M365" i="36"/>
  <c r="K385" i="36"/>
  <c r="N386" i="36"/>
  <c r="L391" i="36"/>
  <c r="N399" i="36"/>
  <c r="J403" i="36"/>
  <c r="J424" i="36"/>
  <c r="M425" i="36"/>
  <c r="M431" i="36"/>
  <c r="J435" i="36"/>
  <c r="M436" i="36"/>
  <c r="L436" i="36"/>
  <c r="K435" i="36"/>
  <c r="L476" i="36"/>
  <c r="K475" i="36"/>
  <c r="N476" i="36"/>
  <c r="N522" i="36"/>
  <c r="G519" i="36"/>
  <c r="G363" i="36"/>
  <c r="J374" i="36"/>
  <c r="G385" i="36"/>
  <c r="M388" i="36"/>
  <c r="J390" i="36"/>
  <c r="L395" i="36"/>
  <c r="K394" i="36"/>
  <c r="K398" i="36"/>
  <c r="N417" i="36"/>
  <c r="G424" i="36"/>
  <c r="G423" i="36" s="1"/>
  <c r="G422" i="36" s="1"/>
  <c r="G430" i="36"/>
  <c r="G429" i="36" s="1"/>
  <c r="G428" i="36" s="1"/>
  <c r="N436" i="36"/>
  <c r="M563" i="36"/>
  <c r="G562" i="36"/>
  <c r="M562" i="36" s="1"/>
  <c r="L563" i="36"/>
  <c r="N563" i="36"/>
  <c r="K562" i="36"/>
  <c r="M255" i="36"/>
  <c r="M270" i="36"/>
  <c r="N277" i="36"/>
  <c r="N291" i="36"/>
  <c r="M294" i="36"/>
  <c r="M328" i="36"/>
  <c r="N348" i="36"/>
  <c r="M355" i="36"/>
  <c r="L405" i="36"/>
  <c r="K404" i="36"/>
  <c r="N405" i="36"/>
  <c r="N416" i="36"/>
  <c r="K415" i="36"/>
  <c r="J416" i="36"/>
  <c r="L416" i="36" s="1"/>
  <c r="M417" i="36"/>
  <c r="L420" i="36"/>
  <c r="K419" i="36"/>
  <c r="L448" i="36"/>
  <c r="L454" i="36"/>
  <c r="L488" i="36"/>
  <c r="L591" i="36"/>
  <c r="N591" i="36"/>
  <c r="M591" i="36"/>
  <c r="N595" i="36"/>
  <c r="K594" i="36"/>
  <c r="M597" i="36"/>
  <c r="L613" i="36"/>
  <c r="M613" i="36"/>
  <c r="K259" i="36"/>
  <c r="K275" i="36"/>
  <c r="K289" i="36"/>
  <c r="G293" i="36"/>
  <c r="K330" i="36"/>
  <c r="K346" i="36"/>
  <c r="K387" i="36"/>
  <c r="N395" i="36"/>
  <c r="N396" i="36"/>
  <c r="G398" i="36"/>
  <c r="M398" i="36" s="1"/>
  <c r="L411" i="36"/>
  <c r="K410" i="36"/>
  <c r="L410" i="36" s="1"/>
  <c r="K423" i="36"/>
  <c r="K429" i="36"/>
  <c r="N472" i="36"/>
  <c r="L472" i="36"/>
  <c r="L527" i="36"/>
  <c r="J526" i="36"/>
  <c r="M526" i="36" s="1"/>
  <c r="M527" i="36"/>
  <c r="K556" i="36"/>
  <c r="L557" i="36"/>
  <c r="N557" i="36"/>
  <c r="L605" i="36"/>
  <c r="M605" i="36"/>
  <c r="J604" i="36"/>
  <c r="J603" i="36" s="1"/>
  <c r="G807" i="36"/>
  <c r="M449" i="36"/>
  <c r="N449" i="36"/>
  <c r="I461" i="36"/>
  <c r="I460" i="36" s="1"/>
  <c r="L517" i="36"/>
  <c r="J516" i="36"/>
  <c r="L521" i="36"/>
  <c r="K520" i="36"/>
  <c r="N521" i="36"/>
  <c r="M522" i="36"/>
  <c r="K547" i="36"/>
  <c r="L548" i="36"/>
  <c r="L559" i="36"/>
  <c r="N559" i="36"/>
  <c r="I561" i="36"/>
  <c r="H561" i="36"/>
  <c r="L596" i="36"/>
  <c r="M596" i="36"/>
  <c r="J595" i="36"/>
  <c r="L598" i="36"/>
  <c r="M598" i="36"/>
  <c r="M609" i="36"/>
  <c r="G608" i="36"/>
  <c r="N608" i="36" s="1"/>
  <c r="N609" i="36"/>
  <c r="J716" i="36"/>
  <c r="J430" i="36"/>
  <c r="K439" i="36"/>
  <c r="G440" i="36"/>
  <c r="N440" i="36" s="1"/>
  <c r="L440" i="36"/>
  <c r="L446" i="36"/>
  <c r="L452" i="36"/>
  <c r="M456" i="36"/>
  <c r="N456" i="36"/>
  <c r="M473" i="36"/>
  <c r="L479" i="36"/>
  <c r="K478" i="36"/>
  <c r="L478" i="36" s="1"/>
  <c r="K485" i="36"/>
  <c r="L486" i="36"/>
  <c r="J494" i="36"/>
  <c r="L494" i="36" s="1"/>
  <c r="L503" i="36"/>
  <c r="K502" i="36"/>
  <c r="N503" i="36"/>
  <c r="M537" i="36"/>
  <c r="L542" i="36"/>
  <c r="K541" i="36"/>
  <c r="N542" i="36"/>
  <c r="M560" i="36"/>
  <c r="N560" i="36"/>
  <c r="L616" i="36"/>
  <c r="M616" i="36"/>
  <c r="L629" i="36"/>
  <c r="J628" i="36"/>
  <c r="J627" i="36" s="1"/>
  <c r="J626" i="36" s="1"/>
  <c r="M631" i="36"/>
  <c r="G630" i="36"/>
  <c r="N631" i="36"/>
  <c r="M647" i="36"/>
  <c r="L647" i="36"/>
  <c r="N647" i="36"/>
  <c r="N685" i="36"/>
  <c r="K684" i="36"/>
  <c r="L685" i="36"/>
  <c r="G448" i="36"/>
  <c r="G454" i="36"/>
  <c r="N455" i="36"/>
  <c r="L470" i="36"/>
  <c r="L471" i="36"/>
  <c r="L481" i="36"/>
  <c r="J519" i="36"/>
  <c r="M520" i="36"/>
  <c r="G558" i="36"/>
  <c r="K558" i="36"/>
  <c r="L607" i="36"/>
  <c r="K603" i="36"/>
  <c r="L610" i="36"/>
  <c r="M662" i="36"/>
  <c r="L662" i="36"/>
  <c r="N662" i="36"/>
  <c r="K445" i="36"/>
  <c r="K451" i="36"/>
  <c r="L489" i="36"/>
  <c r="K509" i="36"/>
  <c r="G510" i="36"/>
  <c r="L510" i="36"/>
  <c r="L524" i="36"/>
  <c r="K537" i="36"/>
  <c r="L538" i="36"/>
  <c r="K565" i="36"/>
  <c r="L566" i="36"/>
  <c r="L570" i="36"/>
  <c r="L572" i="36"/>
  <c r="L592" i="36"/>
  <c r="M601" i="36"/>
  <c r="K626" i="36"/>
  <c r="K569" i="36"/>
  <c r="M573" i="36"/>
  <c r="N601" i="36"/>
  <c r="L611" i="36"/>
  <c r="M611" i="36"/>
  <c r="L614" i="36"/>
  <c r="M614" i="36"/>
  <c r="L617" i="36"/>
  <c r="M617" i="36"/>
  <c r="L648" i="36"/>
  <c r="N648" i="36"/>
  <c r="L663" i="36"/>
  <c r="N663" i="36"/>
  <c r="K600" i="36"/>
  <c r="L601" i="36"/>
  <c r="L608" i="36"/>
  <c r="L664" i="36"/>
  <c r="N664" i="36"/>
  <c r="L639" i="36"/>
  <c r="L642" i="36"/>
  <c r="L670" i="36"/>
  <c r="L675" i="36"/>
  <c r="L676" i="36"/>
  <c r="L695" i="36"/>
  <c r="G619" i="36"/>
  <c r="K638" i="36"/>
  <c r="L689" i="36"/>
  <c r="L696" i="36"/>
  <c r="L751" i="36"/>
  <c r="K750" i="36"/>
  <c r="L756" i="36"/>
  <c r="J755" i="36"/>
  <c r="M710" i="36"/>
  <c r="K691" i="36"/>
  <c r="N692" i="36"/>
  <c r="N693" i="36"/>
  <c r="M712" i="36"/>
  <c r="G321" i="36" l="1"/>
  <c r="N321" i="36" s="1"/>
  <c r="N164" i="36"/>
  <c r="G688" i="36"/>
  <c r="M103" i="36"/>
  <c r="N682" i="36"/>
  <c r="M682" i="36"/>
  <c r="G574" i="36"/>
  <c r="N488" i="36"/>
  <c r="M374" i="36"/>
  <c r="L354" i="36"/>
  <c r="M308" i="36"/>
  <c r="G243" i="36"/>
  <c r="M52" i="36"/>
  <c r="G484" i="36"/>
  <c r="M484" i="36" s="1"/>
  <c r="N175" i="36"/>
  <c r="G310" i="36"/>
  <c r="M310" i="36" s="1"/>
  <c r="N173" i="36"/>
  <c r="G461" i="36"/>
  <c r="N461" i="36" s="1"/>
  <c r="M375" i="36"/>
  <c r="M696" i="36"/>
  <c r="M620" i="36"/>
  <c r="M575" i="36"/>
  <c r="K353" i="36"/>
  <c r="N375" i="36"/>
  <c r="M571" i="36"/>
  <c r="N739" i="36"/>
  <c r="N160" i="36"/>
  <c r="M462" i="36"/>
  <c r="M311" i="36"/>
  <c r="M176" i="36"/>
  <c r="N689" i="36"/>
  <c r="N176" i="36"/>
  <c r="G373" i="36"/>
  <c r="G69" i="36"/>
  <c r="G68" i="36" s="1"/>
  <c r="N322" i="36"/>
  <c r="K661" i="36"/>
  <c r="K660" i="36" s="1"/>
  <c r="L491" i="36"/>
  <c r="N744" i="36"/>
  <c r="N705" i="36"/>
  <c r="N572" i="36"/>
  <c r="N388" i="36"/>
  <c r="M572" i="36"/>
  <c r="N148" i="36"/>
  <c r="L721" i="36"/>
  <c r="I553" i="36"/>
  <c r="I552" i="36" s="1"/>
  <c r="N163" i="36"/>
  <c r="M14" i="36"/>
  <c r="N340" i="36"/>
  <c r="M695" i="36"/>
  <c r="K232" i="36"/>
  <c r="K231" i="36" s="1"/>
  <c r="N233" i="36"/>
  <c r="N14" i="36"/>
  <c r="N174" i="36"/>
  <c r="G390" i="36"/>
  <c r="N390" i="36" s="1"/>
  <c r="L667" i="36"/>
  <c r="M489" i="36"/>
  <c r="M70" i="36"/>
  <c r="N667" i="36"/>
  <c r="N51" i="36"/>
  <c r="N52" i="36"/>
  <c r="M517" i="36"/>
  <c r="G515" i="36"/>
  <c r="G514" i="36" s="1"/>
  <c r="G513" i="36" s="1"/>
  <c r="G512" i="36" s="1"/>
  <c r="K105" i="36"/>
  <c r="N105" i="36" s="1"/>
  <c r="M39" i="36"/>
  <c r="M319" i="36"/>
  <c r="M391" i="36"/>
  <c r="M650" i="36"/>
  <c r="N517" i="36"/>
  <c r="G298" i="36"/>
  <c r="N298" i="36" s="1"/>
  <c r="H553" i="36"/>
  <c r="H552" i="36" s="1"/>
  <c r="H551" i="36" s="1"/>
  <c r="K268" i="36"/>
  <c r="N268" i="36" s="1"/>
  <c r="N611" i="36"/>
  <c r="G741" i="36"/>
  <c r="G737" i="36" s="1"/>
  <c r="G736" i="36" s="1"/>
  <c r="G735" i="36" s="1"/>
  <c r="G734" i="36" s="1"/>
  <c r="K590" i="36"/>
  <c r="M80" i="36"/>
  <c r="N516" i="36"/>
  <c r="N299" i="36"/>
  <c r="L103" i="36"/>
  <c r="L80" i="36"/>
  <c r="M160" i="36"/>
  <c r="M742" i="36"/>
  <c r="N696" i="36"/>
  <c r="I213" i="36"/>
  <c r="H680" i="36"/>
  <c r="H679" i="36" s="1"/>
  <c r="H678" i="36" s="1"/>
  <c r="K737" i="36"/>
  <c r="K736" i="36" s="1"/>
  <c r="H421" i="36"/>
  <c r="L139" i="36"/>
  <c r="L709" i="36"/>
  <c r="L571" i="36"/>
  <c r="N706" i="36"/>
  <c r="N708" i="36"/>
  <c r="L597" i="36"/>
  <c r="I589" i="36"/>
  <c r="I588" i="36" s="1"/>
  <c r="I587" i="36" s="1"/>
  <c r="H589" i="36"/>
  <c r="H588" i="36" s="1"/>
  <c r="H587" i="36" s="1"/>
  <c r="G666" i="36"/>
  <c r="N666" i="36" s="1"/>
  <c r="I786" i="36"/>
  <c r="L526" i="36"/>
  <c r="K640" i="36"/>
  <c r="N640" i="36" s="1"/>
  <c r="N62" i="36"/>
  <c r="G314" i="36"/>
  <c r="G313" i="36" s="1"/>
  <c r="M313" i="36" s="1"/>
  <c r="M147" i="36"/>
  <c r="M321" i="36"/>
  <c r="N709" i="36"/>
  <c r="L674" i="36"/>
  <c r="M461" i="36"/>
  <c r="I334" i="36"/>
  <c r="I333" i="36" s="1"/>
  <c r="I777" i="36" s="1"/>
  <c r="M119" i="36"/>
  <c r="M157" i="36"/>
  <c r="H304" i="36"/>
  <c r="H272" i="36" s="1"/>
  <c r="H228" i="36" s="1"/>
  <c r="H183" i="36"/>
  <c r="N466" i="36"/>
  <c r="N216" i="36"/>
  <c r="I421" i="36"/>
  <c r="I780" i="36" s="1"/>
  <c r="K50" i="36"/>
  <c r="N50" i="36" s="1"/>
  <c r="M130" i="36"/>
  <c r="L466" i="36"/>
  <c r="G460" i="36"/>
  <c r="G459" i="36" s="1"/>
  <c r="I201" i="36"/>
  <c r="N184" i="36"/>
  <c r="N157" i="36"/>
  <c r="G133" i="36"/>
  <c r="G110" i="36" s="1"/>
  <c r="M142" i="36"/>
  <c r="M38" i="36"/>
  <c r="I8" i="36"/>
  <c r="I7" i="36" s="1"/>
  <c r="J561" i="36"/>
  <c r="I350" i="36"/>
  <c r="I349" i="36" s="1"/>
  <c r="M709" i="36"/>
  <c r="I133" i="36"/>
  <c r="I110" i="36" s="1"/>
  <c r="M68" i="36"/>
  <c r="N707" i="36"/>
  <c r="N269" i="36"/>
  <c r="M152" i="36"/>
  <c r="K92" i="36"/>
  <c r="K91" i="36" s="1"/>
  <c r="I680" i="36"/>
  <c r="I679" i="36" s="1"/>
  <c r="I678" i="36" s="1"/>
  <c r="M688" i="36"/>
  <c r="L650" i="36"/>
  <c r="N185" i="36"/>
  <c r="H459" i="36"/>
  <c r="H458" i="36" s="1"/>
  <c r="H457" i="36" s="1"/>
  <c r="M731" i="36"/>
  <c r="J708" i="36"/>
  <c r="L708" i="36" s="1"/>
  <c r="M519" i="36"/>
  <c r="M466" i="36"/>
  <c r="L516" i="36"/>
  <c r="M341" i="36"/>
  <c r="L51" i="36"/>
  <c r="H372" i="36"/>
  <c r="H371" i="36" s="1"/>
  <c r="H370" i="36" s="1"/>
  <c r="G305" i="36"/>
  <c r="N341" i="36"/>
  <c r="N191" i="36"/>
  <c r="L627" i="36"/>
  <c r="L741" i="36"/>
  <c r="G680" i="36"/>
  <c r="G679" i="36" s="1"/>
  <c r="G678" i="36" s="1"/>
  <c r="M541" i="36"/>
  <c r="J460" i="36"/>
  <c r="J459" i="36" s="1"/>
  <c r="K460" i="36"/>
  <c r="N335" i="36"/>
  <c r="M301" i="36"/>
  <c r="M204" i="36"/>
  <c r="I60" i="36"/>
  <c r="I790" i="36" s="1"/>
  <c r="M69" i="36"/>
  <c r="M76" i="36"/>
  <c r="G60" i="36"/>
  <c r="G790" i="36" s="1"/>
  <c r="N718" i="36"/>
  <c r="M718" i="36"/>
  <c r="G717" i="36"/>
  <c r="L641" i="36"/>
  <c r="L628" i="36"/>
  <c r="I459" i="36"/>
  <c r="I458" i="36" s="1"/>
  <c r="I457" i="36" s="1"/>
  <c r="I781" i="36" s="1"/>
  <c r="M404" i="36"/>
  <c r="N80" i="36"/>
  <c r="M32" i="36"/>
  <c r="K76" i="36"/>
  <c r="N76" i="36" s="1"/>
  <c r="M501" i="36"/>
  <c r="J500" i="36"/>
  <c r="I272" i="36"/>
  <c r="N702" i="36"/>
  <c r="L702" i="36"/>
  <c r="K701" i="36"/>
  <c r="J736" i="36"/>
  <c r="M623" i="36"/>
  <c r="J622" i="36"/>
  <c r="J640" i="36"/>
  <c r="J635" i="36" s="1"/>
  <c r="J634" i="36" s="1"/>
  <c r="J633" i="36" s="1"/>
  <c r="N738" i="36"/>
  <c r="L738" i="36"/>
  <c r="M702" i="36"/>
  <c r="G701" i="36"/>
  <c r="L623" i="36"/>
  <c r="J554" i="36"/>
  <c r="M555" i="36"/>
  <c r="I513" i="36"/>
  <c r="I512" i="36" s="1"/>
  <c r="L367" i="36"/>
  <c r="K366" i="36"/>
  <c r="L366" i="36" s="1"/>
  <c r="N72" i="36"/>
  <c r="L72" i="36"/>
  <c r="N215" i="36"/>
  <c r="K214" i="36"/>
  <c r="N214" i="36" s="1"/>
  <c r="K69" i="36"/>
  <c r="M21" i="36"/>
  <c r="J20" i="36"/>
  <c r="I551" i="36"/>
  <c r="N537" i="36"/>
  <c r="K536" i="36"/>
  <c r="L537" i="36"/>
  <c r="K681" i="36"/>
  <c r="N684" i="36"/>
  <c r="L684" i="36"/>
  <c r="M630" i="36"/>
  <c r="N630" i="36"/>
  <c r="K438" i="36"/>
  <c r="L439" i="36"/>
  <c r="N429" i="36"/>
  <c r="K428" i="36"/>
  <c r="K352" i="36"/>
  <c r="N353" i="36"/>
  <c r="L353" i="36"/>
  <c r="L292" i="36"/>
  <c r="N259" i="36"/>
  <c r="L259" i="36"/>
  <c r="M390" i="36"/>
  <c r="J383" i="36"/>
  <c r="J434" i="36"/>
  <c r="M435" i="36"/>
  <c r="N319" i="36"/>
  <c r="K318" i="36"/>
  <c r="K314" i="36" s="1"/>
  <c r="L319" i="36"/>
  <c r="L253" i="36"/>
  <c r="M387" i="36"/>
  <c r="J373" i="36"/>
  <c r="L232" i="36"/>
  <c r="N232" i="36"/>
  <c r="L198" i="36"/>
  <c r="K190" i="36"/>
  <c r="K197" i="36"/>
  <c r="N198" i="36"/>
  <c r="L175" i="36"/>
  <c r="J174" i="36"/>
  <c r="M175" i="36"/>
  <c r="L152" i="36"/>
  <c r="N152" i="36"/>
  <c r="N204" i="36"/>
  <c r="L204" i="36"/>
  <c r="K203" i="36"/>
  <c r="M243" i="36"/>
  <c r="N162" i="36"/>
  <c r="N111" i="36"/>
  <c r="L111" i="36"/>
  <c r="L115" i="36"/>
  <c r="K114" i="36"/>
  <c r="N115" i="36"/>
  <c r="L100" i="36"/>
  <c r="K99" i="36"/>
  <c r="N100" i="36"/>
  <c r="L210" i="36"/>
  <c r="N142" i="36"/>
  <c r="L142" i="36"/>
  <c r="M137" i="36"/>
  <c r="N101" i="36"/>
  <c r="N46" i="36"/>
  <c r="L46" i="36"/>
  <c r="K45" i="36"/>
  <c r="N27" i="36"/>
  <c r="L27" i="36"/>
  <c r="K26" i="36"/>
  <c r="N12" i="36"/>
  <c r="L12" i="36"/>
  <c r="K11" i="36"/>
  <c r="J90" i="36"/>
  <c r="M91" i="36"/>
  <c r="G9" i="36"/>
  <c r="G8" i="36" s="1"/>
  <c r="J60" i="36"/>
  <c r="M61" i="36"/>
  <c r="K716" i="36"/>
  <c r="L717" i="36"/>
  <c r="L750" i="36"/>
  <c r="K749" i="36"/>
  <c r="N619" i="36"/>
  <c r="M619" i="36"/>
  <c r="M536" i="36"/>
  <c r="J535" i="36"/>
  <c r="N451" i="36"/>
  <c r="L451" i="36"/>
  <c r="M574" i="36"/>
  <c r="N574" i="36"/>
  <c r="L502" i="36"/>
  <c r="K501" i="36"/>
  <c r="N502" i="36"/>
  <c r="K484" i="36"/>
  <c r="L485" i="36"/>
  <c r="J429" i="36"/>
  <c r="M430" i="36"/>
  <c r="M608" i="36"/>
  <c r="G607" i="36"/>
  <c r="M595" i="36"/>
  <c r="J594" i="36"/>
  <c r="N423" i="36"/>
  <c r="K422" i="36"/>
  <c r="K345" i="36"/>
  <c r="N346" i="36"/>
  <c r="L346" i="36"/>
  <c r="N289" i="36"/>
  <c r="L289" i="36"/>
  <c r="N594" i="36"/>
  <c r="G561" i="36"/>
  <c r="L562" i="36"/>
  <c r="N562" i="36"/>
  <c r="N398" i="36"/>
  <c r="L398" i="36"/>
  <c r="N363" i="36"/>
  <c r="M363" i="36"/>
  <c r="N435" i="36"/>
  <c r="L435" i="36"/>
  <c r="K434" i="36"/>
  <c r="J423" i="36"/>
  <c r="L423" i="36" s="1"/>
  <c r="M424" i="36"/>
  <c r="M403" i="36"/>
  <c r="J402" i="36"/>
  <c r="G352" i="36"/>
  <c r="G351" i="36" s="1"/>
  <c r="L225" i="36"/>
  <c r="K224" i="36"/>
  <c r="N225" i="36"/>
  <c r="L193" i="36"/>
  <c r="J192" i="36"/>
  <c r="M193" i="36"/>
  <c r="L169" i="36"/>
  <c r="J164" i="36"/>
  <c r="M169" i="36"/>
  <c r="L147" i="36"/>
  <c r="N147" i="36"/>
  <c r="J352" i="36"/>
  <c r="M353" i="36"/>
  <c r="J326" i="36"/>
  <c r="M330" i="36"/>
  <c r="J306" i="36"/>
  <c r="M307" i="36"/>
  <c r="M221" i="36"/>
  <c r="J220" i="36"/>
  <c r="M198" i="36"/>
  <c r="J197" i="36"/>
  <c r="J178" i="36"/>
  <c r="M178" i="36" s="1"/>
  <c r="M179" i="36"/>
  <c r="N95" i="36"/>
  <c r="L95" i="36"/>
  <c r="L66" i="36"/>
  <c r="K65" i="36"/>
  <c r="N66" i="36"/>
  <c r="L39" i="36"/>
  <c r="K38" i="36"/>
  <c r="N39" i="36"/>
  <c r="N205" i="36"/>
  <c r="K134" i="36"/>
  <c r="L135" i="36"/>
  <c r="N135" i="36"/>
  <c r="M88" i="36"/>
  <c r="J87" i="36"/>
  <c r="L87" i="36" s="1"/>
  <c r="M57" i="36"/>
  <c r="G56" i="36"/>
  <c r="N56" i="36" s="1"/>
  <c r="M45" i="36"/>
  <c r="J44" i="36"/>
  <c r="M11" i="36"/>
  <c r="J10" i="36"/>
  <c r="M99" i="36"/>
  <c r="L691" i="36"/>
  <c r="K688" i="36"/>
  <c r="N691" i="36"/>
  <c r="N565" i="36"/>
  <c r="L565" i="36"/>
  <c r="G509" i="36"/>
  <c r="N509" i="36" s="1"/>
  <c r="M510" i="36"/>
  <c r="L445" i="36"/>
  <c r="L558" i="36"/>
  <c r="N558" i="36"/>
  <c r="N510" i="36"/>
  <c r="M448" i="36"/>
  <c r="G445" i="36"/>
  <c r="M445" i="36" s="1"/>
  <c r="J679" i="36"/>
  <c r="L541" i="36"/>
  <c r="K540" i="36"/>
  <c r="N541" i="36"/>
  <c r="J515" i="36"/>
  <c r="M516" i="36"/>
  <c r="L604" i="36"/>
  <c r="M604" i="36"/>
  <c r="K326" i="36"/>
  <c r="N330" i="36"/>
  <c r="L330" i="36"/>
  <c r="K274" i="36"/>
  <c r="N275" i="36"/>
  <c r="L275" i="36"/>
  <c r="L595" i="36"/>
  <c r="N454" i="36"/>
  <c r="N448" i="36"/>
  <c r="M416" i="36"/>
  <c r="J415" i="36"/>
  <c r="L415" i="36" s="1"/>
  <c r="G789" i="36"/>
  <c r="K393" i="36"/>
  <c r="N394" i="36"/>
  <c r="L394" i="36"/>
  <c r="L475" i="36"/>
  <c r="N475" i="36"/>
  <c r="N430" i="36"/>
  <c r="L424" i="36"/>
  <c r="L315" i="36"/>
  <c r="N315" i="36"/>
  <c r="L374" i="36"/>
  <c r="N374" i="36"/>
  <c r="J345" i="36"/>
  <c r="M346" i="36"/>
  <c r="L308" i="36"/>
  <c r="K307" i="36"/>
  <c r="N308" i="36"/>
  <c r="L250" i="36"/>
  <c r="J242" i="36"/>
  <c r="M250" i="36"/>
  <c r="L221" i="36"/>
  <c r="K220" i="36"/>
  <c r="N221" i="36"/>
  <c r="L187" i="36"/>
  <c r="J186" i="36"/>
  <c r="J185" i="36"/>
  <c r="M187" i="36"/>
  <c r="N296" i="36"/>
  <c r="L296" i="36"/>
  <c r="K295" i="36"/>
  <c r="K288" i="36" s="1"/>
  <c r="J274" i="36"/>
  <c r="M275" i="36"/>
  <c r="M232" i="36"/>
  <c r="J231" i="36"/>
  <c r="N246" i="36"/>
  <c r="N122" i="36"/>
  <c r="K119" i="36"/>
  <c r="L122" i="36"/>
  <c r="J133" i="36"/>
  <c r="M134" i="36"/>
  <c r="L33" i="36"/>
  <c r="K32" i="36"/>
  <c r="N33" i="36"/>
  <c r="K242" i="36"/>
  <c r="N243" i="36"/>
  <c r="L243" i="36"/>
  <c r="G798" i="36"/>
  <c r="G213" i="36"/>
  <c r="N93" i="36"/>
  <c r="L56" i="36"/>
  <c r="K55" i="36"/>
  <c r="N137" i="36"/>
  <c r="M100" i="36"/>
  <c r="M93" i="36"/>
  <c r="N57" i="36"/>
  <c r="M33" i="36"/>
  <c r="M106" i="36"/>
  <c r="L755" i="36"/>
  <c r="J754" i="36"/>
  <c r="L638" i="36"/>
  <c r="K637" i="36"/>
  <c r="N638" i="36"/>
  <c r="N600" i="36"/>
  <c r="L600" i="36"/>
  <c r="L569" i="36"/>
  <c r="K568" i="36"/>
  <c r="K561" i="36" s="1"/>
  <c r="N569" i="36"/>
  <c r="L626" i="36"/>
  <c r="K508" i="36"/>
  <c r="L509" i="36"/>
  <c r="L603" i="36"/>
  <c r="M558" i="36"/>
  <c r="G554" i="36"/>
  <c r="G635" i="36"/>
  <c r="M454" i="36"/>
  <c r="G439" i="36"/>
  <c r="M440" i="36"/>
  <c r="J715" i="36"/>
  <c r="L547" i="36"/>
  <c r="K546" i="36"/>
  <c r="L520" i="36"/>
  <c r="K519" i="36"/>
  <c r="N520" i="36"/>
  <c r="K555" i="36"/>
  <c r="N556" i="36"/>
  <c r="L556" i="36"/>
  <c r="N387" i="36"/>
  <c r="K373" i="36"/>
  <c r="L387" i="36"/>
  <c r="G292" i="36"/>
  <c r="N293" i="36"/>
  <c r="K444" i="36"/>
  <c r="K418" i="36"/>
  <c r="L418" i="36" s="1"/>
  <c r="L419" i="36"/>
  <c r="N415" i="36"/>
  <c r="N404" i="36"/>
  <c r="L404" i="36"/>
  <c r="K403" i="36"/>
  <c r="J443" i="36"/>
  <c r="M385" i="36"/>
  <c r="G384" i="36"/>
  <c r="L430" i="36"/>
  <c r="N424" i="36"/>
  <c r="G393" i="36"/>
  <c r="M393" i="36" s="1"/>
  <c r="N385" i="36"/>
  <c r="L385" i="36"/>
  <c r="K384" i="36"/>
  <c r="G253" i="36"/>
  <c r="M253" i="36" s="1"/>
  <c r="M254" i="36"/>
  <c r="M340" i="36"/>
  <c r="J335" i="36"/>
  <c r="L340" i="36"/>
  <c r="J288" i="36"/>
  <c r="M289" i="36"/>
  <c r="J202" i="36"/>
  <c r="M203" i="36"/>
  <c r="L390" i="36"/>
  <c r="L216" i="36"/>
  <c r="J215" i="36"/>
  <c r="M216" i="36"/>
  <c r="L181" i="36"/>
  <c r="K180" i="36"/>
  <c r="N181" i="36"/>
  <c r="L301" i="36"/>
  <c r="M293" i="36"/>
  <c r="M225" i="36"/>
  <c r="J224" i="36"/>
  <c r="M224" i="36" s="1"/>
  <c r="G796" i="36"/>
  <c r="G201" i="36"/>
  <c r="G334" i="36"/>
  <c r="G333" i="36" s="1"/>
  <c r="G777" i="36" s="1"/>
  <c r="I791" i="36"/>
  <c r="I240" i="36"/>
  <c r="M205" i="36"/>
  <c r="M117" i="36"/>
  <c r="L117" i="36"/>
  <c r="M246" i="36"/>
  <c r="G799" i="36"/>
  <c r="K86" i="36"/>
  <c r="N87" i="36"/>
  <c r="J50" i="36"/>
  <c r="M51" i="36"/>
  <c r="N106" i="36"/>
  <c r="J54" i="36"/>
  <c r="J114" i="36"/>
  <c r="M114" i="36" s="1"/>
  <c r="M98" i="36"/>
  <c r="L88" i="36"/>
  <c r="M92" i="36"/>
  <c r="M37" i="36"/>
  <c r="J36" i="36"/>
  <c r="M101" i="36"/>
  <c r="N310" i="36" l="1"/>
  <c r="L661" i="36"/>
  <c r="G288" i="36"/>
  <c r="G287" i="36" s="1"/>
  <c r="G802" i="36" s="1"/>
  <c r="G809" i="36"/>
  <c r="L105" i="36"/>
  <c r="I183" i="36"/>
  <c r="I775" i="36" s="1"/>
  <c r="L268" i="36"/>
  <c r="M298" i="36"/>
  <c r="N741" i="36"/>
  <c r="M741" i="36"/>
  <c r="N737" i="36"/>
  <c r="M736" i="36"/>
  <c r="L594" i="36"/>
  <c r="J590" i="36"/>
  <c r="L590" i="36" s="1"/>
  <c r="M737" i="36"/>
  <c r="L737" i="36"/>
  <c r="K49" i="36"/>
  <c r="N49" i="36" s="1"/>
  <c r="H550" i="36"/>
  <c r="H549" i="36" s="1"/>
  <c r="H759" i="36" s="1"/>
  <c r="J707" i="36"/>
  <c r="L707" i="36" s="1"/>
  <c r="L50" i="36"/>
  <c r="L92" i="36"/>
  <c r="M561" i="36"/>
  <c r="L640" i="36"/>
  <c r="M666" i="36"/>
  <c r="G661" i="36"/>
  <c r="M314" i="36"/>
  <c r="G304" i="36"/>
  <c r="G803" i="36" s="1"/>
  <c r="J762" i="36"/>
  <c r="M762" i="36" s="1"/>
  <c r="N92" i="36"/>
  <c r="M640" i="36"/>
  <c r="J553" i="36"/>
  <c r="J552" i="36" s="1"/>
  <c r="I788" i="36"/>
  <c r="M708" i="36"/>
  <c r="I550" i="36"/>
  <c r="I549" i="36" s="1"/>
  <c r="I785" i="36"/>
  <c r="M460" i="36"/>
  <c r="L460" i="36"/>
  <c r="N460" i="36"/>
  <c r="I59" i="36"/>
  <c r="I30" i="36" s="1"/>
  <c r="M680" i="36"/>
  <c r="K762" i="36"/>
  <c r="N762" i="36" s="1"/>
  <c r="I805" i="36"/>
  <c r="L76" i="36"/>
  <c r="M20" i="36"/>
  <c r="J19" i="36"/>
  <c r="J790" i="36" s="1"/>
  <c r="L20" i="36"/>
  <c r="G716" i="36"/>
  <c r="G788" i="36" s="1"/>
  <c r="M717" i="36"/>
  <c r="I228" i="36"/>
  <c r="I776" i="36" s="1"/>
  <c r="G444" i="36"/>
  <c r="N444" i="36" s="1"/>
  <c r="N717" i="36"/>
  <c r="M622" i="36"/>
  <c r="L622" i="36"/>
  <c r="N701" i="36"/>
  <c r="L701" i="36"/>
  <c r="K700" i="36"/>
  <c r="J801" i="36"/>
  <c r="M500" i="36"/>
  <c r="G59" i="36"/>
  <c r="L69" i="36"/>
  <c r="K68" i="36"/>
  <c r="N69" i="36"/>
  <c r="M701" i="36"/>
  <c r="G700" i="36"/>
  <c r="G458" i="36"/>
  <c r="G457" i="36" s="1"/>
  <c r="J241" i="36"/>
  <c r="J788" i="36"/>
  <c r="M459" i="36"/>
  <c r="J458" i="36"/>
  <c r="L561" i="36"/>
  <c r="N561" i="36"/>
  <c r="J428" i="36"/>
  <c r="L428" i="36" s="1"/>
  <c r="M429" i="36"/>
  <c r="N114" i="36"/>
  <c r="L114" i="36"/>
  <c r="J372" i="36"/>
  <c r="M373" i="36"/>
  <c r="N253" i="36"/>
  <c r="L438" i="36"/>
  <c r="K85" i="36"/>
  <c r="N86" i="36"/>
  <c r="L215" i="36"/>
  <c r="J214" i="36"/>
  <c r="M215" i="36"/>
  <c r="J796" i="36"/>
  <c r="J201" i="36"/>
  <c r="M202" i="36"/>
  <c r="J787" i="36"/>
  <c r="M335" i="36"/>
  <c r="L335" i="36"/>
  <c r="L384" i="36"/>
  <c r="K383" i="36"/>
  <c r="K372" i="36" s="1"/>
  <c r="N384" i="36"/>
  <c r="K414" i="36"/>
  <c r="J714" i="36"/>
  <c r="L91" i="36"/>
  <c r="K90" i="36"/>
  <c r="N91" i="36"/>
  <c r="M231" i="36"/>
  <c r="J230" i="36"/>
  <c r="N295" i="36"/>
  <c r="L295" i="36"/>
  <c r="L185" i="36"/>
  <c r="J184" i="36"/>
  <c r="M185" i="36"/>
  <c r="L220" i="36"/>
  <c r="K219" i="36"/>
  <c r="N220" i="36"/>
  <c r="K325" i="36"/>
  <c r="N326" i="36"/>
  <c r="L326" i="36"/>
  <c r="N445" i="36"/>
  <c r="N38" i="36"/>
  <c r="L38" i="36"/>
  <c r="K37" i="36"/>
  <c r="J325" i="36"/>
  <c r="M326" i="36"/>
  <c r="L224" i="36"/>
  <c r="N224" i="36"/>
  <c r="M402" i="36"/>
  <c r="N434" i="36"/>
  <c r="L434" i="36"/>
  <c r="K433" i="36"/>
  <c r="K427" i="36" s="1"/>
  <c r="G603" i="36"/>
  <c r="M607" i="36"/>
  <c r="N607" i="36"/>
  <c r="J534" i="36"/>
  <c r="M534" i="36" s="1"/>
  <c r="M535" i="36"/>
  <c r="L45" i="36"/>
  <c r="K44" i="36"/>
  <c r="N45" i="36"/>
  <c r="L99" i="36"/>
  <c r="K98" i="36"/>
  <c r="N99" i="36"/>
  <c r="J433" i="36"/>
  <c r="M434" i="36"/>
  <c r="L429" i="36"/>
  <c r="L536" i="36"/>
  <c r="K535" i="36"/>
  <c r="N536" i="36"/>
  <c r="L637" i="36"/>
  <c r="K636" i="36"/>
  <c r="N637" i="36"/>
  <c r="L55" i="36"/>
  <c r="K54" i="36"/>
  <c r="J273" i="36"/>
  <c r="M274" i="36"/>
  <c r="M220" i="36"/>
  <c r="J219" i="36"/>
  <c r="G350" i="36"/>
  <c r="G349" i="36" s="1"/>
  <c r="L501" i="36"/>
  <c r="K500" i="36"/>
  <c r="N501" i="36"/>
  <c r="J442" i="36"/>
  <c r="L373" i="36"/>
  <c r="N373" i="36"/>
  <c r="K554" i="36"/>
  <c r="N555" i="36"/>
  <c r="L555" i="36"/>
  <c r="K545" i="36"/>
  <c r="L546" i="36"/>
  <c r="G634" i="36"/>
  <c r="M635" i="36"/>
  <c r="L754" i="36"/>
  <c r="J748" i="36"/>
  <c r="J735" i="36" s="1"/>
  <c r="L32" i="36"/>
  <c r="K31" i="36"/>
  <c r="N32" i="36"/>
  <c r="M133" i="36"/>
  <c r="J110" i="36"/>
  <c r="M110" i="36" s="1"/>
  <c r="L119" i="36"/>
  <c r="N119" i="36"/>
  <c r="L186" i="36"/>
  <c r="M186" i="36"/>
  <c r="J344" i="36"/>
  <c r="M345" i="36"/>
  <c r="L314" i="36"/>
  <c r="K313" i="36"/>
  <c r="N314" i="36"/>
  <c r="M415" i="36"/>
  <c r="J414" i="36"/>
  <c r="N590" i="36"/>
  <c r="K589" i="36"/>
  <c r="K273" i="36"/>
  <c r="N274" i="36"/>
  <c r="L274" i="36"/>
  <c r="J43" i="36"/>
  <c r="M43" i="36" s="1"/>
  <c r="M44" i="36"/>
  <c r="J86" i="36"/>
  <c r="L86" i="36" s="1"/>
  <c r="M87" i="36"/>
  <c r="K133" i="36"/>
  <c r="N134" i="36"/>
  <c r="L134" i="36"/>
  <c r="M197" i="36"/>
  <c r="J196" i="36"/>
  <c r="L192" i="36"/>
  <c r="J191" i="36"/>
  <c r="M192" i="36"/>
  <c r="N484" i="36"/>
  <c r="L484" i="36"/>
  <c r="M60" i="36"/>
  <c r="M90" i="36"/>
  <c r="J795" i="36"/>
  <c r="N26" i="36"/>
  <c r="L26" i="36"/>
  <c r="K25" i="36"/>
  <c r="G242" i="36"/>
  <c r="G241" i="36" s="1"/>
  <c r="L197" i="36"/>
  <c r="K196" i="36"/>
  <c r="N197" i="36"/>
  <c r="L231" i="36"/>
  <c r="K230" i="36"/>
  <c r="N231" i="36"/>
  <c r="L318" i="36"/>
  <c r="N318" i="36"/>
  <c r="K351" i="36"/>
  <c r="N352" i="36"/>
  <c r="L352" i="36"/>
  <c r="K459" i="36"/>
  <c r="N403" i="36"/>
  <c r="L403" i="36"/>
  <c r="K402" i="36"/>
  <c r="K443" i="36"/>
  <c r="L444" i="36"/>
  <c r="K515" i="36"/>
  <c r="N519" i="36"/>
  <c r="L519" i="36"/>
  <c r="K241" i="36"/>
  <c r="L242" i="36"/>
  <c r="M10" i="36"/>
  <c r="J9" i="36"/>
  <c r="G55" i="36"/>
  <c r="M56" i="36"/>
  <c r="N65" i="36"/>
  <c r="L65" i="36"/>
  <c r="K61" i="36"/>
  <c r="J422" i="36"/>
  <c r="L422" i="36" s="1"/>
  <c r="M423" i="36"/>
  <c r="K287" i="36"/>
  <c r="N288" i="36"/>
  <c r="L288" i="36"/>
  <c r="N422" i="36"/>
  <c r="L180" i="36"/>
  <c r="K179" i="36"/>
  <c r="N180" i="36"/>
  <c r="M36" i="36"/>
  <c r="M50" i="36"/>
  <c r="J49" i="36"/>
  <c r="M49" i="36" s="1"/>
  <c r="G183" i="36"/>
  <c r="G775" i="36" s="1"/>
  <c r="J287" i="36"/>
  <c r="G383" i="36"/>
  <c r="G372" i="36" s="1"/>
  <c r="M384" i="36"/>
  <c r="G438" i="36"/>
  <c r="M439" i="36"/>
  <c r="G553" i="36"/>
  <c r="G552" i="36" s="1"/>
  <c r="M554" i="36"/>
  <c r="L660" i="36"/>
  <c r="K659" i="36"/>
  <c r="K507" i="36"/>
  <c r="L508" i="36"/>
  <c r="L568" i="36"/>
  <c r="N568" i="36"/>
  <c r="K306" i="36"/>
  <c r="N307" i="36"/>
  <c r="L307" i="36"/>
  <c r="L393" i="36"/>
  <c r="N393" i="36"/>
  <c r="J514" i="36"/>
  <c r="M515" i="36"/>
  <c r="N540" i="36"/>
  <c r="L540" i="36"/>
  <c r="M679" i="36"/>
  <c r="J678" i="36"/>
  <c r="M678" i="36" s="1"/>
  <c r="G508" i="36"/>
  <c r="M509" i="36"/>
  <c r="L688" i="36"/>
  <c r="N688" i="36"/>
  <c r="N736" i="36"/>
  <c r="L736" i="36"/>
  <c r="J305" i="36"/>
  <c r="M306" i="36"/>
  <c r="J351" i="36"/>
  <c r="M352" i="36"/>
  <c r="J163" i="36"/>
  <c r="M164" i="36"/>
  <c r="L164" i="36"/>
  <c r="K344" i="36"/>
  <c r="N345" i="36"/>
  <c r="L345" i="36"/>
  <c r="M594" i="36"/>
  <c r="L749" i="36"/>
  <c r="K748" i="36"/>
  <c r="K715" i="36"/>
  <c r="L716" i="36"/>
  <c r="G7" i="36"/>
  <c r="L11" i="36"/>
  <c r="K10" i="36"/>
  <c r="N11" i="36"/>
  <c r="N203" i="36"/>
  <c r="L203" i="36"/>
  <c r="K202" i="36"/>
  <c r="M292" i="36"/>
  <c r="L174" i="36"/>
  <c r="J173" i="36"/>
  <c r="M174" i="36"/>
  <c r="N190" i="36"/>
  <c r="N292" i="36"/>
  <c r="N428" i="36"/>
  <c r="N439" i="36"/>
  <c r="K680" i="36"/>
  <c r="N681" i="36"/>
  <c r="L681" i="36"/>
  <c r="J706" i="36" l="1"/>
  <c r="L706" i="36" s="1"/>
  <c r="M288" i="36"/>
  <c r="M707" i="36"/>
  <c r="G272" i="36"/>
  <c r="N716" i="36"/>
  <c r="G660" i="36"/>
  <c r="N661" i="36"/>
  <c r="M661" i="36"/>
  <c r="I806" i="36"/>
  <c r="I778" i="36"/>
  <c r="N242" i="36"/>
  <c r="L748" i="36"/>
  <c r="I29" i="36"/>
  <c r="I759" i="36" s="1"/>
  <c r="I770" i="36" s="1"/>
  <c r="I772" i="36"/>
  <c r="J805" i="36"/>
  <c r="G715" i="36"/>
  <c r="N715" i="36" s="1"/>
  <c r="M716" i="36"/>
  <c r="G443" i="36"/>
  <c r="G805" i="36" s="1"/>
  <c r="M444" i="36"/>
  <c r="L68" i="36"/>
  <c r="N68" i="36"/>
  <c r="M19" i="36"/>
  <c r="J18" i="36"/>
  <c r="M18" i="36" s="1"/>
  <c r="L19" i="36"/>
  <c r="M383" i="36"/>
  <c r="M700" i="36"/>
  <c r="G699" i="36"/>
  <c r="N700" i="36"/>
  <c r="L700" i="36"/>
  <c r="K699" i="36"/>
  <c r="G371" i="36"/>
  <c r="G370" i="36" s="1"/>
  <c r="G779" i="36" s="1"/>
  <c r="G786" i="36"/>
  <c r="J802" i="36"/>
  <c r="M287" i="36"/>
  <c r="M9" i="36"/>
  <c r="N402" i="36"/>
  <c r="L402" i="36"/>
  <c r="L196" i="36"/>
  <c r="N196" i="36"/>
  <c r="N133" i="36"/>
  <c r="K110" i="36"/>
  <c r="L133" i="36"/>
  <c r="L500" i="36"/>
  <c r="N500" i="36"/>
  <c r="K714" i="36"/>
  <c r="L715" i="36"/>
  <c r="J786" i="36"/>
  <c r="J350" i="36"/>
  <c r="M351" i="36"/>
  <c r="J513" i="36"/>
  <c r="M514" i="36"/>
  <c r="L61" i="36"/>
  <c r="K60" i="36"/>
  <c r="N61" i="36"/>
  <c r="G54" i="36"/>
  <c r="N54" i="36" s="1"/>
  <c r="M55" i="36"/>
  <c r="L443" i="36"/>
  <c r="K442" i="36"/>
  <c r="K421" i="36" s="1"/>
  <c r="K350" i="36"/>
  <c r="N351" i="36"/>
  <c r="L351" i="36"/>
  <c r="N25" i="36"/>
  <c r="L25" i="36"/>
  <c r="K24" i="36"/>
  <c r="K588" i="36"/>
  <c r="L545" i="36"/>
  <c r="K544" i="36"/>
  <c r="L544" i="36" s="1"/>
  <c r="G589" i="36"/>
  <c r="G588" i="36" s="1"/>
  <c r="G587" i="36" s="1"/>
  <c r="M603" i="36"/>
  <c r="N603" i="36"/>
  <c r="K324" i="36"/>
  <c r="N325" i="36"/>
  <c r="L325" i="36"/>
  <c r="L90" i="36"/>
  <c r="N90" i="36"/>
  <c r="L383" i="36"/>
  <c r="N383" i="36"/>
  <c r="M553" i="36"/>
  <c r="M242" i="36"/>
  <c r="K506" i="36"/>
  <c r="L507" i="36"/>
  <c r="K514" i="36"/>
  <c r="N515" i="36"/>
  <c r="L515" i="36"/>
  <c r="J800" i="36"/>
  <c r="M196" i="36"/>
  <c r="J797" i="36"/>
  <c r="M344" i="36"/>
  <c r="M273" i="36"/>
  <c r="M230" i="36"/>
  <c r="J229" i="36"/>
  <c r="M458" i="36"/>
  <c r="J457" i="36"/>
  <c r="K679" i="36"/>
  <c r="N680" i="36"/>
  <c r="L680" i="36"/>
  <c r="N202" i="36"/>
  <c r="L202" i="36"/>
  <c r="K201" i="36"/>
  <c r="L10" i="36"/>
  <c r="K9" i="36"/>
  <c r="N10" i="36"/>
  <c r="J162" i="36"/>
  <c r="M163" i="36"/>
  <c r="L163" i="36"/>
  <c r="J304" i="36"/>
  <c r="J272" i="36" s="1"/>
  <c r="M305" i="36"/>
  <c r="K735" i="36"/>
  <c r="G507" i="36"/>
  <c r="M508" i="36"/>
  <c r="N508" i="36"/>
  <c r="K240" i="36"/>
  <c r="N241" i="36"/>
  <c r="L241" i="36"/>
  <c r="L230" i="36"/>
  <c r="K229" i="36"/>
  <c r="N230" i="36"/>
  <c r="L313" i="36"/>
  <c r="N313" i="36"/>
  <c r="G633" i="36"/>
  <c r="M633" i="36" s="1"/>
  <c r="M634" i="36"/>
  <c r="N55" i="36"/>
  <c r="L636" i="36"/>
  <c r="K635" i="36"/>
  <c r="N636" i="36"/>
  <c r="L44" i="36"/>
  <c r="K43" i="36"/>
  <c r="N44" i="36"/>
  <c r="N37" i="36"/>
  <c r="L37" i="36"/>
  <c r="K36" i="36"/>
  <c r="L219" i="36"/>
  <c r="K213" i="36"/>
  <c r="N219" i="36"/>
  <c r="K413" i="36"/>
  <c r="K401" i="36" s="1"/>
  <c r="L414" i="36"/>
  <c r="N414" i="36"/>
  <c r="J793" i="36"/>
  <c r="L214" i="36"/>
  <c r="J213" i="36"/>
  <c r="M213" i="36" s="1"/>
  <c r="M214" i="36"/>
  <c r="J371" i="36"/>
  <c r="M372" i="36"/>
  <c r="J789" i="36"/>
  <c r="J427" i="36"/>
  <c r="J421" i="36" s="1"/>
  <c r="M428" i="36"/>
  <c r="K305" i="36"/>
  <c r="N306" i="36"/>
  <c r="L306" i="36"/>
  <c r="M438" i="36"/>
  <c r="G427" i="36"/>
  <c r="L179" i="36"/>
  <c r="K178" i="36"/>
  <c r="N179" i="36"/>
  <c r="N287" i="36"/>
  <c r="L287" i="36"/>
  <c r="N459" i="36"/>
  <c r="K458" i="36"/>
  <c r="L459" i="36"/>
  <c r="L31" i="36"/>
  <c r="N31" i="36"/>
  <c r="L372" i="36"/>
  <c r="K371" i="36"/>
  <c r="N372" i="36"/>
  <c r="J798" i="36"/>
  <c r="M219" i="36"/>
  <c r="L535" i="36"/>
  <c r="N535" i="36"/>
  <c r="J794" i="36"/>
  <c r="M433" i="36"/>
  <c r="N433" i="36"/>
  <c r="L433" i="36"/>
  <c r="J324" i="36"/>
  <c r="M324" i="36" s="1"/>
  <c r="M325" i="36"/>
  <c r="L184" i="36"/>
  <c r="M184" i="36"/>
  <c r="N85" i="36"/>
  <c r="J551" i="36"/>
  <c r="M552" i="36"/>
  <c r="J791" i="36"/>
  <c r="J240" i="36"/>
  <c r="M241" i="36"/>
  <c r="L173" i="36"/>
  <c r="J172" i="36"/>
  <c r="M173" i="36"/>
  <c r="M590" i="36"/>
  <c r="J589" i="36"/>
  <c r="L589" i="36" s="1"/>
  <c r="N344" i="36"/>
  <c r="L344" i="36"/>
  <c r="K334" i="36"/>
  <c r="L659" i="36"/>
  <c r="G551" i="36"/>
  <c r="M422" i="36"/>
  <c r="G791" i="36"/>
  <c r="G240" i="36"/>
  <c r="L191" i="36"/>
  <c r="J190" i="36"/>
  <c r="M191" i="36"/>
  <c r="J85" i="36"/>
  <c r="L85" i="36" s="1"/>
  <c r="M86" i="36"/>
  <c r="N273" i="36"/>
  <c r="L273" i="36"/>
  <c r="M414" i="36"/>
  <c r="J413" i="36"/>
  <c r="J734" i="36"/>
  <c r="M734" i="36" s="1"/>
  <c r="M735" i="36"/>
  <c r="K553" i="36"/>
  <c r="N554" i="36"/>
  <c r="L554" i="36"/>
  <c r="L54" i="36"/>
  <c r="L98" i="36"/>
  <c r="N98" i="36"/>
  <c r="L49" i="36"/>
  <c r="J334" i="36"/>
  <c r="M201" i="36"/>
  <c r="N438" i="36"/>
  <c r="M706" i="36" l="1"/>
  <c r="J705" i="36"/>
  <c r="G228" i="36"/>
  <c r="G776" i="36" s="1"/>
  <c r="M272" i="36"/>
  <c r="M660" i="36"/>
  <c r="G659" i="36"/>
  <c r="N660" i="36"/>
  <c r="I783" i="36"/>
  <c r="I771" i="36"/>
  <c r="K534" i="36"/>
  <c r="L534" i="36" s="1"/>
  <c r="N443" i="36"/>
  <c r="G785" i="36"/>
  <c r="J8" i="36"/>
  <c r="M8" i="36" s="1"/>
  <c r="G442" i="36"/>
  <c r="M442" i="36" s="1"/>
  <c r="M443" i="36"/>
  <c r="M699" i="36"/>
  <c r="G698" i="36"/>
  <c r="L699" i="36"/>
  <c r="N699" i="36"/>
  <c r="K698" i="36"/>
  <c r="M427" i="36"/>
  <c r="G714" i="36"/>
  <c r="N714" i="36" s="1"/>
  <c r="M715" i="36"/>
  <c r="N401" i="36"/>
  <c r="M190" i="36"/>
  <c r="L190" i="36"/>
  <c r="L635" i="36"/>
  <c r="K634" i="36"/>
  <c r="N635" i="36"/>
  <c r="J773" i="36"/>
  <c r="M162" i="36"/>
  <c r="L162" i="36"/>
  <c r="J183" i="36"/>
  <c r="G550" i="36"/>
  <c r="M240" i="36"/>
  <c r="L178" i="36"/>
  <c r="K172" i="36"/>
  <c r="N178" i="36"/>
  <c r="L213" i="36"/>
  <c r="N213" i="36"/>
  <c r="K734" i="36"/>
  <c r="N735" i="36"/>
  <c r="L735" i="36"/>
  <c r="N514" i="36"/>
  <c r="L514" i="36"/>
  <c r="N324" i="36"/>
  <c r="L324" i="36"/>
  <c r="L442" i="36"/>
  <c r="G30" i="36"/>
  <c r="M54" i="36"/>
  <c r="L110" i="36"/>
  <c r="N110" i="36"/>
  <c r="M413" i="36"/>
  <c r="J401" i="36"/>
  <c r="M401" i="36" s="1"/>
  <c r="N201" i="36"/>
  <c r="K183" i="36"/>
  <c r="L201" i="36"/>
  <c r="J799" i="36"/>
  <c r="N24" i="36"/>
  <c r="L24" i="36"/>
  <c r="K18" i="36"/>
  <c r="K8" i="36" s="1"/>
  <c r="J512" i="36"/>
  <c r="M512" i="36" s="1"/>
  <c r="M513" i="36"/>
  <c r="L421" i="36"/>
  <c r="M334" i="36"/>
  <c r="J333" i="36"/>
  <c r="K552" i="36"/>
  <c r="N553" i="36"/>
  <c r="L553" i="36"/>
  <c r="J588" i="36"/>
  <c r="L588" i="36" s="1"/>
  <c r="M589" i="36"/>
  <c r="K304" i="36"/>
  <c r="N305" i="36"/>
  <c r="L305" i="36"/>
  <c r="L413" i="36"/>
  <c r="N413" i="36"/>
  <c r="L36" i="36"/>
  <c r="N36" i="36"/>
  <c r="N43" i="36"/>
  <c r="L43" i="36"/>
  <c r="J803" i="36"/>
  <c r="M304" i="36"/>
  <c r="N679" i="36"/>
  <c r="L679" i="36"/>
  <c r="K678" i="36"/>
  <c r="M229" i="36"/>
  <c r="J228" i="36"/>
  <c r="K505" i="36"/>
  <c r="L506" i="36"/>
  <c r="N588" i="36"/>
  <c r="K587" i="36"/>
  <c r="K349" i="36"/>
  <c r="N350" i="36"/>
  <c r="L350" i="36"/>
  <c r="L60" i="36"/>
  <c r="K59" i="36"/>
  <c r="N60" i="36"/>
  <c r="N427" i="36"/>
  <c r="J774" i="36"/>
  <c r="M172" i="36"/>
  <c r="L371" i="36"/>
  <c r="K370" i="36"/>
  <c r="N371" i="36"/>
  <c r="M705" i="36"/>
  <c r="J698" i="36"/>
  <c r="L705" i="36"/>
  <c r="J792" i="36"/>
  <c r="M85" i="36"/>
  <c r="J59" i="36"/>
  <c r="L334" i="36"/>
  <c r="N334" i="36"/>
  <c r="K333" i="36"/>
  <c r="M551" i="36"/>
  <c r="N458" i="36"/>
  <c r="K457" i="36"/>
  <c r="L458" i="36"/>
  <c r="M371" i="36"/>
  <c r="L229" i="36"/>
  <c r="N229" i="36"/>
  <c r="N240" i="36"/>
  <c r="L240" i="36"/>
  <c r="G506" i="36"/>
  <c r="M507" i="36"/>
  <c r="G795" i="36"/>
  <c r="L9" i="36"/>
  <c r="N9" i="36"/>
  <c r="J781" i="36"/>
  <c r="M457" i="36"/>
  <c r="N507" i="36"/>
  <c r="N589" i="36"/>
  <c r="J349" i="36"/>
  <c r="M350" i="36"/>
  <c r="L714" i="36"/>
  <c r="L427" i="36"/>
  <c r="M659" i="36" l="1"/>
  <c r="N659" i="36"/>
  <c r="G806" i="36"/>
  <c r="J7" i="36"/>
  <c r="M7" i="36" s="1"/>
  <c r="N442" i="36"/>
  <c r="K513" i="36"/>
  <c r="K512" i="36" s="1"/>
  <c r="N534" i="36"/>
  <c r="N698" i="36"/>
  <c r="G421" i="36"/>
  <c r="M714" i="36"/>
  <c r="G781" i="36"/>
  <c r="L333" i="36"/>
  <c r="N333" i="36"/>
  <c r="N457" i="36"/>
  <c r="L457" i="36"/>
  <c r="M698" i="36"/>
  <c r="L698" i="36"/>
  <c r="G549" i="36"/>
  <c r="G778" i="36"/>
  <c r="M349" i="36"/>
  <c r="L59" i="36"/>
  <c r="N59" i="36"/>
  <c r="K30" i="36"/>
  <c r="N349" i="36"/>
  <c r="L349" i="36"/>
  <c r="M588" i="36"/>
  <c r="J587" i="36"/>
  <c r="L587" i="36" s="1"/>
  <c r="J785" i="36"/>
  <c r="J806" i="36" s="1"/>
  <c r="N18" i="36"/>
  <c r="L18" i="36"/>
  <c r="G772" i="36"/>
  <c r="J775" i="36"/>
  <c r="M183" i="36"/>
  <c r="M59" i="36"/>
  <c r="J30" i="36"/>
  <c r="J776" i="36"/>
  <c r="M228" i="36"/>
  <c r="J370" i="36"/>
  <c r="L370" i="36" s="1"/>
  <c r="N587" i="36"/>
  <c r="L505" i="36"/>
  <c r="N678" i="36"/>
  <c r="L678" i="36"/>
  <c r="K551" i="36"/>
  <c r="N552" i="36"/>
  <c r="L552" i="36"/>
  <c r="L183" i="36"/>
  <c r="N183" i="36"/>
  <c r="L634" i="36"/>
  <c r="K633" i="36"/>
  <c r="N634" i="36"/>
  <c r="K7" i="36"/>
  <c r="N8" i="36"/>
  <c r="L8" i="36"/>
  <c r="G505" i="36"/>
  <c r="M506" i="36"/>
  <c r="N370" i="36"/>
  <c r="N506" i="36"/>
  <c r="N304" i="36"/>
  <c r="L304" i="36"/>
  <c r="K272" i="36"/>
  <c r="J780" i="36"/>
  <c r="J777" i="36"/>
  <c r="M333" i="36"/>
  <c r="N734" i="36"/>
  <c r="L734" i="36"/>
  <c r="L172" i="36"/>
  <c r="N172" i="36"/>
  <c r="L401" i="36"/>
  <c r="N513" i="36" l="1"/>
  <c r="L513" i="36"/>
  <c r="G780" i="36"/>
  <c r="M421" i="36"/>
  <c r="N421" i="36"/>
  <c r="N272" i="36"/>
  <c r="L272" i="36"/>
  <c r="K228" i="36"/>
  <c r="K29" i="36" s="1"/>
  <c r="N512" i="36"/>
  <c r="L512" i="36"/>
  <c r="G782" i="36"/>
  <c r="M505" i="36"/>
  <c r="J29" i="36"/>
  <c r="M30" i="36"/>
  <c r="J772" i="36"/>
  <c r="L633" i="36"/>
  <c r="N633" i="36"/>
  <c r="J779" i="36"/>
  <c r="M370" i="36"/>
  <c r="N7" i="36"/>
  <c r="L7" i="36"/>
  <c r="K550" i="36"/>
  <c r="N551" i="36"/>
  <c r="L551" i="36"/>
  <c r="N505" i="36"/>
  <c r="G29" i="36"/>
  <c r="G759" i="36" s="1"/>
  <c r="M587" i="36"/>
  <c r="J550" i="36"/>
  <c r="N30" i="36"/>
  <c r="L30" i="36"/>
  <c r="G783" i="36" l="1"/>
  <c r="N29" i="36"/>
  <c r="L29" i="36"/>
  <c r="M29" i="36"/>
  <c r="G770" i="36"/>
  <c r="G771" i="36"/>
  <c r="K549" i="36"/>
  <c r="N550" i="36"/>
  <c r="L550" i="36"/>
  <c r="L228" i="36"/>
  <c r="N228" i="36"/>
  <c r="J549" i="36"/>
  <c r="M549" i="36" s="1"/>
  <c r="M550" i="36"/>
  <c r="J778" i="36"/>
  <c r="J783" i="36" s="1"/>
  <c r="N549" i="36" l="1"/>
  <c r="L549" i="36"/>
  <c r="K759" i="36"/>
  <c r="J759" i="36"/>
  <c r="J761" i="36" l="1"/>
  <c r="M759" i="36"/>
  <c r="J771" i="36"/>
  <c r="J770" i="36"/>
  <c r="L759" i="36"/>
  <c r="K761" i="36"/>
  <c r="K764" i="36" s="1"/>
  <c r="N759" i="36"/>
  <c r="L761" i="36" l="1"/>
  <c r="N761" i="36"/>
  <c r="M761" i="36"/>
  <c r="J764" i="36"/>
  <c r="E11" i="32" l="1"/>
  <c r="E13" i="32"/>
  <c r="E15" i="32"/>
  <c r="E16" i="32"/>
  <c r="E17" i="32"/>
  <c r="E18" i="32"/>
  <c r="E20" i="32"/>
  <c r="E21" i="32"/>
  <c r="E23" i="32"/>
  <c r="E25" i="32"/>
  <c r="E26" i="32"/>
  <c r="E27" i="32"/>
  <c r="E29" i="32"/>
  <c r="E31" i="32"/>
  <c r="E34" i="32"/>
  <c r="E35" i="32"/>
  <c r="E36" i="32"/>
  <c r="E38" i="32"/>
  <c r="E42" i="32"/>
  <c r="E44" i="32"/>
  <c r="E47" i="32"/>
  <c r="E48" i="32"/>
  <c r="E49" i="32"/>
  <c r="E50" i="32"/>
  <c r="E53" i="32"/>
  <c r="E54" i="32"/>
  <c r="E65" i="32"/>
  <c r="E66" i="32"/>
  <c r="D45" i="32"/>
  <c r="D58" i="32"/>
  <c r="D70" i="32"/>
  <c r="D40" i="32" l="1"/>
  <c r="D39" i="32" s="1"/>
  <c r="E57" i="32" l="1"/>
  <c r="E69" i="32" l="1"/>
  <c r="E59" i="32"/>
  <c r="E62" i="32"/>
  <c r="E71" i="32"/>
  <c r="E45" i="32"/>
  <c r="E61" i="32"/>
  <c r="E67" i="32"/>
  <c r="E63" i="32"/>
  <c r="E60" i="32"/>
  <c r="E68" i="32"/>
  <c r="E58" i="32" l="1"/>
  <c r="E70" i="32"/>
  <c r="E41" i="32" l="1"/>
  <c r="E39" i="32" l="1"/>
  <c r="E40" i="32"/>
  <c r="E78" i="32" l="1"/>
  <c r="J753" i="44" s="1"/>
  <c r="D37" i="32" l="1"/>
  <c r="E37" i="32" s="1"/>
  <c r="D33" i="32"/>
  <c r="E33" i="32" s="1"/>
  <c r="D30" i="32"/>
  <c r="E30" i="32" s="1"/>
  <c r="D28" i="32"/>
  <c r="E28" i="32" s="1"/>
  <c r="D24" i="32"/>
  <c r="E24" i="32" s="1"/>
  <c r="D22" i="32"/>
  <c r="E22" i="32" s="1"/>
  <c r="D19" i="32"/>
  <c r="E19" i="32" s="1"/>
  <c r="D14" i="32"/>
  <c r="E14" i="32" s="1"/>
  <c r="D12" i="32"/>
  <c r="E12" i="32" s="1"/>
  <c r="D10" i="32"/>
  <c r="E10" i="32" s="1"/>
  <c r="D9" i="32" l="1"/>
  <c r="D64" i="32" l="1"/>
  <c r="E64" i="32" s="1"/>
  <c r="E9" i="32"/>
  <c r="J751" i="44" s="1"/>
  <c r="J752" i="44" s="1"/>
  <c r="F393" i="25" l="1"/>
  <c r="E525" i="23" l="1"/>
  <c r="E524" i="23" s="1"/>
  <c r="G163" i="25" l="1"/>
  <c r="F163" i="25"/>
  <c r="G131" i="25"/>
  <c r="F131" i="25"/>
  <c r="E122" i="23" l="1"/>
  <c r="E121" i="23" s="1"/>
  <c r="E120" i="23" s="1"/>
  <c r="E119" i="23" s="1"/>
  <c r="F113" i="22"/>
  <c r="F112" i="22" s="1"/>
  <c r="F111" i="22" s="1"/>
  <c r="F110" i="22" s="1"/>
  <c r="F730" i="22" s="1"/>
  <c r="D74" i="24" s="1"/>
  <c r="E118" i="23" l="1"/>
  <c r="C75" i="24"/>
  <c r="C74" i="24" l="1"/>
  <c r="C661" i="23"/>
  <c r="E288" i="23"/>
  <c r="E287" i="23" s="1"/>
  <c r="E286" i="23" s="1"/>
  <c r="F273" i="22"/>
  <c r="F272" i="22" s="1"/>
  <c r="E131" i="23" l="1"/>
  <c r="F126" i="22" l="1"/>
  <c r="F253" i="25" l="1"/>
  <c r="F240" i="25"/>
  <c r="E599" i="23" l="1"/>
  <c r="F549" i="25"/>
  <c r="G387" i="25"/>
  <c r="G386" i="25" s="1"/>
  <c r="F387" i="25"/>
  <c r="F386" i="25" s="1"/>
  <c r="F378" i="25"/>
  <c r="F286" i="25"/>
  <c r="G277" i="25"/>
  <c r="G276" i="25" s="1"/>
  <c r="F277" i="25"/>
  <c r="F276" i="25" s="1"/>
  <c r="E130" i="23" l="1"/>
  <c r="F122" i="22"/>
  <c r="F540" i="17" l="1"/>
  <c r="F539" i="17" s="1"/>
  <c r="F538" i="17" s="1"/>
  <c r="F537" i="17" s="1"/>
  <c r="F536" i="17" s="1"/>
  <c r="F535" i="17" s="1"/>
  <c r="F533" i="17"/>
  <c r="F532" i="17" s="1"/>
  <c r="F531" i="17" s="1"/>
  <c r="D68" i="18" s="1"/>
  <c r="E533" i="17"/>
  <c r="E532" i="17" s="1"/>
  <c r="E531" i="17" s="1"/>
  <c r="C68" i="18" s="1"/>
  <c r="F528" i="17"/>
  <c r="F527" i="17" s="1"/>
  <c r="E528" i="17"/>
  <c r="E527" i="17" s="1"/>
  <c r="F522" i="17"/>
  <c r="E522" i="17"/>
  <c r="F520" i="17"/>
  <c r="E520" i="17"/>
  <c r="F507" i="17"/>
  <c r="F506" i="17" s="1"/>
  <c r="E507" i="17"/>
  <c r="E506" i="17" s="1"/>
  <c r="F501" i="17"/>
  <c r="E501" i="17"/>
  <c r="F496" i="17"/>
  <c r="E496" i="17"/>
  <c r="F487" i="17"/>
  <c r="F486" i="17" s="1"/>
  <c r="F485" i="17" s="1"/>
  <c r="F478" i="17"/>
  <c r="F477" i="17" s="1"/>
  <c r="F476" i="17" s="1"/>
  <c r="D40" i="18" s="1"/>
  <c r="E478" i="17"/>
  <c r="E477" i="17" s="1"/>
  <c r="E476" i="17" s="1"/>
  <c r="F473" i="17"/>
  <c r="F472" i="17" s="1"/>
  <c r="F471" i="17" s="1"/>
  <c r="E473" i="17"/>
  <c r="E472" i="17" s="1"/>
  <c r="E471" i="17" s="1"/>
  <c r="F467" i="17"/>
  <c r="F466" i="17" s="1"/>
  <c r="F465" i="17" s="1"/>
  <c r="F464" i="17" s="1"/>
  <c r="E467" i="17"/>
  <c r="E466" i="17" s="1"/>
  <c r="E465" i="17" s="1"/>
  <c r="E464" i="17" s="1"/>
  <c r="F454" i="17"/>
  <c r="F453" i="17" s="1"/>
  <c r="F452" i="17" s="1"/>
  <c r="E454" i="17"/>
  <c r="E453" i="17" s="1"/>
  <c r="E452" i="17" s="1"/>
  <c r="F444" i="17"/>
  <c r="F443" i="17" s="1"/>
  <c r="F442" i="17" s="1"/>
  <c r="E444" i="17"/>
  <c r="E443" i="17" s="1"/>
  <c r="E442" i="17" s="1"/>
  <c r="F428" i="17"/>
  <c r="F427" i="17" s="1"/>
  <c r="E428" i="17"/>
  <c r="E427" i="17" s="1"/>
  <c r="F425" i="17"/>
  <c r="E425" i="17"/>
  <c r="F423" i="17"/>
  <c r="E423" i="17"/>
  <c r="F421" i="17"/>
  <c r="E421" i="17"/>
  <c r="F419" i="17"/>
  <c r="F418" i="17" s="1"/>
  <c r="E419" i="17"/>
  <c r="E418" i="17" s="1"/>
  <c r="F416" i="17"/>
  <c r="F414" i="17"/>
  <c r="F408" i="17"/>
  <c r="F407" i="17" s="1"/>
  <c r="F406" i="17" s="1"/>
  <c r="E408" i="17"/>
  <c r="E407" i="17" s="1"/>
  <c r="E406" i="17" s="1"/>
  <c r="F404" i="17"/>
  <c r="F403" i="17" s="1"/>
  <c r="F402" i="17" s="1"/>
  <c r="F401" i="17" s="1"/>
  <c r="E404" i="17"/>
  <c r="E403" i="17" s="1"/>
  <c r="E402" i="17" s="1"/>
  <c r="E401" i="17" s="1"/>
  <c r="F397" i="17"/>
  <c r="F396" i="17" s="1"/>
  <c r="F395" i="17" s="1"/>
  <c r="F394" i="17" s="1"/>
  <c r="F388" i="17"/>
  <c r="F387" i="17" s="1"/>
  <c r="F386" i="17" s="1"/>
  <c r="E388" i="17"/>
  <c r="E387" i="17" s="1"/>
  <c r="E386" i="17" s="1"/>
  <c r="F384" i="17"/>
  <c r="F383" i="17" s="1"/>
  <c r="F382" i="17" s="1"/>
  <c r="D22" i="18" s="1"/>
  <c r="E384" i="17"/>
  <c r="F366" i="17"/>
  <c r="F365" i="17" s="1"/>
  <c r="F364" i="17" s="1"/>
  <c r="E366" i="17"/>
  <c r="E365" i="17" s="1"/>
  <c r="E364" i="17" s="1"/>
  <c r="F362" i="17"/>
  <c r="F361" i="17" s="1"/>
  <c r="E362" i="17"/>
  <c r="E361" i="17" s="1"/>
  <c r="F359" i="17"/>
  <c r="F358" i="17" s="1"/>
  <c r="E359" i="17"/>
  <c r="E358" i="17" s="1"/>
  <c r="F356" i="17"/>
  <c r="F355" i="17" s="1"/>
  <c r="E356" i="17"/>
  <c r="E355" i="17" s="1"/>
  <c r="F353" i="17"/>
  <c r="F352" i="17" s="1"/>
  <c r="E353" i="17"/>
  <c r="E352" i="17" s="1"/>
  <c r="F349" i="17"/>
  <c r="F348" i="17" s="1"/>
  <c r="E349" i="17"/>
  <c r="E348" i="17" s="1"/>
  <c r="F346" i="17"/>
  <c r="F345" i="17" s="1"/>
  <c r="E346" i="17"/>
  <c r="E345" i="17" s="1"/>
  <c r="F343" i="17"/>
  <c r="F342" i="17" s="1"/>
  <c r="E340" i="17"/>
  <c r="E339" i="17" s="1"/>
  <c r="F333" i="17"/>
  <c r="F332" i="17" s="1"/>
  <c r="F330" i="17"/>
  <c r="F329" i="17" s="1"/>
  <c r="E330" i="17"/>
  <c r="E329" i="17" s="1"/>
  <c r="F327" i="17"/>
  <c r="F326" i="17" s="1"/>
  <c r="E327" i="17"/>
  <c r="E326" i="17" s="1"/>
  <c r="F324" i="17"/>
  <c r="F323" i="17" s="1"/>
  <c r="E324" i="17"/>
  <c r="E323" i="17" s="1"/>
  <c r="F321" i="17"/>
  <c r="F320" i="17" s="1"/>
  <c r="E321" i="17"/>
  <c r="E320" i="17" s="1"/>
  <c r="F317" i="17"/>
  <c r="F316" i="17" s="1"/>
  <c r="E317" i="17"/>
  <c r="E316" i="17" s="1"/>
  <c r="F314" i="17"/>
  <c r="F313" i="17" s="1"/>
  <c r="F306" i="17"/>
  <c r="F305" i="17" s="1"/>
  <c r="F304" i="17" s="1"/>
  <c r="D59" i="18" s="1"/>
  <c r="E306" i="17"/>
  <c r="E305" i="17" s="1"/>
  <c r="E304" i="17" s="1"/>
  <c r="C59" i="18" s="1"/>
  <c r="F301" i="17"/>
  <c r="F300" i="17" s="1"/>
  <c r="F299" i="17" s="1"/>
  <c r="E301" i="17"/>
  <c r="E300" i="17" s="1"/>
  <c r="E299" i="17" s="1"/>
  <c r="F297" i="17"/>
  <c r="F296" i="17" s="1"/>
  <c r="F295" i="17" s="1"/>
  <c r="D34" i="18" s="1"/>
  <c r="E297" i="17"/>
  <c r="E296" i="17" s="1"/>
  <c r="E295" i="17" s="1"/>
  <c r="C34" i="18" s="1"/>
  <c r="F290" i="17"/>
  <c r="F289" i="17" s="1"/>
  <c r="E290" i="17"/>
  <c r="E289" i="17" s="1"/>
  <c r="F278" i="17"/>
  <c r="F277" i="17" s="1"/>
  <c r="E278" i="17"/>
  <c r="E277" i="17" s="1"/>
  <c r="F267" i="17"/>
  <c r="F266" i="17" s="1"/>
  <c r="E267" i="17"/>
  <c r="E266" i="17" s="1"/>
  <c r="F264" i="17"/>
  <c r="F263" i="17" s="1"/>
  <c r="E264" i="17"/>
  <c r="E263" i="17" s="1"/>
  <c r="F261" i="17"/>
  <c r="F260" i="17" s="1"/>
  <c r="E261" i="17"/>
  <c r="E260" i="17" s="1"/>
  <c r="F256" i="17"/>
  <c r="F255" i="17" s="1"/>
  <c r="E256" i="17"/>
  <c r="E255" i="17" s="1"/>
  <c r="F253" i="17"/>
  <c r="F252" i="17" s="1"/>
  <c r="E252" i="17"/>
  <c r="F247" i="17"/>
  <c r="F246" i="17" s="1"/>
  <c r="E246" i="17"/>
  <c r="F244" i="17"/>
  <c r="F243" i="17" s="1"/>
  <c r="E244" i="17"/>
  <c r="E243" i="17" s="1"/>
  <c r="F241" i="17"/>
  <c r="E241" i="17"/>
  <c r="F237" i="17"/>
  <c r="E237" i="17"/>
  <c r="F231" i="17"/>
  <c r="F230" i="17" s="1"/>
  <c r="F229" i="17" s="1"/>
  <c r="E231" i="17"/>
  <c r="E230" i="17" s="1"/>
  <c r="E229" i="17" s="1"/>
  <c r="F224" i="17"/>
  <c r="F223" i="17" s="1"/>
  <c r="F222" i="17" s="1"/>
  <c r="E224" i="17"/>
  <c r="E223" i="17" s="1"/>
  <c r="E222" i="17" s="1"/>
  <c r="F220" i="17"/>
  <c r="F219" i="17" s="1"/>
  <c r="F218" i="17" s="1"/>
  <c r="D61" i="18" s="1"/>
  <c r="E220" i="17"/>
  <c r="E219" i="17" s="1"/>
  <c r="E218" i="17" s="1"/>
  <c r="C61" i="18" s="1"/>
  <c r="E215" i="17"/>
  <c r="E214" i="17" s="1"/>
  <c r="E213" i="17" s="1"/>
  <c r="C51" i="18" s="1"/>
  <c r="F209" i="17"/>
  <c r="F208" i="17" s="1"/>
  <c r="E209" i="17"/>
  <c r="E208" i="17" s="1"/>
  <c r="F200" i="17"/>
  <c r="F199" i="17" s="1"/>
  <c r="F198" i="17" s="1"/>
  <c r="D66" i="18" s="1"/>
  <c r="E200" i="17"/>
  <c r="E199" i="17" s="1"/>
  <c r="E198" i="17" s="1"/>
  <c r="C66" i="18" s="1"/>
  <c r="F195" i="17"/>
  <c r="F194" i="17" s="1"/>
  <c r="F193" i="17" s="1"/>
  <c r="F192" i="17" s="1"/>
  <c r="E195" i="17"/>
  <c r="E194" i="17" s="1"/>
  <c r="E193" i="17" s="1"/>
  <c r="E192" i="17" s="1"/>
  <c r="F189" i="17"/>
  <c r="F188" i="17" s="1"/>
  <c r="F187" i="17" s="1"/>
  <c r="F186" i="17" s="1"/>
  <c r="F185" i="17" s="1"/>
  <c r="E189" i="17"/>
  <c r="E188" i="17" s="1"/>
  <c r="E187" i="17" s="1"/>
  <c r="E186" i="17" s="1"/>
  <c r="E185" i="17" s="1"/>
  <c r="F182" i="17"/>
  <c r="F181" i="17" s="1"/>
  <c r="F180" i="17" s="1"/>
  <c r="F179" i="17" s="1"/>
  <c r="E182" i="17"/>
  <c r="E181" i="17" s="1"/>
  <c r="E180" i="17" s="1"/>
  <c r="E179" i="17" s="1"/>
  <c r="F177" i="17"/>
  <c r="F176" i="17" s="1"/>
  <c r="F175" i="17" s="1"/>
  <c r="F174" i="17" s="1"/>
  <c r="E177" i="17"/>
  <c r="E176" i="17" s="1"/>
  <c r="E175" i="17" s="1"/>
  <c r="E174" i="17" s="1"/>
  <c r="F171" i="17"/>
  <c r="F170" i="17" s="1"/>
  <c r="E171" i="17"/>
  <c r="E170" i="17" s="1"/>
  <c r="F161" i="17"/>
  <c r="E161" i="17"/>
  <c r="F159" i="17"/>
  <c r="E159" i="17"/>
  <c r="F156" i="17"/>
  <c r="E156" i="17"/>
  <c r="F151" i="17"/>
  <c r="E151" i="17"/>
  <c r="F143" i="17"/>
  <c r="E143" i="17"/>
  <c r="F138" i="17"/>
  <c r="F137" i="17" s="1"/>
  <c r="E138" i="17"/>
  <c r="E137" i="17" s="1"/>
  <c r="F135" i="17"/>
  <c r="E135" i="17"/>
  <c r="F129" i="17"/>
  <c r="F128" i="17" s="1"/>
  <c r="E129" i="17"/>
  <c r="E128" i="17" s="1"/>
  <c r="F126" i="17"/>
  <c r="F125" i="17" s="1"/>
  <c r="E126" i="17"/>
  <c r="E125" i="17" s="1"/>
  <c r="F119" i="17"/>
  <c r="E119" i="17"/>
  <c r="F117" i="17"/>
  <c r="E117" i="17"/>
  <c r="F108" i="17"/>
  <c r="E108" i="17"/>
  <c r="F101" i="17"/>
  <c r="F100" i="17" s="1"/>
  <c r="E101" i="17"/>
  <c r="E100" i="17" s="1"/>
  <c r="F98" i="17"/>
  <c r="F97" i="17" s="1"/>
  <c r="E98" i="17"/>
  <c r="E97" i="17" s="1"/>
  <c r="F93" i="17"/>
  <c r="F92" i="17" s="1"/>
  <c r="F91" i="17" s="1"/>
  <c r="E93" i="17"/>
  <c r="E92" i="17" s="1"/>
  <c r="E91" i="17" s="1"/>
  <c r="F88" i="17"/>
  <c r="F85" i="17" s="1"/>
  <c r="E88" i="17"/>
  <c r="E85" i="17" s="1"/>
  <c r="F83" i="17"/>
  <c r="F82" i="17" s="1"/>
  <c r="E83" i="17"/>
  <c r="E82" i="17" s="1"/>
  <c r="F79" i="17"/>
  <c r="E79" i="17"/>
  <c r="F77" i="17"/>
  <c r="E77" i="17"/>
  <c r="F68" i="17"/>
  <c r="F67" i="17" s="1"/>
  <c r="E68" i="17"/>
  <c r="E67" i="17" s="1"/>
  <c r="F65" i="17"/>
  <c r="F64" i="17" s="1"/>
  <c r="E65" i="17"/>
  <c r="E64" i="17" s="1"/>
  <c r="F59" i="17"/>
  <c r="F58" i="17" s="1"/>
  <c r="E59" i="17"/>
  <c r="E58" i="17" s="1"/>
  <c r="F56" i="17"/>
  <c r="F55" i="17" s="1"/>
  <c r="E56" i="17"/>
  <c r="E55" i="17" s="1"/>
  <c r="F53" i="17"/>
  <c r="E53" i="17"/>
  <c r="F51" i="17"/>
  <c r="F49" i="17"/>
  <c r="E49" i="17"/>
  <c r="F44" i="17"/>
  <c r="F43" i="17" s="1"/>
  <c r="F42" i="17" s="1"/>
  <c r="F41" i="17" s="1"/>
  <c r="F40" i="17" s="1"/>
  <c r="E44" i="17"/>
  <c r="E43" i="17" s="1"/>
  <c r="E42" i="17" s="1"/>
  <c r="E41" i="17" s="1"/>
  <c r="E40" i="17" s="1"/>
  <c r="F38" i="17"/>
  <c r="E38" i="17"/>
  <c r="F36" i="17"/>
  <c r="E36" i="17"/>
  <c r="F31" i="17"/>
  <c r="F30" i="17" s="1"/>
  <c r="E31" i="17"/>
  <c r="E30" i="17" s="1"/>
  <c r="F28" i="17"/>
  <c r="E28" i="17"/>
  <c r="F26" i="17"/>
  <c r="E26" i="17"/>
  <c r="F24" i="17"/>
  <c r="E24" i="17"/>
  <c r="F21" i="17"/>
  <c r="F20" i="17" s="1"/>
  <c r="E21" i="17"/>
  <c r="E20" i="17" s="1"/>
  <c r="F16" i="17"/>
  <c r="F15" i="17" s="1"/>
  <c r="F14" i="17" s="1"/>
  <c r="E16" i="17"/>
  <c r="E15" i="17" s="1"/>
  <c r="E14" i="17" s="1"/>
  <c r="H12" i="17"/>
  <c r="E620" i="23"/>
  <c r="E619" i="23" s="1"/>
  <c r="E618" i="23" s="1"/>
  <c r="E617" i="23" s="1"/>
  <c r="E605" i="23"/>
  <c r="E604" i="23" s="1"/>
  <c r="E603" i="23"/>
  <c r="E602" i="23" s="1"/>
  <c r="E601" i="23" s="1"/>
  <c r="E598" i="23"/>
  <c r="E597" i="23" s="1"/>
  <c r="E574" i="23"/>
  <c r="E571" i="23"/>
  <c r="E570" i="23" s="1"/>
  <c r="E566" i="23"/>
  <c r="E565" i="23" s="1"/>
  <c r="E563" i="23"/>
  <c r="E562" i="23"/>
  <c r="E561" i="23" s="1"/>
  <c r="E543" i="23"/>
  <c r="E542" i="23" s="1"/>
  <c r="E541" i="23" s="1"/>
  <c r="E540" i="23" s="1"/>
  <c r="C38" i="24" s="1"/>
  <c r="C37" i="24" s="1"/>
  <c r="E538" i="23"/>
  <c r="E537" i="23" s="1"/>
  <c r="E536" i="23" s="1"/>
  <c r="E535" i="23" s="1"/>
  <c r="E532" i="23"/>
  <c r="E531" i="23" s="1"/>
  <c r="E530" i="23" s="1"/>
  <c r="E529" i="23" s="1"/>
  <c r="E528" i="23" s="1"/>
  <c r="E523" i="23"/>
  <c r="E522" i="23" s="1"/>
  <c r="E514" i="23"/>
  <c r="E513" i="23" s="1"/>
  <c r="E490" i="23"/>
  <c r="E489" i="23" s="1"/>
  <c r="E483" i="23"/>
  <c r="E482" i="23" s="1"/>
  <c r="E473" i="23"/>
  <c r="E472" i="23" s="1"/>
  <c r="E471" i="23" s="1"/>
  <c r="E470" i="23" s="1"/>
  <c r="C25" i="24" s="1"/>
  <c r="E469" i="23"/>
  <c r="E468" i="23" s="1"/>
  <c r="E467" i="23" s="1"/>
  <c r="E466" i="23" s="1"/>
  <c r="E465" i="23" s="1"/>
  <c r="E453" i="23"/>
  <c r="E452" i="23" s="1"/>
  <c r="E451" i="23" s="1"/>
  <c r="E450" i="23"/>
  <c r="E449" i="23" s="1"/>
  <c r="E448" i="23" s="1"/>
  <c r="E428" i="23"/>
  <c r="E427" i="23" s="1"/>
  <c r="E426" i="23" s="1"/>
  <c r="E425" i="23" s="1"/>
  <c r="C17" i="24" s="1"/>
  <c r="E423" i="23"/>
  <c r="E422" i="23" s="1"/>
  <c r="E406" i="23"/>
  <c r="E405" i="23" s="1"/>
  <c r="E404" i="23" s="1"/>
  <c r="E402" i="23"/>
  <c r="E401" i="23" s="1"/>
  <c r="E400" i="23" s="1"/>
  <c r="E399" i="23"/>
  <c r="E398" i="23" s="1"/>
  <c r="E397" i="23" s="1"/>
  <c r="E393" i="23"/>
  <c r="E392" i="23" s="1"/>
  <c r="E391" i="23" s="1"/>
  <c r="E382" i="23"/>
  <c r="E381" i="23" s="1"/>
  <c r="E374" i="23"/>
  <c r="E373" i="23" s="1"/>
  <c r="E372" i="23" s="1"/>
  <c r="E371" i="23"/>
  <c r="E370" i="23" s="1"/>
  <c r="E369" i="23" s="1"/>
  <c r="E367" i="23"/>
  <c r="E366" i="23" s="1"/>
  <c r="E365" i="23" s="1"/>
  <c r="E356" i="23"/>
  <c r="E355" i="23" s="1"/>
  <c r="E354" i="23" s="1"/>
  <c r="E353" i="23" s="1"/>
  <c r="E351" i="23"/>
  <c r="E350" i="23" s="1"/>
  <c r="E349" i="23" s="1"/>
  <c r="E348" i="23" s="1"/>
  <c r="C34" i="24" s="1"/>
  <c r="E347" i="23"/>
  <c r="E346" i="23" s="1"/>
  <c r="E345" i="23" s="1"/>
  <c r="E344" i="23" s="1"/>
  <c r="C33" i="24" s="1"/>
  <c r="E340" i="23"/>
  <c r="E339" i="23" s="1"/>
  <c r="E338" i="23" s="1"/>
  <c r="E337" i="23"/>
  <c r="E336" i="23" s="1"/>
  <c r="E335" i="23" s="1"/>
  <c r="E325" i="23"/>
  <c r="E324" i="23" s="1"/>
  <c r="E323" i="23" s="1"/>
  <c r="E285" i="23"/>
  <c r="E284" i="23" s="1"/>
  <c r="E283" i="23" s="1"/>
  <c r="E275" i="23"/>
  <c r="E274" i="23" s="1"/>
  <c r="E247" i="23"/>
  <c r="E246" i="23" s="1"/>
  <c r="E245" i="23" s="1"/>
  <c r="E244" i="23" s="1"/>
  <c r="C60" i="24" s="1"/>
  <c r="E238" i="23"/>
  <c r="E237" i="23"/>
  <c r="E236" i="23" s="1"/>
  <c r="E235" i="23" s="1"/>
  <c r="C49" i="24" s="1"/>
  <c r="C48" i="24" s="1"/>
  <c r="E209" i="23"/>
  <c r="E208" i="23" s="1"/>
  <c r="E207" i="23" s="1"/>
  <c r="E206" i="23" s="1"/>
  <c r="E205" i="23" s="1"/>
  <c r="E196" i="23"/>
  <c r="E195" i="23" s="1"/>
  <c r="E194" i="23" s="1"/>
  <c r="E193" i="23" s="1"/>
  <c r="E192" i="23" s="1"/>
  <c r="E182" i="23"/>
  <c r="E181" i="23" s="1"/>
  <c r="E180" i="23" s="1"/>
  <c r="E170" i="23"/>
  <c r="E169" i="23" s="1"/>
  <c r="E168" i="23"/>
  <c r="E167" i="23" s="1"/>
  <c r="E165" i="23"/>
  <c r="E164" i="23" s="1"/>
  <c r="E163" i="23"/>
  <c r="E162" i="23" s="1"/>
  <c r="E157" i="23"/>
  <c r="E156" i="23" s="1"/>
  <c r="E155" i="23"/>
  <c r="E154" i="23" s="1"/>
  <c r="E152" i="23"/>
  <c r="E151" i="23" s="1"/>
  <c r="E150" i="23" s="1"/>
  <c r="E149" i="23"/>
  <c r="E148" i="23" s="1"/>
  <c r="E143" i="23"/>
  <c r="E142" i="23" s="1"/>
  <c r="E140" i="23"/>
  <c r="E139" i="23" s="1"/>
  <c r="E138" i="23" s="1"/>
  <c r="E137" i="23"/>
  <c r="E136" i="23" s="1"/>
  <c r="E135" i="23" s="1"/>
  <c r="E134" i="23"/>
  <c r="E133" i="23"/>
  <c r="E128" i="23"/>
  <c r="E127" i="23" s="1"/>
  <c r="E115" i="23"/>
  <c r="E114" i="23" s="1"/>
  <c r="E108" i="23"/>
  <c r="E107" i="23" s="1"/>
  <c r="E106" i="23" s="1"/>
  <c r="E100" i="23"/>
  <c r="E99" i="23" s="1"/>
  <c r="E98" i="23" s="1"/>
  <c r="E97" i="23" s="1"/>
  <c r="E93" i="23"/>
  <c r="E92" i="23" s="1"/>
  <c r="E89" i="23"/>
  <c r="E88" i="23" s="1"/>
  <c r="E78" i="23"/>
  <c r="E77" i="23" s="1"/>
  <c r="E76" i="23" s="1"/>
  <c r="E74" i="23"/>
  <c r="E73" i="23" s="1"/>
  <c r="E57" i="23"/>
  <c r="E49" i="23"/>
  <c r="E48" i="23" s="1"/>
  <c r="E47" i="23" s="1"/>
  <c r="E46" i="23" s="1"/>
  <c r="E45" i="23" s="1"/>
  <c r="E44" i="23" s="1"/>
  <c r="E43" i="23"/>
  <c r="E42" i="23" s="1"/>
  <c r="E36" i="23"/>
  <c r="E35" i="23" s="1"/>
  <c r="E34" i="23" s="1"/>
  <c r="E33" i="23"/>
  <c r="E32" i="23" s="1"/>
  <c r="E31" i="23"/>
  <c r="E30" i="23" s="1"/>
  <c r="F683" i="25"/>
  <c r="G682" i="25"/>
  <c r="G680" i="25"/>
  <c r="F680" i="25"/>
  <c r="G677" i="25"/>
  <c r="G676" i="25" s="1"/>
  <c r="F677" i="25"/>
  <c r="F676" i="25" s="1"/>
  <c r="G670" i="25"/>
  <c r="G669" i="25" s="1"/>
  <c r="F670" i="25"/>
  <c r="F669" i="25" s="1"/>
  <c r="G667" i="25"/>
  <c r="G666" i="25" s="1"/>
  <c r="F667" i="25"/>
  <c r="F666" i="25" s="1"/>
  <c r="F664" i="25"/>
  <c r="F663" i="25" s="1"/>
  <c r="G664" i="25"/>
  <c r="G663" i="25" s="1"/>
  <c r="G661" i="25"/>
  <c r="G660" i="25" s="1"/>
  <c r="G659" i="25" s="1"/>
  <c r="G658" i="25" s="1"/>
  <c r="G656" i="25"/>
  <c r="G653" i="25" s="1"/>
  <c r="G652" i="25" s="1"/>
  <c r="G651" i="25" s="1"/>
  <c r="G650" i="25" s="1"/>
  <c r="G649" i="25" s="1"/>
  <c r="F656" i="25"/>
  <c r="F653" i="25" s="1"/>
  <c r="F652" i="25" s="1"/>
  <c r="F651" i="25" s="1"/>
  <c r="F650" i="25" s="1"/>
  <c r="F649" i="25" s="1"/>
  <c r="G647" i="25"/>
  <c r="G646" i="25" s="1"/>
  <c r="G645" i="25" s="1"/>
  <c r="G644" i="25" s="1"/>
  <c r="G643" i="25" s="1"/>
  <c r="F647" i="25"/>
  <c r="F646" i="25" s="1"/>
  <c r="F645" i="25" s="1"/>
  <c r="F644" i="25" s="1"/>
  <c r="F643" i="25" s="1"/>
  <c r="G640" i="25"/>
  <c r="G639" i="25" s="1"/>
  <c r="F640" i="25"/>
  <c r="F639" i="25" s="1"/>
  <c r="G637" i="25"/>
  <c r="F637" i="25"/>
  <c r="G635" i="25"/>
  <c r="F635" i="25"/>
  <c r="G633" i="25"/>
  <c r="F633" i="25"/>
  <c r="G630" i="25"/>
  <c r="F630" i="25"/>
  <c r="G628" i="25"/>
  <c r="F627" i="25"/>
  <c r="E414" i="17" s="1"/>
  <c r="G626" i="25"/>
  <c r="G620" i="25"/>
  <c r="G619" i="25" s="1"/>
  <c r="G618" i="25" s="1"/>
  <c r="F620" i="25"/>
  <c r="F619" i="25" s="1"/>
  <c r="F618" i="25" s="1"/>
  <c r="G616" i="25"/>
  <c r="F616" i="25"/>
  <c r="G614" i="25"/>
  <c r="F614" i="25"/>
  <c r="G612" i="25"/>
  <c r="F612" i="25"/>
  <c r="G608" i="25"/>
  <c r="G607" i="25" s="1"/>
  <c r="G606" i="25" s="1"/>
  <c r="F608" i="25"/>
  <c r="F607" i="25" s="1"/>
  <c r="F606" i="25" s="1"/>
  <c r="G601" i="25"/>
  <c r="G600" i="25" s="1"/>
  <c r="F601" i="25"/>
  <c r="F600" i="25" s="1"/>
  <c r="G598" i="25"/>
  <c r="G597" i="25" s="1"/>
  <c r="F598" i="25"/>
  <c r="F597" i="25" s="1"/>
  <c r="G595" i="25"/>
  <c r="G594" i="25" s="1"/>
  <c r="F595" i="25"/>
  <c r="F594" i="25" s="1"/>
  <c r="G592" i="25"/>
  <c r="G591" i="25" s="1"/>
  <c r="F592" i="25"/>
  <c r="F591" i="25" s="1"/>
  <c r="G589" i="25"/>
  <c r="G588" i="25" s="1"/>
  <c r="F589" i="25"/>
  <c r="F588" i="25" s="1"/>
  <c r="G585" i="25"/>
  <c r="G584" i="25" s="1"/>
  <c r="G583" i="25" s="1"/>
  <c r="F585" i="25"/>
  <c r="F584" i="25" s="1"/>
  <c r="F583" i="25" s="1"/>
  <c r="F579" i="25"/>
  <c r="G578" i="25"/>
  <c r="G577" i="25" s="1"/>
  <c r="G576" i="25" s="1"/>
  <c r="G574" i="25"/>
  <c r="G573" i="25" s="1"/>
  <c r="G572" i="25" s="1"/>
  <c r="F574" i="25"/>
  <c r="F573" i="25" s="1"/>
  <c r="F572" i="25" s="1"/>
  <c r="G570" i="25"/>
  <c r="G569" i="25" s="1"/>
  <c r="F570" i="25"/>
  <c r="F569" i="25" s="1"/>
  <c r="G567" i="25"/>
  <c r="G566" i="25" s="1"/>
  <c r="F567" i="25"/>
  <c r="F566" i="25" s="1"/>
  <c r="G564" i="25"/>
  <c r="G563" i="25" s="1"/>
  <c r="F564" i="25"/>
  <c r="F563" i="25" s="1"/>
  <c r="G561" i="25"/>
  <c r="G560" i="25" s="1"/>
  <c r="F561" i="25"/>
  <c r="F560" i="25" s="1"/>
  <c r="G558" i="25"/>
  <c r="G557" i="25" s="1"/>
  <c r="F558" i="25"/>
  <c r="F557" i="25" s="1"/>
  <c r="G554" i="25"/>
  <c r="G553" i="25" s="1"/>
  <c r="F554" i="25"/>
  <c r="F553" i="25" s="1"/>
  <c r="G551" i="25"/>
  <c r="G550" i="25" s="1"/>
  <c r="F551" i="25"/>
  <c r="F550" i="25" s="1"/>
  <c r="E343" i="17"/>
  <c r="E342" i="17" s="1"/>
  <c r="G548" i="25"/>
  <c r="G547" i="25" s="1"/>
  <c r="F548" i="25"/>
  <c r="F547" i="25" s="1"/>
  <c r="G546" i="25"/>
  <c r="F340" i="17" s="1"/>
  <c r="F339" i="17" s="1"/>
  <c r="G545" i="25"/>
  <c r="G544" i="25" s="1"/>
  <c r="F545" i="25"/>
  <c r="F544" i="25" s="1"/>
  <c r="G538" i="25"/>
  <c r="G537" i="25" s="1"/>
  <c r="G536" i="25" s="1"/>
  <c r="F538" i="25"/>
  <c r="F537" i="25" s="1"/>
  <c r="F536" i="25" s="1"/>
  <c r="G534" i="25"/>
  <c r="G533" i="25" s="1"/>
  <c r="F534" i="25"/>
  <c r="E333" i="17" s="1"/>
  <c r="E332" i="17" s="1"/>
  <c r="G531" i="25"/>
  <c r="G530" i="25" s="1"/>
  <c r="F531" i="25"/>
  <c r="F530" i="25" s="1"/>
  <c r="G528" i="25"/>
  <c r="G527" i="25" s="1"/>
  <c r="F528" i="25"/>
  <c r="F527" i="25" s="1"/>
  <c r="G525" i="25"/>
  <c r="G524" i="25" s="1"/>
  <c r="F525" i="25"/>
  <c r="F524" i="25" s="1"/>
  <c r="G522" i="25"/>
  <c r="G521" i="25" s="1"/>
  <c r="F522" i="25"/>
  <c r="F521" i="25" s="1"/>
  <c r="G519" i="25"/>
  <c r="G518" i="25" s="1"/>
  <c r="F519" i="25"/>
  <c r="F518" i="25" s="1"/>
  <c r="G516" i="25"/>
  <c r="G515" i="25" s="1"/>
  <c r="F516" i="25"/>
  <c r="F515" i="25" s="1"/>
  <c r="G512" i="25"/>
  <c r="G511" i="25" s="1"/>
  <c r="F512" i="25"/>
  <c r="F511" i="25" s="1"/>
  <c r="F510" i="25"/>
  <c r="E314" i="17" s="1"/>
  <c r="E313" i="17" s="1"/>
  <c r="G509" i="25"/>
  <c r="G508" i="25" s="1"/>
  <c r="G500" i="25"/>
  <c r="G499" i="25" s="1"/>
  <c r="G498" i="25" s="1"/>
  <c r="F500" i="25"/>
  <c r="F499" i="25" s="1"/>
  <c r="F498" i="25" s="1"/>
  <c r="G496" i="25"/>
  <c r="G495" i="25" s="1"/>
  <c r="G494" i="25" s="1"/>
  <c r="G493" i="25" s="1"/>
  <c r="F496" i="25"/>
  <c r="F495" i="25" s="1"/>
  <c r="F494" i="25" s="1"/>
  <c r="F493" i="25" s="1"/>
  <c r="G490" i="25"/>
  <c r="G489" i="25" s="1"/>
  <c r="G488" i="25" s="1"/>
  <c r="G487" i="25" s="1"/>
  <c r="F490" i="25"/>
  <c r="F489" i="25" s="1"/>
  <c r="F488" i="25" s="1"/>
  <c r="F487" i="25" s="1"/>
  <c r="G485" i="25"/>
  <c r="G484" i="25" s="1"/>
  <c r="F485" i="25"/>
  <c r="F484" i="25" s="1"/>
  <c r="G482" i="25"/>
  <c r="F482" i="25"/>
  <c r="G480" i="25"/>
  <c r="F480" i="25"/>
  <c r="G478" i="25"/>
  <c r="F478" i="25"/>
  <c r="G475" i="25"/>
  <c r="G474" i="25" s="1"/>
  <c r="F475" i="25"/>
  <c r="F474" i="25" s="1"/>
  <c r="F469" i="25"/>
  <c r="E540" i="17" s="1"/>
  <c r="E539" i="17" s="1"/>
  <c r="E538" i="17" s="1"/>
  <c r="E537" i="17" s="1"/>
  <c r="E536" i="17" s="1"/>
  <c r="E535" i="17" s="1"/>
  <c r="G468" i="25"/>
  <c r="G467" i="25" s="1"/>
  <c r="G466" i="25" s="1"/>
  <c r="G465" i="25" s="1"/>
  <c r="G464" i="25" s="1"/>
  <c r="G463" i="25" s="1"/>
  <c r="G461" i="25"/>
  <c r="G460" i="25" s="1"/>
  <c r="G459" i="25" s="1"/>
  <c r="F461" i="25"/>
  <c r="F460" i="25" s="1"/>
  <c r="F459" i="25" s="1"/>
  <c r="G456" i="25"/>
  <c r="G455" i="25" s="1"/>
  <c r="F456" i="25"/>
  <c r="F455" i="25" s="1"/>
  <c r="G453" i="25"/>
  <c r="G452" i="25" s="1"/>
  <c r="F453" i="25"/>
  <c r="F452" i="25" s="1"/>
  <c r="F450" i="25"/>
  <c r="F449" i="25" s="1"/>
  <c r="G447" i="25"/>
  <c r="G446" i="25" s="1"/>
  <c r="F447" i="25"/>
  <c r="F446" i="25" s="1"/>
  <c r="G443" i="25"/>
  <c r="F443" i="25"/>
  <c r="G441" i="25"/>
  <c r="F441" i="25"/>
  <c r="G434" i="25"/>
  <c r="G433" i="25" s="1"/>
  <c r="F434" i="25"/>
  <c r="F433" i="25" s="1"/>
  <c r="G431" i="25"/>
  <c r="G430" i="25" s="1"/>
  <c r="F431" i="25"/>
  <c r="F430" i="25" s="1"/>
  <c r="G428" i="25"/>
  <c r="G427" i="25" s="1"/>
  <c r="F428" i="25"/>
  <c r="F427" i="25" s="1"/>
  <c r="G424" i="25"/>
  <c r="F424" i="25"/>
  <c r="G422" i="25"/>
  <c r="F422" i="25"/>
  <c r="G420" i="25"/>
  <c r="F420" i="25"/>
  <c r="F414" i="25"/>
  <c r="E487" i="17" s="1"/>
  <c r="E486" i="17" s="1"/>
  <c r="E485" i="17" s="1"/>
  <c r="G413" i="25"/>
  <c r="G412" i="25" s="1"/>
  <c r="G411" i="25" s="1"/>
  <c r="G410" i="25"/>
  <c r="F483" i="17" s="1"/>
  <c r="F482" i="17" s="1"/>
  <c r="F481" i="17" s="1"/>
  <c r="D53" i="18" s="1"/>
  <c r="F410" i="25"/>
  <c r="E483" i="17" s="1"/>
  <c r="E482" i="17" s="1"/>
  <c r="E481" i="17" s="1"/>
  <c r="G404" i="25"/>
  <c r="G403" i="25" s="1"/>
  <c r="G402" i="25" s="1"/>
  <c r="G401" i="25" s="1"/>
  <c r="F404" i="25"/>
  <c r="F403" i="25" s="1"/>
  <c r="G398" i="25"/>
  <c r="G397" i="25" s="1"/>
  <c r="G396" i="25" s="1"/>
  <c r="G395" i="25" s="1"/>
  <c r="F398" i="25"/>
  <c r="F397" i="25" s="1"/>
  <c r="F396" i="25" s="1"/>
  <c r="F395" i="25" s="1"/>
  <c r="F392" i="25"/>
  <c r="F391" i="25" s="1"/>
  <c r="F390" i="25" s="1"/>
  <c r="F389" i="25" s="1"/>
  <c r="G384" i="25"/>
  <c r="G383" i="25" s="1"/>
  <c r="F384" i="25"/>
  <c r="F383" i="25" s="1"/>
  <c r="G377" i="25"/>
  <c r="G376" i="25" s="1"/>
  <c r="G375" i="25" s="1"/>
  <c r="F377" i="25"/>
  <c r="F376" i="25" s="1"/>
  <c r="F375" i="25" s="1"/>
  <c r="G373" i="25"/>
  <c r="G372" i="25" s="1"/>
  <c r="F373" i="25"/>
  <c r="F372" i="25" s="1"/>
  <c r="G370" i="25"/>
  <c r="G369" i="25" s="1"/>
  <c r="F370" i="25"/>
  <c r="F369" i="25" s="1"/>
  <c r="G367" i="25"/>
  <c r="G366" i="25" s="1"/>
  <c r="F367" i="25"/>
  <c r="F366" i="25" s="1"/>
  <c r="G364" i="25"/>
  <c r="G363" i="25" s="1"/>
  <c r="F364" i="25"/>
  <c r="F363" i="25" s="1"/>
  <c r="G360" i="25"/>
  <c r="G359" i="25" s="1"/>
  <c r="F360" i="25"/>
  <c r="F359" i="25" s="1"/>
  <c r="F354" i="25"/>
  <c r="G353" i="25"/>
  <c r="G352" i="25" s="1"/>
  <c r="G351" i="25" s="1"/>
  <c r="G349" i="25"/>
  <c r="G348" i="25" s="1"/>
  <c r="F349" i="25"/>
  <c r="F348" i="25" s="1"/>
  <c r="F347" i="25"/>
  <c r="F346" i="25" s="1"/>
  <c r="F345" i="25" s="1"/>
  <c r="G346" i="25"/>
  <c r="G345" i="25" s="1"/>
  <c r="G339" i="25"/>
  <c r="G338" i="25" s="1"/>
  <c r="F339" i="25"/>
  <c r="F338" i="25" s="1"/>
  <c r="G334" i="25"/>
  <c r="G333" i="25" s="1"/>
  <c r="G332" i="25" s="1"/>
  <c r="F334" i="25"/>
  <c r="F333" i="25" s="1"/>
  <c r="F332" i="25" s="1"/>
  <c r="G330" i="25"/>
  <c r="G329" i="25" s="1"/>
  <c r="G328" i="25" s="1"/>
  <c r="F330" i="25"/>
  <c r="F329" i="25" s="1"/>
  <c r="F328" i="25" s="1"/>
  <c r="G323" i="25"/>
  <c r="G322" i="25" s="1"/>
  <c r="F323" i="25"/>
  <c r="F322" i="25" s="1"/>
  <c r="G320" i="25"/>
  <c r="G319" i="25" s="1"/>
  <c r="F320" i="25"/>
  <c r="F319" i="25" s="1"/>
  <c r="G314" i="25"/>
  <c r="G313" i="25" s="1"/>
  <c r="F314" i="25"/>
  <c r="F313" i="25" s="1"/>
  <c r="G311" i="25"/>
  <c r="G310" i="25" s="1"/>
  <c r="F311" i="25"/>
  <c r="F310" i="25" s="1"/>
  <c r="G309" i="25"/>
  <c r="F281" i="17" s="1"/>
  <c r="F280" i="17" s="1"/>
  <c r="F309" i="25"/>
  <c r="G305" i="25"/>
  <c r="G304" i="25" s="1"/>
  <c r="F305" i="25"/>
  <c r="F304" i="25" s="1"/>
  <c r="G300" i="25"/>
  <c r="G299" i="25" s="1"/>
  <c r="F300" i="25"/>
  <c r="F299" i="25" s="1"/>
  <c r="G298" i="25"/>
  <c r="F273" i="17" s="1"/>
  <c r="F272" i="17" s="1"/>
  <c r="F271" i="17" s="1"/>
  <c r="F298" i="25"/>
  <c r="G291" i="25"/>
  <c r="G290" i="25" s="1"/>
  <c r="F291" i="25"/>
  <c r="F290" i="25" s="1"/>
  <c r="G288" i="25"/>
  <c r="G287" i="25" s="1"/>
  <c r="F288" i="25"/>
  <c r="F287" i="25" s="1"/>
  <c r="G285" i="25"/>
  <c r="G284" i="25" s="1"/>
  <c r="F285" i="25"/>
  <c r="F284" i="25" s="1"/>
  <c r="G280" i="25"/>
  <c r="G279" i="25" s="1"/>
  <c r="F280" i="25"/>
  <c r="F279" i="25" s="1"/>
  <c r="G274" i="25"/>
  <c r="G273" i="25" s="1"/>
  <c r="F274" i="25"/>
  <c r="F273" i="25" s="1"/>
  <c r="G271" i="25"/>
  <c r="G270" i="25" s="1"/>
  <c r="F271" i="25"/>
  <c r="F270" i="25" s="1"/>
  <c r="G261" i="25"/>
  <c r="G260" i="25" s="1"/>
  <c r="F261" i="25"/>
  <c r="F260" i="25" s="1"/>
  <c r="G258" i="25"/>
  <c r="G257" i="25" s="1"/>
  <c r="F258" i="25"/>
  <c r="F257" i="25" s="1"/>
  <c r="G255" i="25"/>
  <c r="G254" i="25" s="1"/>
  <c r="F255" i="25"/>
  <c r="F254" i="25" s="1"/>
  <c r="G252" i="25"/>
  <c r="G251" i="25" s="1"/>
  <c r="F252" i="25"/>
  <c r="F251" i="25" s="1"/>
  <c r="G249" i="25"/>
  <c r="G248" i="25" s="1"/>
  <c r="F249" i="25"/>
  <c r="F248" i="25" s="1"/>
  <c r="G246" i="25"/>
  <c r="G245" i="25" s="1"/>
  <c r="F246" i="25"/>
  <c r="F245" i="25" s="1"/>
  <c r="G243" i="25"/>
  <c r="F243" i="25"/>
  <c r="F242" i="25"/>
  <c r="G239" i="25"/>
  <c r="F239" i="25"/>
  <c r="G233" i="25"/>
  <c r="G232" i="25" s="1"/>
  <c r="G231" i="25" s="1"/>
  <c r="G230" i="25" s="1"/>
  <c r="F233" i="25"/>
  <c r="F232" i="25" s="1"/>
  <c r="F231" i="25" s="1"/>
  <c r="F230" i="25" s="1"/>
  <c r="G228" i="25"/>
  <c r="G227" i="25" s="1"/>
  <c r="G226" i="25" s="1"/>
  <c r="F228" i="25"/>
  <c r="F227" i="25" s="1"/>
  <c r="F226" i="25" s="1"/>
  <c r="G221" i="25"/>
  <c r="G220" i="25" s="1"/>
  <c r="G219" i="25" s="1"/>
  <c r="F221" i="25"/>
  <c r="F220" i="25" s="1"/>
  <c r="F219" i="25" s="1"/>
  <c r="G217" i="25"/>
  <c r="G216" i="25" s="1"/>
  <c r="G215" i="25" s="1"/>
  <c r="F217" i="25"/>
  <c r="F216" i="25" s="1"/>
  <c r="F215" i="25" s="1"/>
  <c r="G212" i="25"/>
  <c r="G211" i="25" s="1"/>
  <c r="G210" i="25" s="1"/>
  <c r="F212" i="25"/>
  <c r="F211" i="25" s="1"/>
  <c r="F210" i="25" s="1"/>
  <c r="G206" i="25"/>
  <c r="G205" i="25" s="1"/>
  <c r="F206" i="25"/>
  <c r="F205" i="25" s="1"/>
  <c r="G203" i="25"/>
  <c r="G202" i="25" s="1"/>
  <c r="F203" i="25"/>
  <c r="F202" i="25" s="1"/>
  <c r="G201" i="25"/>
  <c r="F206" i="17" s="1"/>
  <c r="F205" i="17" s="1"/>
  <c r="F201" i="25"/>
  <c r="G194" i="25"/>
  <c r="G193" i="25" s="1"/>
  <c r="G192" i="25" s="1"/>
  <c r="F194" i="25"/>
  <c r="F193" i="25" s="1"/>
  <c r="F192" i="25" s="1"/>
  <c r="G189" i="25"/>
  <c r="G188" i="25" s="1"/>
  <c r="F189" i="25"/>
  <c r="F188" i="25" s="1"/>
  <c r="G183" i="25"/>
  <c r="G182" i="25" s="1"/>
  <c r="F183" i="25"/>
  <c r="F182" i="25" s="1"/>
  <c r="F181" i="25" s="1"/>
  <c r="G176" i="25"/>
  <c r="G175" i="25" s="1"/>
  <c r="G174" i="25" s="1"/>
  <c r="G173" i="25" s="1"/>
  <c r="F176" i="25"/>
  <c r="F175" i="25" s="1"/>
  <c r="F174" i="25" s="1"/>
  <c r="F173" i="25" s="1"/>
  <c r="G171" i="25"/>
  <c r="G170" i="25" s="1"/>
  <c r="G169" i="25" s="1"/>
  <c r="G168" i="25" s="1"/>
  <c r="F171" i="25"/>
  <c r="F170" i="25" s="1"/>
  <c r="F169" i="25" s="1"/>
  <c r="F168" i="25" s="1"/>
  <c r="G165" i="25"/>
  <c r="G164" i="25" s="1"/>
  <c r="F165" i="25"/>
  <c r="F164" i="25" s="1"/>
  <c r="G162" i="25"/>
  <c r="G161" i="25" s="1"/>
  <c r="G160" i="25" s="1"/>
  <c r="F162" i="25"/>
  <c r="E168" i="17" s="1"/>
  <c r="E167" i="17" s="1"/>
  <c r="G155" i="25"/>
  <c r="F155" i="25"/>
  <c r="G153" i="25"/>
  <c r="F153" i="25"/>
  <c r="G150" i="25"/>
  <c r="F150" i="25"/>
  <c r="G149" i="25"/>
  <c r="F154" i="17" s="1"/>
  <c r="F149" i="25"/>
  <c r="G145" i="25"/>
  <c r="F145" i="25"/>
  <c r="G144" i="25"/>
  <c r="F149" i="17" s="1"/>
  <c r="F144" i="25"/>
  <c r="F143" i="25" s="1"/>
  <c r="G140" i="25"/>
  <c r="F140" i="25"/>
  <c r="G139" i="25"/>
  <c r="F141" i="17" s="1"/>
  <c r="F139" i="25"/>
  <c r="F138" i="25" s="1"/>
  <c r="G135" i="25"/>
  <c r="G134" i="25" s="1"/>
  <c r="F135" i="25"/>
  <c r="F134" i="25" s="1"/>
  <c r="G132" i="25"/>
  <c r="F132" i="25"/>
  <c r="F133" i="17"/>
  <c r="E133" i="17"/>
  <c r="F130" i="25"/>
  <c r="G126" i="25"/>
  <c r="G125" i="25" s="1"/>
  <c r="F126" i="25"/>
  <c r="F125" i="25" s="1"/>
  <c r="G123" i="25"/>
  <c r="F123" i="25"/>
  <c r="G121" i="25"/>
  <c r="G120" i="25" s="1"/>
  <c r="F121" i="25"/>
  <c r="F120" i="25" s="1"/>
  <c r="G119" i="25"/>
  <c r="F122" i="17" s="1"/>
  <c r="F121" i="17" s="1"/>
  <c r="F119" i="25"/>
  <c r="G114" i="25"/>
  <c r="F114" i="25"/>
  <c r="G112" i="25"/>
  <c r="F112" i="25"/>
  <c r="G108" i="25"/>
  <c r="F108" i="25"/>
  <c r="G107" i="25"/>
  <c r="F106" i="17" s="1"/>
  <c r="F107" i="25"/>
  <c r="G101" i="25"/>
  <c r="G100" i="25" s="1"/>
  <c r="F101" i="25"/>
  <c r="F100" i="25" s="1"/>
  <c r="G98" i="25"/>
  <c r="G97" i="25" s="1"/>
  <c r="F98" i="25"/>
  <c r="F97" i="25" s="1"/>
  <c r="G93" i="25"/>
  <c r="G92" i="25" s="1"/>
  <c r="G91" i="25" s="1"/>
  <c r="F93" i="25"/>
  <c r="F92" i="25" s="1"/>
  <c r="F91" i="25" s="1"/>
  <c r="G88" i="25"/>
  <c r="G87" i="25" s="1"/>
  <c r="F88" i="25"/>
  <c r="F87" i="25" s="1"/>
  <c r="G85" i="25"/>
  <c r="G84" i="25" s="1"/>
  <c r="F85" i="25"/>
  <c r="F84" i="25" s="1"/>
  <c r="G81" i="25"/>
  <c r="F81" i="25"/>
  <c r="G79" i="25"/>
  <c r="F79" i="25"/>
  <c r="G78" i="25"/>
  <c r="F75" i="17" s="1"/>
  <c r="F78" i="25"/>
  <c r="G73" i="25"/>
  <c r="G72" i="25" s="1"/>
  <c r="F73" i="25"/>
  <c r="F72" i="25" s="1"/>
  <c r="G70" i="25"/>
  <c r="G69" i="25" s="1"/>
  <c r="F70" i="25"/>
  <c r="F69" i="25" s="1"/>
  <c r="G64" i="25"/>
  <c r="G63" i="25" s="1"/>
  <c r="G62" i="25" s="1"/>
  <c r="G61" i="25" s="1"/>
  <c r="F64" i="25"/>
  <c r="F63" i="25" s="1"/>
  <c r="F62" i="25" s="1"/>
  <c r="F61" i="25" s="1"/>
  <c r="G59" i="25"/>
  <c r="G58" i="25" s="1"/>
  <c r="G57" i="25" s="1"/>
  <c r="G56" i="25" s="1"/>
  <c r="F59" i="25"/>
  <c r="F58" i="25" s="1"/>
  <c r="F57" i="25" s="1"/>
  <c r="F56" i="25" s="1"/>
  <c r="G54" i="25"/>
  <c r="G53" i="25" s="1"/>
  <c r="F54" i="25"/>
  <c r="F53" i="25" s="1"/>
  <c r="G48" i="25"/>
  <c r="F48" i="25"/>
  <c r="G46" i="25"/>
  <c r="F46" i="25"/>
  <c r="G41" i="25"/>
  <c r="G40" i="25" s="1"/>
  <c r="G39" i="25" s="1"/>
  <c r="G38" i="25" s="1"/>
  <c r="F41" i="25"/>
  <c r="F40" i="25" s="1"/>
  <c r="F39" i="25" s="1"/>
  <c r="F38" i="25" s="1"/>
  <c r="G34" i="25"/>
  <c r="G33" i="25" s="1"/>
  <c r="G32" i="25" s="1"/>
  <c r="F34" i="25"/>
  <c r="F33" i="25" s="1"/>
  <c r="F32" i="25" s="1"/>
  <c r="F31" i="25" s="1"/>
  <c r="G29" i="25"/>
  <c r="G28" i="25" s="1"/>
  <c r="G27" i="25" s="1"/>
  <c r="F29" i="25"/>
  <c r="F28" i="25" s="1"/>
  <c r="F27" i="25" s="1"/>
  <c r="G23" i="25"/>
  <c r="F23" i="25"/>
  <c r="G21" i="25"/>
  <c r="F21" i="25"/>
  <c r="G19" i="25"/>
  <c r="F19" i="25"/>
  <c r="H173" i="17"/>
  <c r="F676" i="22"/>
  <c r="E61" i="23"/>
  <c r="E60" i="23" s="1"/>
  <c r="E59" i="23" s="1"/>
  <c r="F653" i="22"/>
  <c r="F650" i="22" s="1"/>
  <c r="F644" i="22"/>
  <c r="F643" i="22" s="1"/>
  <c r="F642" i="22" s="1"/>
  <c r="F641" i="22" s="1"/>
  <c r="F640" i="22" s="1"/>
  <c r="E493" i="23"/>
  <c r="E492" i="23" s="1"/>
  <c r="E491" i="23" s="1"/>
  <c r="F625" i="22"/>
  <c r="E486" i="23"/>
  <c r="E485" i="23" s="1"/>
  <c r="F618" i="22"/>
  <c r="E481" i="23"/>
  <c r="E480" i="23" s="1"/>
  <c r="E479" i="23"/>
  <c r="E478" i="23" s="1"/>
  <c r="F608" i="22"/>
  <c r="F607" i="22" s="1"/>
  <c r="F606" i="22" s="1"/>
  <c r="F604" i="22"/>
  <c r="F603" i="22" s="1"/>
  <c r="F602" i="22" s="1"/>
  <c r="F601" i="22" s="1"/>
  <c r="F593" i="22"/>
  <c r="F592" i="22" s="1"/>
  <c r="F590" i="22"/>
  <c r="F589" i="22" s="1"/>
  <c r="F587" i="22"/>
  <c r="F586" i="22" s="1"/>
  <c r="E446" i="23"/>
  <c r="E445" i="23" s="1"/>
  <c r="E444" i="23" s="1"/>
  <c r="E443" i="23" s="1"/>
  <c r="F572" i="22"/>
  <c r="F571" i="22" s="1"/>
  <c r="F570" i="22" s="1"/>
  <c r="F565" i="22"/>
  <c r="F564" i="22" s="1"/>
  <c r="F563" i="22" s="1"/>
  <c r="E421" i="23"/>
  <c r="E420" i="23" s="1"/>
  <c r="E419" i="23" s="1"/>
  <c r="E418" i="23"/>
  <c r="E417" i="23" s="1"/>
  <c r="E416" i="23" s="1"/>
  <c r="F555" i="22"/>
  <c r="F554" i="22" s="1"/>
  <c r="F552" i="22"/>
  <c r="F551" i="22" s="1"/>
  <c r="F549" i="22"/>
  <c r="F548" i="22" s="1"/>
  <c r="F546" i="22"/>
  <c r="F545" i="22" s="1"/>
  <c r="F542" i="22"/>
  <c r="F541" i="22" s="1"/>
  <c r="F539" i="22"/>
  <c r="F538" i="22" s="1"/>
  <c r="E396" i="23"/>
  <c r="E395" i="23" s="1"/>
  <c r="E394" i="23" s="1"/>
  <c r="F533" i="22"/>
  <c r="F532" i="22" s="1"/>
  <c r="E386" i="23"/>
  <c r="E385" i="23" s="1"/>
  <c r="E384" i="23" s="1"/>
  <c r="F523" i="22"/>
  <c r="F522" i="22" s="1"/>
  <c r="E377" i="23"/>
  <c r="E376" i="23" s="1"/>
  <c r="E375" i="23" s="1"/>
  <c r="F508" i="22"/>
  <c r="F507" i="22" s="1"/>
  <c r="F505" i="22"/>
  <c r="F504" i="22" s="1"/>
  <c r="F502" i="22"/>
  <c r="F501" i="22" s="1"/>
  <c r="F498" i="22"/>
  <c r="F497" i="22" s="1"/>
  <c r="F486" i="22"/>
  <c r="F485" i="22" s="1"/>
  <c r="F484" i="22" s="1"/>
  <c r="F482" i="22"/>
  <c r="F481" i="22" s="1"/>
  <c r="F480" i="22" s="1"/>
  <c r="F479" i="22" s="1"/>
  <c r="F476" i="22"/>
  <c r="F475" i="22" s="1"/>
  <c r="F473" i="22"/>
  <c r="F471" i="22"/>
  <c r="E29" i="23"/>
  <c r="E28" i="23" s="1"/>
  <c r="E26" i="23"/>
  <c r="E25" i="23" s="1"/>
  <c r="E24" i="23" s="1"/>
  <c r="E627" i="23"/>
  <c r="E626" i="23" s="1"/>
  <c r="E625" i="23" s="1"/>
  <c r="E624" i="23" s="1"/>
  <c r="E623" i="23" s="1"/>
  <c r="F452" i="22"/>
  <c r="F451" i="22" s="1"/>
  <c r="F450" i="22" s="1"/>
  <c r="F449" i="22" s="1"/>
  <c r="F727" i="22" s="1"/>
  <c r="D65" i="24" s="1"/>
  <c r="E612" i="23"/>
  <c r="E611" i="23" s="1"/>
  <c r="E610" i="23" s="1"/>
  <c r="E609" i="23"/>
  <c r="E608" i="23" s="1"/>
  <c r="E607" i="23" s="1"/>
  <c r="F438" i="22"/>
  <c r="F437" i="22" s="1"/>
  <c r="F435" i="22"/>
  <c r="E577" i="23"/>
  <c r="E576" i="23" s="1"/>
  <c r="E575" i="23" s="1"/>
  <c r="E573" i="23"/>
  <c r="F408" i="22"/>
  <c r="E552" i="23"/>
  <c r="E551" i="23" s="1"/>
  <c r="E550" i="23" s="1"/>
  <c r="E549" i="23" s="1"/>
  <c r="E548" i="23"/>
  <c r="E547" i="23" s="1"/>
  <c r="E546" i="23" s="1"/>
  <c r="E545" i="23" s="1"/>
  <c r="F390" i="22"/>
  <c r="F389" i="22" s="1"/>
  <c r="F388" i="22" s="1"/>
  <c r="F387" i="22" s="1"/>
  <c r="F715" i="22" s="1"/>
  <c r="D37" i="24" s="1"/>
  <c r="F384" i="22"/>
  <c r="F383" i="22" s="1"/>
  <c r="F382" i="22" s="1"/>
  <c r="F381" i="22" s="1"/>
  <c r="F368" i="22"/>
  <c r="F367" i="22" s="1"/>
  <c r="E511" i="23"/>
  <c r="E510" i="23" s="1"/>
  <c r="E519" i="23"/>
  <c r="E518" i="23" s="1"/>
  <c r="E517" i="23" s="1"/>
  <c r="E516" i="23" s="1"/>
  <c r="E509" i="23"/>
  <c r="E508" i="23" s="1"/>
  <c r="E507" i="23" s="1"/>
  <c r="E462" i="23"/>
  <c r="E461" i="23" s="1"/>
  <c r="E460" i="23" s="1"/>
  <c r="E459" i="23" s="1"/>
  <c r="F341" i="22"/>
  <c r="F340" i="22" s="1"/>
  <c r="F336" i="22"/>
  <c r="F335" i="22" s="1"/>
  <c r="F334" i="22" s="1"/>
  <c r="F332" i="22"/>
  <c r="F331" i="22" s="1"/>
  <c r="F330" i="22" s="1"/>
  <c r="F325" i="22"/>
  <c r="F324" i="22" s="1"/>
  <c r="F322" i="22"/>
  <c r="F321" i="22" s="1"/>
  <c r="E331" i="23"/>
  <c r="E330" i="23" s="1"/>
  <c r="E329" i="23" s="1"/>
  <c r="E328" i="23"/>
  <c r="E327" i="23" s="1"/>
  <c r="E326" i="23" s="1"/>
  <c r="F310" i="22"/>
  <c r="F309" i="22" s="1"/>
  <c r="E320" i="23"/>
  <c r="E319" i="23" s="1"/>
  <c r="E318" i="23" s="1"/>
  <c r="E317" i="23"/>
  <c r="E316" i="23" s="1"/>
  <c r="E315" i="23" s="1"/>
  <c r="F284" i="22"/>
  <c r="F283" i="22" s="1"/>
  <c r="E296" i="23"/>
  <c r="E295" i="23" s="1"/>
  <c r="E294" i="23" s="1"/>
  <c r="F270" i="22"/>
  <c r="F269" i="22" s="1"/>
  <c r="F267" i="22"/>
  <c r="F266" i="22" s="1"/>
  <c r="F258" i="22"/>
  <c r="F257" i="22" s="1"/>
  <c r="E270" i="23"/>
  <c r="E269" i="23" s="1"/>
  <c r="E268" i="23" s="1"/>
  <c r="E267" i="23"/>
  <c r="E266" i="23" s="1"/>
  <c r="E265" i="23" s="1"/>
  <c r="E264" i="23"/>
  <c r="E263" i="23" s="1"/>
  <c r="E262" i="23"/>
  <c r="E261" i="23" s="1"/>
  <c r="F247" i="22"/>
  <c r="E254" i="23"/>
  <c r="E253" i="23" s="1"/>
  <c r="E252" i="23" s="1"/>
  <c r="E251" i="23" s="1"/>
  <c r="E250" i="23" s="1"/>
  <c r="E249" i="23" s="1"/>
  <c r="F232" i="22"/>
  <c r="F231" i="22" s="1"/>
  <c r="F230" i="22" s="1"/>
  <c r="E243" i="23"/>
  <c r="E242" i="23" s="1"/>
  <c r="E241" i="23" s="1"/>
  <c r="E240" i="23" s="1"/>
  <c r="F223" i="22"/>
  <c r="F222" i="22" s="1"/>
  <c r="F221" i="22" s="1"/>
  <c r="F220" i="22" s="1"/>
  <c r="F719" i="22" s="1"/>
  <c r="D48" i="24" s="1"/>
  <c r="F214" i="22"/>
  <c r="F213" i="22" s="1"/>
  <c r="F194" i="22"/>
  <c r="F193" i="22" s="1"/>
  <c r="E203" i="23"/>
  <c r="E202" i="23" s="1"/>
  <c r="E201" i="23" s="1"/>
  <c r="E200" i="23" s="1"/>
  <c r="E199" i="23" s="1"/>
  <c r="E198" i="23" s="1"/>
  <c r="F181" i="22"/>
  <c r="F180" i="22" s="1"/>
  <c r="F179" i="22" s="1"/>
  <c r="F178" i="22" s="1"/>
  <c r="F176" i="22"/>
  <c r="F175" i="22" s="1"/>
  <c r="F174" i="22" s="1"/>
  <c r="F173" i="22" s="1"/>
  <c r="E185" i="23"/>
  <c r="E184" i="23" s="1"/>
  <c r="E183" i="23" s="1"/>
  <c r="F167" i="22"/>
  <c r="F166" i="22" s="1"/>
  <c r="F165" i="22" s="1"/>
  <c r="E175" i="23"/>
  <c r="E174" i="23" s="1"/>
  <c r="E173" i="23"/>
  <c r="E172" i="23" s="1"/>
  <c r="F155" i="22"/>
  <c r="F153" i="22"/>
  <c r="F150" i="22"/>
  <c r="F148" i="22"/>
  <c r="F142" i="22"/>
  <c r="F140" i="22"/>
  <c r="F137" i="22"/>
  <c r="F136" i="22" s="1"/>
  <c r="F134" i="22"/>
  <c r="F132" i="22"/>
  <c r="F128" i="22"/>
  <c r="F127" i="22" s="1"/>
  <c r="F124" i="22"/>
  <c r="F121" i="22" s="1"/>
  <c r="F119" i="22"/>
  <c r="E126" i="23"/>
  <c r="E125" i="23" s="1"/>
  <c r="F106" i="22"/>
  <c r="F104" i="22"/>
  <c r="F99" i="22"/>
  <c r="F98" i="22" s="1"/>
  <c r="E104" i="23"/>
  <c r="E103" i="23" s="1"/>
  <c r="F91" i="22"/>
  <c r="F90" i="22" s="1"/>
  <c r="F89" i="22" s="1"/>
  <c r="F88" i="22" s="1"/>
  <c r="F718" i="22" s="1"/>
  <c r="D46" i="24" s="1"/>
  <c r="F86" i="22"/>
  <c r="F84" i="22"/>
  <c r="F80" i="22"/>
  <c r="E87" i="23"/>
  <c r="E86" i="23" s="1"/>
  <c r="E85" i="23"/>
  <c r="E84" i="23" s="1"/>
  <c r="F69" i="22"/>
  <c r="F68" i="22" s="1"/>
  <c r="F66" i="22"/>
  <c r="F65" i="22" s="1"/>
  <c r="F55" i="22"/>
  <c r="F54" i="22" s="1"/>
  <c r="F53" i="22" s="1"/>
  <c r="F52" i="22" s="1"/>
  <c r="F50" i="22"/>
  <c r="F49" i="22" s="1"/>
  <c r="F44" i="22"/>
  <c r="E41" i="23"/>
  <c r="E40" i="23" s="1"/>
  <c r="E21" i="23"/>
  <c r="E20" i="23" s="1"/>
  <c r="E19" i="23" s="1"/>
  <c r="E18" i="23" s="1"/>
  <c r="F30" i="22"/>
  <c r="F29" i="22" s="1"/>
  <c r="F28" i="22" s="1"/>
  <c r="F27" i="22" s="1"/>
  <c r="F25" i="22"/>
  <c r="F24" i="22" s="1"/>
  <c r="F23" i="22" s="1"/>
  <c r="F22" i="22" s="1"/>
  <c r="F19" i="22"/>
  <c r="F17" i="22"/>
  <c r="F15" i="22"/>
  <c r="D18" i="18" l="1"/>
  <c r="F577" i="17"/>
  <c r="C18" i="18"/>
  <c r="E577" i="17"/>
  <c r="E493" i="17"/>
  <c r="E492" i="17" s="1"/>
  <c r="F493" i="17"/>
  <c r="F492" i="17" s="1"/>
  <c r="F381" i="17"/>
  <c r="F251" i="17"/>
  <c r="E251" i="17"/>
  <c r="E285" i="17"/>
  <c r="E284" i="17" s="1"/>
  <c r="E283" i="17" s="1"/>
  <c r="F285" i="17"/>
  <c r="F284" i="17" s="1"/>
  <c r="F283" i="17" s="1"/>
  <c r="F63" i="17"/>
  <c r="E63" i="17"/>
  <c r="E447" i="23"/>
  <c r="E442" i="23" s="1"/>
  <c r="F585" i="22"/>
  <c r="F265" i="22"/>
  <c r="F264" i="22" s="1"/>
  <c r="F196" i="22"/>
  <c r="G242" i="25"/>
  <c r="E210" i="23"/>
  <c r="C64" i="24"/>
  <c r="C63" i="24" s="1"/>
  <c r="E322" i="23"/>
  <c r="F103" i="22"/>
  <c r="F102" i="22" s="1"/>
  <c r="F101" i="22" s="1"/>
  <c r="F64" i="22"/>
  <c r="E72" i="23"/>
  <c r="C40" i="24" s="1"/>
  <c r="F139" i="22"/>
  <c r="F338" i="17"/>
  <c r="D16" i="18" s="1"/>
  <c r="C19" i="18"/>
  <c r="E560" i="23"/>
  <c r="E559" i="23" s="1"/>
  <c r="E606" i="17"/>
  <c r="C62" i="18"/>
  <c r="C60" i="18" s="1"/>
  <c r="F606" i="17"/>
  <c r="D62" i="18"/>
  <c r="D60" i="18" s="1"/>
  <c r="E480" i="17"/>
  <c r="E556" i="17" s="1"/>
  <c r="F52" i="18" s="1"/>
  <c r="C53" i="18"/>
  <c r="E475" i="17"/>
  <c r="E551" i="17" s="1"/>
  <c r="F39" i="18" s="1"/>
  <c r="C40" i="18"/>
  <c r="C39" i="18" s="1"/>
  <c r="F591" i="17"/>
  <c r="D35" i="18"/>
  <c r="D33" i="18" s="1"/>
  <c r="E591" i="17"/>
  <c r="C35" i="18"/>
  <c r="C33" i="18" s="1"/>
  <c r="E383" i="17"/>
  <c r="E382" i="17" s="1"/>
  <c r="E381" i="17" s="1"/>
  <c r="E124" i="23"/>
  <c r="E27" i="23"/>
  <c r="E23" i="23" s="1"/>
  <c r="E22" i="23" s="1"/>
  <c r="E390" i="23"/>
  <c r="F649" i="22"/>
  <c r="F648" i="22" s="1"/>
  <c r="F647" i="22" s="1"/>
  <c r="F646" i="22" s="1"/>
  <c r="F639" i="22" s="1"/>
  <c r="E39" i="23"/>
  <c r="E38" i="23" s="1"/>
  <c r="E37" i="23" s="1"/>
  <c r="F447" i="22"/>
  <c r="F446" i="22" s="1"/>
  <c r="D9" i="15"/>
  <c r="G685" i="25" s="1"/>
  <c r="G687" i="25" s="1"/>
  <c r="C9" i="15"/>
  <c r="D37" i="15"/>
  <c r="E69" i="23"/>
  <c r="E68" i="23" s="1"/>
  <c r="E67" i="23" s="1"/>
  <c r="E66" i="23" s="1"/>
  <c r="E65" i="23" s="1"/>
  <c r="F414" i="22"/>
  <c r="F413" i="22" s="1"/>
  <c r="H292" i="17"/>
  <c r="F147" i="22"/>
  <c r="E226" i="23"/>
  <c r="E225" i="23" s="1"/>
  <c r="E224" i="23" s="1"/>
  <c r="E223" i="23" s="1"/>
  <c r="E222" i="23" s="1"/>
  <c r="G241" i="25"/>
  <c r="E302" i="23"/>
  <c r="E301" i="23" s="1"/>
  <c r="E300" i="23" s="1"/>
  <c r="E260" i="23"/>
  <c r="E259" i="23" s="1"/>
  <c r="E258" i="23" s="1"/>
  <c r="E257" i="23" s="1"/>
  <c r="H439" i="17"/>
  <c r="E596" i="23"/>
  <c r="E595" i="23" s="1"/>
  <c r="E594" i="23" s="1"/>
  <c r="E593" i="23" s="1"/>
  <c r="E364" i="23"/>
  <c r="E363" i="23" s="1"/>
  <c r="E362" i="23" s="1"/>
  <c r="E361" i="23" s="1"/>
  <c r="E380" i="23"/>
  <c r="E379" i="23" s="1"/>
  <c r="E378" i="23" s="1"/>
  <c r="E368" i="23" s="1"/>
  <c r="E488" i="23"/>
  <c r="E487" i="23" s="1"/>
  <c r="E484" i="23" s="1"/>
  <c r="E75" i="17"/>
  <c r="E74" i="17" s="1"/>
  <c r="E73" i="17" s="1"/>
  <c r="G106" i="25"/>
  <c r="G105" i="25" s="1"/>
  <c r="G104" i="25" s="1"/>
  <c r="G103" i="25" s="1"/>
  <c r="E206" i="17"/>
  <c r="E205" i="17" s="1"/>
  <c r="E204" i="17" s="1"/>
  <c r="E281" i="17"/>
  <c r="E280" i="17" s="1"/>
  <c r="E276" i="17" s="1"/>
  <c r="E275" i="17" s="1"/>
  <c r="C75" i="18" s="1"/>
  <c r="E106" i="17"/>
  <c r="E105" i="17" s="1"/>
  <c r="E104" i="17" s="1"/>
  <c r="E122" i="17"/>
  <c r="E121" i="17" s="1"/>
  <c r="E141" i="17"/>
  <c r="E140" i="17" s="1"/>
  <c r="E51" i="17"/>
  <c r="E48" i="17" s="1"/>
  <c r="E47" i="17" s="1"/>
  <c r="E46" i="17" s="1"/>
  <c r="E149" i="17"/>
  <c r="E148" i="17" s="1"/>
  <c r="E154" i="17"/>
  <c r="E153" i="17" s="1"/>
  <c r="E239" i="17"/>
  <c r="E236" i="17" s="1"/>
  <c r="E273" i="17"/>
  <c r="E272" i="17" s="1"/>
  <c r="E271" i="17" s="1"/>
  <c r="E611" i="17" s="1"/>
  <c r="E397" i="17"/>
  <c r="E396" i="17" s="1"/>
  <c r="F629" i="25"/>
  <c r="E416" i="17" s="1"/>
  <c r="E413" i="17" s="1"/>
  <c r="E132" i="17"/>
  <c r="F153" i="17"/>
  <c r="G632" i="25"/>
  <c r="F45" i="25"/>
  <c r="F44" i="25" s="1"/>
  <c r="F43" i="25" s="1"/>
  <c r="G477" i="25"/>
  <c r="G473" i="25" s="1"/>
  <c r="G472" i="25" s="1"/>
  <c r="G111" i="25"/>
  <c r="G18" i="25"/>
  <c r="G17" i="25" s="1"/>
  <c r="G16" i="25" s="1"/>
  <c r="G45" i="25"/>
  <c r="G44" i="25" s="1"/>
  <c r="G43" i="25" s="1"/>
  <c r="G337" i="25"/>
  <c r="D58" i="18" s="1"/>
  <c r="F632" i="25"/>
  <c r="F445" i="25"/>
  <c r="G625" i="25"/>
  <c r="G318" i="25"/>
  <c r="G317" i="25" s="1"/>
  <c r="G316" i="25" s="1"/>
  <c r="F477" i="25"/>
  <c r="F473" i="25" s="1"/>
  <c r="F472" i="25" s="1"/>
  <c r="F611" i="25"/>
  <c r="F610" i="25" s="1"/>
  <c r="C37" i="15"/>
  <c r="E37" i="15" s="1"/>
  <c r="F152" i="22"/>
  <c r="F469" i="22"/>
  <c r="F468" i="22" s="1"/>
  <c r="F131" i="22"/>
  <c r="F339" i="22"/>
  <c r="F338" i="22" s="1"/>
  <c r="F723" i="22" s="1"/>
  <c r="D56" i="24" s="1"/>
  <c r="F152" i="25"/>
  <c r="F362" i="25"/>
  <c r="G440" i="25"/>
  <c r="G439" i="25" s="1"/>
  <c r="G152" i="25"/>
  <c r="F269" i="25"/>
  <c r="G514" i="25"/>
  <c r="F137" i="25"/>
  <c r="F337" i="25"/>
  <c r="C58" i="18" s="1"/>
  <c r="F318" i="25"/>
  <c r="F317" i="25" s="1"/>
  <c r="F316" i="25" s="1"/>
  <c r="F440" i="25"/>
  <c r="F439" i="25" s="1"/>
  <c r="G543" i="25"/>
  <c r="G642" i="25"/>
  <c r="G679" i="25"/>
  <c r="G675" i="25" s="1"/>
  <c r="G674" i="25" s="1"/>
  <c r="G673" i="25" s="1"/>
  <c r="G672" i="25" s="1"/>
  <c r="G96" i="25"/>
  <c r="G95" i="25" s="1"/>
  <c r="F129" i="25"/>
  <c r="G421" i="25"/>
  <c r="F492" i="25"/>
  <c r="G611" i="25"/>
  <c r="G610" i="25" s="1"/>
  <c r="F140" i="17"/>
  <c r="F105" i="17"/>
  <c r="F104" i="17" s="1"/>
  <c r="F148" i="17"/>
  <c r="F204" i="17"/>
  <c r="C47" i="18"/>
  <c r="F81" i="17"/>
  <c r="C32" i="18"/>
  <c r="E96" i="17"/>
  <c r="F581" i="17"/>
  <c r="F503" i="17"/>
  <c r="F500" i="17" s="1"/>
  <c r="F410" i="22"/>
  <c r="F407" i="22" s="1"/>
  <c r="F526" i="22"/>
  <c r="F525" i="22" s="1"/>
  <c r="F621" i="22"/>
  <c r="F600" i="22"/>
  <c r="F599" i="22" s="1"/>
  <c r="F628" i="22"/>
  <c r="F627" i="22" s="1"/>
  <c r="F657" i="22"/>
  <c r="F656" i="22" s="1"/>
  <c r="F655" i="22" s="1"/>
  <c r="F239" i="22"/>
  <c r="F238" i="22" s="1"/>
  <c r="F237" i="22" s="1"/>
  <c r="F236" i="22" s="1"/>
  <c r="F235" i="22" s="1"/>
  <c r="F302" i="22"/>
  <c r="F301" i="22" s="1"/>
  <c r="F300" i="22" s="1"/>
  <c r="F329" i="22"/>
  <c r="F713" i="22" s="1"/>
  <c r="D32" i="24" s="1"/>
  <c r="F320" i="22"/>
  <c r="F319" i="22" s="1"/>
  <c r="F318" i="22" s="1"/>
  <c r="F83" i="22"/>
  <c r="F82" i="22" s="1"/>
  <c r="F158" i="22"/>
  <c r="F305" i="22"/>
  <c r="F304" i="22" s="1"/>
  <c r="F313" i="22"/>
  <c r="F312" i="22" s="1"/>
  <c r="F478" i="22"/>
  <c r="F520" i="22"/>
  <c r="F519" i="22" s="1"/>
  <c r="G283" i="25"/>
  <c r="G282" i="25" s="1"/>
  <c r="G362" i="25"/>
  <c r="F18" i="25"/>
  <c r="F17" i="25" s="1"/>
  <c r="F16" i="25" s="1"/>
  <c r="G83" i="25"/>
  <c r="F96" i="25"/>
  <c r="F95" i="25" s="1"/>
  <c r="F111" i="25"/>
  <c r="G117" i="25"/>
  <c r="G116" i="25" s="1"/>
  <c r="F142" i="25"/>
  <c r="F297" i="25"/>
  <c r="F296" i="25" s="1"/>
  <c r="F295" i="25" s="1"/>
  <c r="F294" i="25" s="1"/>
  <c r="G358" i="25"/>
  <c r="G357" i="25" s="1"/>
  <c r="G356" i="25" s="1"/>
  <c r="F587" i="25"/>
  <c r="F582" i="25" s="1"/>
  <c r="F581" i="25" s="1"/>
  <c r="F580" i="25" s="1"/>
  <c r="F77" i="25"/>
  <c r="F76" i="25" s="1"/>
  <c r="F75" i="25" s="1"/>
  <c r="F148" i="25"/>
  <c r="F147" i="25" s="1"/>
  <c r="G297" i="25"/>
  <c r="G296" i="25" s="1"/>
  <c r="G295" i="25" s="1"/>
  <c r="F421" i="25"/>
  <c r="G492" i="25"/>
  <c r="G507" i="25"/>
  <c r="F533" i="25"/>
  <c r="F514" i="25" s="1"/>
  <c r="F200" i="25"/>
  <c r="F199" i="25" s="1"/>
  <c r="F198" i="25" s="1"/>
  <c r="F420" i="17"/>
  <c r="F68" i="25"/>
  <c r="G344" i="25"/>
  <c r="G343" i="25" s="1"/>
  <c r="G342" i="25" s="1"/>
  <c r="G341" i="25" s="1"/>
  <c r="F358" i="25"/>
  <c r="F543" i="25"/>
  <c r="D32" i="18"/>
  <c r="F48" i="17"/>
  <c r="F47" i="17" s="1"/>
  <c r="F46" i="17" s="1"/>
  <c r="G68" i="25"/>
  <c r="F83" i="25"/>
  <c r="D67" i="18"/>
  <c r="G458" i="25"/>
  <c r="G269" i="25"/>
  <c r="F556" i="25"/>
  <c r="G77" i="25"/>
  <c r="G76" i="25" s="1"/>
  <c r="G75" i="25" s="1"/>
  <c r="G130" i="25"/>
  <c r="G129" i="25" s="1"/>
  <c r="G138" i="25"/>
  <c r="G137" i="25" s="1"/>
  <c r="G143" i="25"/>
  <c r="G142" i="25" s="1"/>
  <c r="G148" i="25"/>
  <c r="G147" i="25" s="1"/>
  <c r="G159" i="25"/>
  <c r="G158" i="25" s="1"/>
  <c r="G157" i="25" s="1"/>
  <c r="G200" i="25"/>
  <c r="G199" i="25" s="1"/>
  <c r="G198" i="25" s="1"/>
  <c r="G445" i="25"/>
  <c r="G556" i="25"/>
  <c r="G587" i="25"/>
  <c r="G582" i="25" s="1"/>
  <c r="G581" i="25" s="1"/>
  <c r="G580" i="25" s="1"/>
  <c r="F642" i="25"/>
  <c r="F106" i="25"/>
  <c r="F105" i="25" s="1"/>
  <c r="F104" i="25" s="1"/>
  <c r="F103" i="25" s="1"/>
  <c r="F117" i="25"/>
  <c r="F116" i="25" s="1"/>
  <c r="G238" i="25"/>
  <c r="G237" i="25" s="1"/>
  <c r="C67" i="18"/>
  <c r="F458" i="25"/>
  <c r="F283" i="25"/>
  <c r="F308" i="25"/>
  <c r="F307" i="25" s="1"/>
  <c r="F303" i="25" s="1"/>
  <c r="F509" i="25"/>
  <c r="F508" i="25" s="1"/>
  <c r="F507" i="25" s="1"/>
  <c r="F697" i="25"/>
  <c r="D39" i="18"/>
  <c r="G308" i="25"/>
  <c r="G307" i="25" s="1"/>
  <c r="G303" i="25" s="1"/>
  <c r="F353" i="25"/>
  <c r="F352" i="25" s="1"/>
  <c r="F351" i="25" s="1"/>
  <c r="F402" i="25"/>
  <c r="F401" i="25" s="1"/>
  <c r="F409" i="25"/>
  <c r="F408" i="25" s="1"/>
  <c r="F407" i="25" s="1"/>
  <c r="F419" i="25"/>
  <c r="F418" i="25" s="1"/>
  <c r="F578" i="25"/>
  <c r="F577" i="25" s="1"/>
  <c r="F576" i="25" s="1"/>
  <c r="G697" i="25"/>
  <c r="F116" i="17"/>
  <c r="F344" i="25"/>
  <c r="F382" i="25"/>
  <c r="F381" i="25" s="1"/>
  <c r="F380" i="25" s="1"/>
  <c r="G409" i="25"/>
  <c r="G408" i="25" s="1"/>
  <c r="G407" i="25" s="1"/>
  <c r="G419" i="25"/>
  <c r="G418" i="25" s="1"/>
  <c r="F662" i="25"/>
  <c r="F661" i="25" s="1"/>
  <c r="F660" i="25" s="1"/>
  <c r="F659" i="25" s="1"/>
  <c r="F658" i="25" s="1"/>
  <c r="G382" i="25"/>
  <c r="G381" i="25" s="1"/>
  <c r="G380" i="25" s="1"/>
  <c r="F682" i="25"/>
  <c r="F679" i="25" s="1"/>
  <c r="F675" i="25" s="1"/>
  <c r="F674" i="25" s="1"/>
  <c r="F673" i="25" s="1"/>
  <c r="F672" i="25" s="1"/>
  <c r="E312" i="17"/>
  <c r="E420" i="17"/>
  <c r="G167" i="25"/>
  <c r="E35" i="17"/>
  <c r="E34" i="17" s="1"/>
  <c r="E33" i="17" s="1"/>
  <c r="F132" i="17"/>
  <c r="E166" i="17"/>
  <c r="E165" i="17" s="1"/>
  <c r="E164" i="17" s="1"/>
  <c r="E163" i="17" s="1"/>
  <c r="E503" i="17"/>
  <c r="E500" i="17" s="1"/>
  <c r="E116" i="17"/>
  <c r="E338" i="17"/>
  <c r="G181" i="25"/>
  <c r="G180" i="25"/>
  <c r="G179" i="25" s="1"/>
  <c r="F167" i="25"/>
  <c r="F327" i="25"/>
  <c r="G327" i="25"/>
  <c r="F23" i="17"/>
  <c r="F19" i="17" s="1"/>
  <c r="F18" i="17" s="1"/>
  <c r="F74" i="17"/>
  <c r="F73" i="17" s="1"/>
  <c r="F180" i="25"/>
  <c r="F179" i="25" s="1"/>
  <c r="F158" i="17"/>
  <c r="E581" i="17"/>
  <c r="G26" i="25"/>
  <c r="G31" i="25"/>
  <c r="G52" i="25"/>
  <c r="G51" i="25"/>
  <c r="G50" i="25" s="1"/>
  <c r="D49" i="18"/>
  <c r="D48" i="18" s="1"/>
  <c r="G90" i="25"/>
  <c r="D65" i="18"/>
  <c r="G191" i="25"/>
  <c r="G225" i="25"/>
  <c r="G224" i="25" s="1"/>
  <c r="F187" i="25"/>
  <c r="F186" i="25"/>
  <c r="F185" i="25" s="1"/>
  <c r="F209" i="25"/>
  <c r="C50" i="18"/>
  <c r="F214" i="25"/>
  <c r="F35" i="17"/>
  <c r="F34" i="17" s="1"/>
  <c r="F33" i="17" s="1"/>
  <c r="E81" i="17"/>
  <c r="G187" i="25"/>
  <c r="G186" i="25"/>
  <c r="G185" i="25" s="1"/>
  <c r="G209" i="25"/>
  <c r="G214" i="25"/>
  <c r="E23" i="17"/>
  <c r="E19" i="17" s="1"/>
  <c r="E18" i="17" s="1"/>
  <c r="F611" i="17"/>
  <c r="F270" i="17"/>
  <c r="D73" i="18" s="1"/>
  <c r="F26" i="25"/>
  <c r="F25" i="25" s="1"/>
  <c r="F52" i="25"/>
  <c r="F51" i="25"/>
  <c r="F50" i="25" s="1"/>
  <c r="C49" i="18"/>
  <c r="C48" i="18" s="1"/>
  <c r="F90" i="25"/>
  <c r="C65" i="18"/>
  <c r="F191" i="25"/>
  <c r="F225" i="25"/>
  <c r="F224" i="25" s="1"/>
  <c r="F161" i="25"/>
  <c r="F160" i="25" s="1"/>
  <c r="F159" i="25" s="1"/>
  <c r="F158" i="25" s="1"/>
  <c r="F157" i="25" s="1"/>
  <c r="F241" i="25"/>
  <c r="F238" i="25" s="1"/>
  <c r="F237" i="25" s="1"/>
  <c r="F628" i="25"/>
  <c r="E158" i="17"/>
  <c r="F168" i="17"/>
  <c r="F167" i="17" s="1"/>
  <c r="F166" i="17" s="1"/>
  <c r="F165" i="17" s="1"/>
  <c r="F164" i="17" s="1"/>
  <c r="F163" i="17" s="1"/>
  <c r="F351" i="17"/>
  <c r="D17" i="18" s="1"/>
  <c r="F457" i="17"/>
  <c r="F468" i="25"/>
  <c r="F467" i="25" s="1"/>
  <c r="F466" i="25" s="1"/>
  <c r="F465" i="25" s="1"/>
  <c r="F464" i="25" s="1"/>
  <c r="F463" i="25" s="1"/>
  <c r="F96" i="17"/>
  <c r="F519" i="17"/>
  <c r="F524" i="17"/>
  <c r="E593" i="17"/>
  <c r="E400" i="17"/>
  <c r="E399" i="17" s="1"/>
  <c r="E457" i="17"/>
  <c r="E456" i="17" s="1"/>
  <c r="F287" i="22"/>
  <c r="F286" i="22" s="1"/>
  <c r="F48" i="22"/>
  <c r="F47" i="22"/>
  <c r="F46" i="22" s="1"/>
  <c r="F192" i="22"/>
  <c r="F191" i="22"/>
  <c r="F21" i="22"/>
  <c r="E95" i="23"/>
  <c r="E94" i="23" s="1"/>
  <c r="E91" i="23" s="1"/>
  <c r="E113" i="23"/>
  <c r="E112" i="23" s="1"/>
  <c r="E409" i="23"/>
  <c r="E408" i="23" s="1"/>
  <c r="E407" i="23" s="1"/>
  <c r="F172" i="22"/>
  <c r="F700" i="22" s="1"/>
  <c r="C31" i="24"/>
  <c r="E147" i="23"/>
  <c r="E146" i="23" s="1"/>
  <c r="E145" i="23" s="1"/>
  <c r="E299" i="23"/>
  <c r="E298" i="23" s="1"/>
  <c r="E297" i="23" s="1"/>
  <c r="E415" i="23"/>
  <c r="E414" i="23" s="1"/>
  <c r="E413" i="23" s="1"/>
  <c r="F188" i="22"/>
  <c r="F187" i="22" s="1"/>
  <c r="F395" i="22"/>
  <c r="F394" i="22" s="1"/>
  <c r="F393" i="22" s="1"/>
  <c r="F392" i="22" s="1"/>
  <c r="F720" i="22" s="1"/>
  <c r="D50" i="24" s="1"/>
  <c r="F558" i="22"/>
  <c r="F557" i="22" s="1"/>
  <c r="E64" i="23"/>
  <c r="E63" i="23" s="1"/>
  <c r="E62" i="23" s="1"/>
  <c r="E282" i="23"/>
  <c r="E281" i="23" s="1"/>
  <c r="E280" i="23" s="1"/>
  <c r="E279" i="23" s="1"/>
  <c r="F14" i="22"/>
  <c r="F37" i="22"/>
  <c r="F36" i="22" s="1"/>
  <c r="F35" i="22" s="1"/>
  <c r="F34" i="22" s="1"/>
  <c r="F160" i="22"/>
  <c r="E56" i="23"/>
  <c r="E55" i="23" s="1"/>
  <c r="F42" i="22"/>
  <c r="F41" i="22" s="1"/>
  <c r="F40" i="22" s="1"/>
  <c r="F39" i="22" s="1"/>
  <c r="F117" i="22"/>
  <c r="F116" i="22" s="1"/>
  <c r="F217" i="22"/>
  <c r="F216" i="22" s="1"/>
  <c r="E572" i="23"/>
  <c r="E569" i="23" s="1"/>
  <c r="E568" i="23" s="1"/>
  <c r="E521" i="23"/>
  <c r="E520" i="23" s="1"/>
  <c r="F255" i="22"/>
  <c r="F254" i="22" s="1"/>
  <c r="F673" i="22"/>
  <c r="F672" i="22" s="1"/>
  <c r="E153" i="23"/>
  <c r="F616" i="22"/>
  <c r="F96" i="22"/>
  <c r="F95" i="22" s="1"/>
  <c r="F94" i="22" s="1"/>
  <c r="F93" i="22" s="1"/>
  <c r="C32" i="24"/>
  <c r="E102" i="23"/>
  <c r="C53" i="24" s="1"/>
  <c r="C52" i="24" s="1"/>
  <c r="E314" i="23"/>
  <c r="E313" i="23" s="1"/>
  <c r="F245" i="22"/>
  <c r="F249" i="22"/>
  <c r="F316" i="22"/>
  <c r="F315" i="22" s="1"/>
  <c r="F444" i="22"/>
  <c r="F443" i="22" s="1"/>
  <c r="E477" i="23"/>
  <c r="F623" i="22"/>
  <c r="E171" i="23"/>
  <c r="F60" i="22"/>
  <c r="F59" i="22" s="1"/>
  <c r="F58" i="22" s="1"/>
  <c r="F57" i="22" s="1"/>
  <c r="F228" i="22"/>
  <c r="F227" i="22" s="1"/>
  <c r="F226" i="22" s="1"/>
  <c r="F225" i="22" s="1"/>
  <c r="F219" i="22" s="1"/>
  <c r="F281" i="22"/>
  <c r="F280" i="22" s="1"/>
  <c r="F459" i="22"/>
  <c r="F458" i="22" s="1"/>
  <c r="F457" i="22" s="1"/>
  <c r="F456" i="22" s="1"/>
  <c r="F455" i="22" s="1"/>
  <c r="F454" i="22" s="1"/>
  <c r="F708" i="22" s="1"/>
  <c r="F614" i="22"/>
  <c r="E161" i="23"/>
  <c r="E506" i="23"/>
  <c r="E132" i="23"/>
  <c r="E129" i="23" s="1"/>
  <c r="F561" i="22"/>
  <c r="F560" i="22" s="1"/>
  <c r="C59" i="24"/>
  <c r="C58" i="24" s="1"/>
  <c r="C655" i="23"/>
  <c r="E239" i="23"/>
  <c r="E17" i="23"/>
  <c r="C21" i="24"/>
  <c r="E179" i="23"/>
  <c r="E178" i="23" s="1"/>
  <c r="E177" i="23" s="1"/>
  <c r="E176" i="23" s="1"/>
  <c r="E622" i="23"/>
  <c r="E621" i="23" s="1"/>
  <c r="C51" i="24"/>
  <c r="C50" i="24" s="1"/>
  <c r="E544" i="23"/>
  <c r="C651" i="23" s="1"/>
  <c r="F228" i="17"/>
  <c r="F227" i="17" s="1"/>
  <c r="F590" i="17"/>
  <c r="F294" i="17"/>
  <c r="F76" i="22"/>
  <c r="F170" i="22"/>
  <c r="F169" i="22" s="1"/>
  <c r="F164" i="22" s="1"/>
  <c r="F163" i="22" s="1"/>
  <c r="F162" i="22" s="1"/>
  <c r="F699" i="22" s="1"/>
  <c r="F211" i="22"/>
  <c r="F210" i="22" s="1"/>
  <c r="F355" i="22"/>
  <c r="F354" i="22" s="1"/>
  <c r="F353" i="22" s="1"/>
  <c r="F365" i="22"/>
  <c r="F364" i="22" s="1"/>
  <c r="F363" i="22" s="1"/>
  <c r="F399" i="22"/>
  <c r="F398" i="22" s="1"/>
  <c r="F397" i="22" s="1"/>
  <c r="F466" i="22"/>
  <c r="F465" i="22" s="1"/>
  <c r="F495" i="22"/>
  <c r="F494" i="22" s="1"/>
  <c r="F493" i="22" s="1"/>
  <c r="F517" i="22"/>
  <c r="F516" i="22" s="1"/>
  <c r="F536" i="22"/>
  <c r="F535" i="22" s="1"/>
  <c r="F531" i="22" s="1"/>
  <c r="F678" i="22"/>
  <c r="F675" i="22" s="1"/>
  <c r="E191" i="23"/>
  <c r="E190" i="23" s="1"/>
  <c r="E189" i="23" s="1"/>
  <c r="E188" i="23" s="1"/>
  <c r="E187" i="23" s="1"/>
  <c r="E186" i="23" s="1"/>
  <c r="E234" i="23"/>
  <c r="C650" i="23" s="1"/>
  <c r="E343" i="23"/>
  <c r="C26" i="24"/>
  <c r="E534" i="23"/>
  <c r="C66" i="24"/>
  <c r="C65" i="24" s="1"/>
  <c r="E616" i="23"/>
  <c r="C658" i="23" s="1"/>
  <c r="F13" i="17"/>
  <c r="E319" i="17"/>
  <c r="E83" i="23"/>
  <c r="E82" i="23" s="1"/>
  <c r="C41" i="24" s="1"/>
  <c r="C57" i="24"/>
  <c r="C56" i="24" s="1"/>
  <c r="E352" i="23"/>
  <c r="C654" i="23" s="1"/>
  <c r="C47" i="24"/>
  <c r="C46" i="24" s="1"/>
  <c r="E96" i="23"/>
  <c r="C649" i="23" s="1"/>
  <c r="E166" i="23"/>
  <c r="E334" i="23"/>
  <c r="E333" i="23" s="1"/>
  <c r="E332" i="23" s="1"/>
  <c r="E412" i="23"/>
  <c r="E411" i="23" s="1"/>
  <c r="E410" i="23" s="1"/>
  <c r="E13" i="17"/>
  <c r="F599" i="17"/>
  <c r="F90" i="17"/>
  <c r="F554" i="17" s="1"/>
  <c r="G48" i="18" s="1"/>
  <c r="F173" i="17"/>
  <c r="E605" i="17"/>
  <c r="E217" i="17"/>
  <c r="C29" i="18"/>
  <c r="E54" i="23"/>
  <c r="E53" i="23" s="1"/>
  <c r="F78" i="22"/>
  <c r="F252" i="22"/>
  <c r="F251" i="22" s="1"/>
  <c r="F348" i="22"/>
  <c r="F347" i="22" s="1"/>
  <c r="F433" i="22"/>
  <c r="F432" i="22" s="1"/>
  <c r="F583" i="22"/>
  <c r="F582" i="22" s="1"/>
  <c r="F581" i="22" s="1"/>
  <c r="E173" i="17"/>
  <c r="F605" i="17"/>
  <c r="F217" i="17"/>
  <c r="D30" i="18"/>
  <c r="F587" i="17"/>
  <c r="F413" i="25"/>
  <c r="F412" i="25" s="1"/>
  <c r="F411" i="25" s="1"/>
  <c r="F626" i="25"/>
  <c r="F239" i="17"/>
  <c r="F236" i="17" s="1"/>
  <c r="F276" i="17"/>
  <c r="F604" i="17"/>
  <c r="F303" i="17"/>
  <c r="F559" i="17" s="1"/>
  <c r="G58" i="18" s="1"/>
  <c r="E539" i="23"/>
  <c r="C646" i="23" s="1"/>
  <c r="E599" i="17"/>
  <c r="E90" i="17"/>
  <c r="E554" i="17" s="1"/>
  <c r="F48" i="18" s="1"/>
  <c r="F608" i="17"/>
  <c r="F562" i="17"/>
  <c r="G65" i="18" s="1"/>
  <c r="F197" i="17"/>
  <c r="F191" i="17" s="1"/>
  <c r="E228" i="17"/>
  <c r="E227" i="17" s="1"/>
  <c r="F259" i="17"/>
  <c r="D70" i="18" s="1"/>
  <c r="E604" i="17"/>
  <c r="E303" i="17"/>
  <c r="E559" i="17" s="1"/>
  <c r="F58" i="18" s="1"/>
  <c r="F319" i="17"/>
  <c r="D19" i="18"/>
  <c r="F578" i="17"/>
  <c r="F580" i="17"/>
  <c r="C26" i="18"/>
  <c r="E584" i="17"/>
  <c r="E608" i="17"/>
  <c r="E562" i="17"/>
  <c r="F65" i="18" s="1"/>
  <c r="E197" i="17"/>
  <c r="E191" i="17" s="1"/>
  <c r="E600" i="17"/>
  <c r="E212" i="17"/>
  <c r="E555" i="17" s="1"/>
  <c r="E259" i="17"/>
  <c r="C70" i="18" s="1"/>
  <c r="F312" i="17"/>
  <c r="D12" i="18" s="1"/>
  <c r="D27" i="18"/>
  <c r="F585" i="17"/>
  <c r="F470" i="17"/>
  <c r="F601" i="17"/>
  <c r="F480" i="17"/>
  <c r="F556" i="17" s="1"/>
  <c r="G52" i="18" s="1"/>
  <c r="E609" i="17"/>
  <c r="E530" i="17"/>
  <c r="E563" i="17" s="1"/>
  <c r="F67" i="18" s="1"/>
  <c r="E590" i="17"/>
  <c r="E294" i="17"/>
  <c r="E351" i="17"/>
  <c r="C17" i="18" s="1"/>
  <c r="C27" i="18"/>
  <c r="E585" i="17"/>
  <c r="E470" i="17"/>
  <c r="E601" i="17"/>
  <c r="F593" i="17"/>
  <c r="F475" i="17"/>
  <c r="F551" i="17" s="1"/>
  <c r="G39" i="18" s="1"/>
  <c r="F530" i="17"/>
  <c r="F563" i="17" s="1"/>
  <c r="G67" i="18" s="1"/>
  <c r="F609" i="17"/>
  <c r="D26" i="18"/>
  <c r="F584" i="17"/>
  <c r="F413" i="17"/>
  <c r="E519" i="17"/>
  <c r="E293" i="23" l="1"/>
  <c r="C68" i="24" s="1"/>
  <c r="C67" i="24" s="1"/>
  <c r="F279" i="22"/>
  <c r="F278" i="22" s="1"/>
  <c r="F728" i="22" s="1"/>
  <c r="D67" i="24" s="1"/>
  <c r="E588" i="17"/>
  <c r="C31" i="18"/>
  <c r="F499" i="17"/>
  <c r="F498" i="17" s="1"/>
  <c r="E499" i="17"/>
  <c r="E498" i="17" s="1"/>
  <c r="F574" i="17"/>
  <c r="F491" i="17"/>
  <c r="F490" i="17" s="1"/>
  <c r="D14" i="18"/>
  <c r="C14" i="18"/>
  <c r="E574" i="17"/>
  <c r="E491" i="17"/>
  <c r="E490" i="17" s="1"/>
  <c r="E395" i="17"/>
  <c r="E394" i="17" s="1"/>
  <c r="E235" i="17"/>
  <c r="C46" i="18" s="1"/>
  <c r="C45" i="18" s="1"/>
  <c r="F235" i="17"/>
  <c r="D46" i="18" s="1"/>
  <c r="C22" i="24"/>
  <c r="C20" i="24" s="1"/>
  <c r="F431" i="22"/>
  <c r="F430" i="22" s="1"/>
  <c r="F429" i="22" s="1"/>
  <c r="F428" i="22" s="1"/>
  <c r="F707" i="22" s="1"/>
  <c r="F346" i="22"/>
  <c r="F345" i="22" s="1"/>
  <c r="F580" i="22"/>
  <c r="F579" i="22" s="1"/>
  <c r="F578" i="22" s="1"/>
  <c r="C30" i="24"/>
  <c r="C29" i="24"/>
  <c r="E458" i="23"/>
  <c r="F209" i="22"/>
  <c r="F208" i="22" s="1"/>
  <c r="F544" i="22"/>
  <c r="F530" i="22" s="1"/>
  <c r="F352" i="22"/>
  <c r="F351" i="22" s="1"/>
  <c r="F350" i="22" s="1"/>
  <c r="F406" i="22"/>
  <c r="F405" i="22" s="1"/>
  <c r="F404" i="22" s="1"/>
  <c r="D65" i="15"/>
  <c r="F37" i="15"/>
  <c r="E578" i="17"/>
  <c r="E441" i="23"/>
  <c r="E380" i="17"/>
  <c r="F380" i="17"/>
  <c r="F379" i="17" s="1"/>
  <c r="F726" i="22"/>
  <c r="D63" i="24" s="1"/>
  <c r="F190" i="22"/>
  <c r="C657" i="23"/>
  <c r="E204" i="23"/>
  <c r="F13" i="22"/>
  <c r="F12" i="22" s="1"/>
  <c r="F11" i="22" s="1"/>
  <c r="F10" i="22" s="1"/>
  <c r="E464" i="23"/>
  <c r="E463" i="23" s="1"/>
  <c r="E256" i="23"/>
  <c r="F500" i="22"/>
  <c r="F492" i="22" s="1"/>
  <c r="F491" i="22" s="1"/>
  <c r="F490" i="22" s="1"/>
  <c r="C55" i="24"/>
  <c r="C54" i="24" s="1"/>
  <c r="F725" i="22"/>
  <c r="D61" i="24" s="1"/>
  <c r="E90" i="23"/>
  <c r="C42" i="24" s="1"/>
  <c r="C39" i="24" s="1"/>
  <c r="C12" i="24"/>
  <c r="E111" i="23"/>
  <c r="E110" i="23" s="1"/>
  <c r="C62" i="24" s="1"/>
  <c r="C11" i="24"/>
  <c r="C36" i="24"/>
  <c r="C35" i="24" s="1"/>
  <c r="F518" i="17"/>
  <c r="E575" i="17"/>
  <c r="E337" i="17"/>
  <c r="E336" i="17" s="1"/>
  <c r="E335" i="17" s="1"/>
  <c r="F337" i="17"/>
  <c r="F336" i="17" s="1"/>
  <c r="F335" i="17" s="1"/>
  <c r="E131" i="17"/>
  <c r="E115" i="17" s="1"/>
  <c r="F131" i="17"/>
  <c r="F115" i="17" s="1"/>
  <c r="F567" i="17" s="1"/>
  <c r="E141" i="23"/>
  <c r="E123" i="23" s="1"/>
  <c r="F721" i="22"/>
  <c r="D52" i="24" s="1"/>
  <c r="F456" i="17"/>
  <c r="E233" i="23"/>
  <c r="D72" i="18"/>
  <c r="C69" i="18"/>
  <c r="E469" i="17"/>
  <c r="F103" i="17"/>
  <c r="F561" i="17" s="1"/>
  <c r="G63" i="18" s="1"/>
  <c r="D64" i="18"/>
  <c r="D63" i="18" s="1"/>
  <c r="F40" i="18"/>
  <c r="E103" i="17"/>
  <c r="E561" i="17" s="1"/>
  <c r="F63" i="18" s="1"/>
  <c r="C64" i="18"/>
  <c r="C63" i="18" s="1"/>
  <c r="F203" i="17"/>
  <c r="F558" i="17" s="1"/>
  <c r="G56" i="18" s="1"/>
  <c r="D57" i="18"/>
  <c r="D56" i="18" s="1"/>
  <c r="E603" i="17"/>
  <c r="C57" i="18"/>
  <c r="C56" i="18" s="1"/>
  <c r="E95" i="17"/>
  <c r="E557" i="17" s="1"/>
  <c r="F54" i="18" s="1"/>
  <c r="C55" i="18"/>
  <c r="C54" i="18" s="1"/>
  <c r="F602" i="17"/>
  <c r="D55" i="18"/>
  <c r="D54" i="18" s="1"/>
  <c r="F598" i="17"/>
  <c r="D47" i="18"/>
  <c r="E596" i="17"/>
  <c r="C44" i="18"/>
  <c r="F596" i="17"/>
  <c r="D44" i="18"/>
  <c r="F595" i="17"/>
  <c r="D43" i="18"/>
  <c r="E595" i="17"/>
  <c r="C43" i="18"/>
  <c r="F594" i="17"/>
  <c r="D42" i="18"/>
  <c r="E594" i="17"/>
  <c r="C42" i="18"/>
  <c r="F586" i="17"/>
  <c r="D29" i="18"/>
  <c r="D15" i="18"/>
  <c r="E576" i="17"/>
  <c r="F576" i="17"/>
  <c r="E572" i="17"/>
  <c r="C12" i="18"/>
  <c r="C22" i="18"/>
  <c r="E580" i="17"/>
  <c r="E270" i="17"/>
  <c r="E567" i="23"/>
  <c r="F386" i="22"/>
  <c r="C65" i="15"/>
  <c r="F685" i="25"/>
  <c r="F687" i="25" s="1"/>
  <c r="H226" i="17"/>
  <c r="E524" i="17"/>
  <c r="E518" i="17" s="1"/>
  <c r="G417" i="25"/>
  <c r="G416" i="25" s="1"/>
  <c r="G415" i="25" s="1"/>
  <c r="F49" i="18"/>
  <c r="F625" i="25"/>
  <c r="F624" i="25" s="1"/>
  <c r="F623" i="25" s="1"/>
  <c r="F622" i="25" s="1"/>
  <c r="D23" i="18"/>
  <c r="D21" i="18" s="1"/>
  <c r="G506" i="25"/>
  <c r="G505" i="25" s="1"/>
  <c r="G504" i="25" s="1"/>
  <c r="F417" i="25"/>
  <c r="F416" i="25" s="1"/>
  <c r="F415" i="25" s="1"/>
  <c r="F68" i="18"/>
  <c r="G624" i="25"/>
  <c r="G623" i="25" s="1"/>
  <c r="G622" i="25" s="1"/>
  <c r="G49" i="18"/>
  <c r="F603" i="17"/>
  <c r="G605" i="25"/>
  <c r="G604" i="25" s="1"/>
  <c r="G603" i="25" s="1"/>
  <c r="F357" i="25"/>
  <c r="F356" i="25" s="1"/>
  <c r="F355" i="25" s="1"/>
  <c r="F59" i="18"/>
  <c r="G355" i="25"/>
  <c r="F268" i="25"/>
  <c r="G59" i="18"/>
  <c r="G336" i="25"/>
  <c r="G326" i="25" s="1"/>
  <c r="G325" i="25" s="1"/>
  <c r="G471" i="25"/>
  <c r="G470" i="25" s="1"/>
  <c r="G294" i="25"/>
  <c r="F542" i="25"/>
  <c r="F541" i="25" s="1"/>
  <c r="F540" i="25" s="1"/>
  <c r="F605" i="25"/>
  <c r="F604" i="25" s="1"/>
  <c r="F603" i="25" s="1"/>
  <c r="D69" i="18"/>
  <c r="G686" i="25"/>
  <c r="G688" i="25" s="1"/>
  <c r="G68" i="18"/>
  <c r="F438" i="25"/>
  <c r="F437" i="25" s="1"/>
  <c r="F436" i="25" s="1"/>
  <c r="F471" i="25"/>
  <c r="F470" i="25" s="1"/>
  <c r="E403" i="23"/>
  <c r="F686" i="25"/>
  <c r="F308" i="22"/>
  <c r="F307" i="22" s="1"/>
  <c r="F464" i="22"/>
  <c r="F463" i="22" s="1"/>
  <c r="C71" i="24"/>
  <c r="C70" i="24" s="1"/>
  <c r="F724" i="22"/>
  <c r="D58" i="24" s="1"/>
  <c r="E476" i="23"/>
  <c r="F620" i="22"/>
  <c r="E52" i="23"/>
  <c r="E51" i="23" s="1"/>
  <c r="E50" i="23" s="1"/>
  <c r="G236" i="25"/>
  <c r="G235" i="25" s="1"/>
  <c r="F128" i="25"/>
  <c r="F110" i="25" s="1"/>
  <c r="F236" i="25"/>
  <c r="F235" i="25" s="1"/>
  <c r="F336" i="25"/>
  <c r="F282" i="25"/>
  <c r="F15" i="25"/>
  <c r="F14" i="25" s="1"/>
  <c r="F343" i="25"/>
  <c r="F342" i="25" s="1"/>
  <c r="F341" i="25" s="1"/>
  <c r="G542" i="25"/>
  <c r="G541" i="25" s="1"/>
  <c r="G540" i="25" s="1"/>
  <c r="F197" i="25"/>
  <c r="F196" i="25" s="1"/>
  <c r="C16" i="18"/>
  <c r="F326" i="25"/>
  <c r="F325" i="25" s="1"/>
  <c r="F412" i="17"/>
  <c r="F575" i="17"/>
  <c r="F607" i="17"/>
  <c r="E203" i="17"/>
  <c r="E558" i="17" s="1"/>
  <c r="F56" i="18" s="1"/>
  <c r="C23" i="18"/>
  <c r="G40" i="18"/>
  <c r="F589" i="17"/>
  <c r="E602" i="17"/>
  <c r="E412" i="17"/>
  <c r="E589" i="17"/>
  <c r="F250" i="17"/>
  <c r="E612" i="17"/>
  <c r="F62" i="17"/>
  <c r="F400" i="17"/>
  <c r="F399" i="17" s="1"/>
  <c r="E62" i="17"/>
  <c r="E607" i="17"/>
  <c r="E311" i="17"/>
  <c r="E310" i="17" s="1"/>
  <c r="E309" i="17" s="1"/>
  <c r="F95" i="17"/>
  <c r="F557" i="17" s="1"/>
  <c r="G54" i="18" s="1"/>
  <c r="F157" i="22"/>
  <c r="F328" i="22"/>
  <c r="F327" i="22" s="1"/>
  <c r="F703" i="22" s="1"/>
  <c r="F299" i="22"/>
  <c r="E101" i="23"/>
  <c r="C652" i="23" s="1"/>
  <c r="C28" i="24"/>
  <c r="F613" i="22"/>
  <c r="F735" i="22" s="1"/>
  <c r="F67" i="25"/>
  <c r="G128" i="25"/>
  <c r="G110" i="25" s="1"/>
  <c r="G302" i="25"/>
  <c r="F506" i="25"/>
  <c r="F505" i="25" s="1"/>
  <c r="F504" i="25" s="1"/>
  <c r="G268" i="25"/>
  <c r="G67" i="25"/>
  <c r="D52" i="18"/>
  <c r="G53" i="18" s="1"/>
  <c r="G406" i="25"/>
  <c r="G400" i="25" s="1"/>
  <c r="C52" i="18"/>
  <c r="F53" i="18" s="1"/>
  <c r="F406" i="25"/>
  <c r="F400" i="25" s="1"/>
  <c r="F394" i="25" s="1"/>
  <c r="F302" i="25"/>
  <c r="F293" i="25" s="1"/>
  <c r="C74" i="18"/>
  <c r="G197" i="25"/>
  <c r="G196" i="25" s="1"/>
  <c r="G438" i="25"/>
  <c r="G437" i="25" s="1"/>
  <c r="G436" i="25" s="1"/>
  <c r="G208" i="25"/>
  <c r="F208" i="25"/>
  <c r="G25" i="25"/>
  <c r="G15" i="25" s="1"/>
  <c r="G14" i="25" s="1"/>
  <c r="F185" i="22"/>
  <c r="F184" i="22" s="1"/>
  <c r="F186" i="22"/>
  <c r="F244" i="22"/>
  <c r="F243" i="22" s="1"/>
  <c r="F671" i="22"/>
  <c r="F670" i="22" s="1"/>
  <c r="F669" i="22" s="1"/>
  <c r="F560" i="17"/>
  <c r="G60" i="18" s="1"/>
  <c r="G61" i="18" s="1"/>
  <c r="G693" i="25"/>
  <c r="F34" i="15"/>
  <c r="F27" i="15"/>
  <c r="F23" i="15"/>
  <c r="F14" i="15"/>
  <c r="F12" i="15"/>
  <c r="D11" i="12"/>
  <c r="F35" i="15"/>
  <c r="E598" i="17"/>
  <c r="E250" i="17"/>
  <c r="C644" i="23"/>
  <c r="E342" i="23"/>
  <c r="E341" i="23" s="1"/>
  <c r="F75" i="22"/>
  <c r="F74" i="22" s="1"/>
  <c r="F63" i="22" s="1"/>
  <c r="F716" i="22" s="1"/>
  <c r="D39" i="24" s="1"/>
  <c r="F549" i="17"/>
  <c r="G33" i="18" s="1"/>
  <c r="G34" i="18" s="1"/>
  <c r="F293" i="17"/>
  <c r="F292" i="17" s="1"/>
  <c r="C73" i="24"/>
  <c r="C72" i="24" s="1"/>
  <c r="E321" i="23"/>
  <c r="E312" i="23" s="1"/>
  <c r="C660" i="23" s="1"/>
  <c r="D69" i="15"/>
  <c r="E610" i="17"/>
  <c r="E258" i="17"/>
  <c r="E564" i="17" s="1"/>
  <c r="F69" i="18" s="1"/>
  <c r="F469" i="17"/>
  <c r="D13" i="18"/>
  <c r="F573" i="17"/>
  <c r="F612" i="17"/>
  <c r="F275" i="17"/>
  <c r="E560" i="17"/>
  <c r="F60" i="18" s="1"/>
  <c r="F61" i="18" s="1"/>
  <c r="E211" i="17"/>
  <c r="C13" i="18"/>
  <c r="E573" i="17"/>
  <c r="E549" i="17"/>
  <c r="F33" i="18" s="1"/>
  <c r="F34" i="18" s="1"/>
  <c r="E293" i="17"/>
  <c r="E292" i="17" s="1"/>
  <c r="F572" i="17"/>
  <c r="F311" i="17"/>
  <c r="F310" i="17" s="1"/>
  <c r="C13" i="24"/>
  <c r="E558" i="23"/>
  <c r="E557" i="23" s="1"/>
  <c r="F610" i="17"/>
  <c r="F258" i="17"/>
  <c r="C45" i="24"/>
  <c r="E278" i="23"/>
  <c r="E586" i="17"/>
  <c r="E441" i="17"/>
  <c r="E440" i="17" s="1"/>
  <c r="E439" i="17" s="1"/>
  <c r="C15" i="24"/>
  <c r="E533" i="23"/>
  <c r="C11" i="12"/>
  <c r="C10" i="24" l="1"/>
  <c r="F588" i="17"/>
  <c r="D31" i="18"/>
  <c r="D28" i="18" s="1"/>
  <c r="E548" i="17"/>
  <c r="E567" i="17"/>
  <c r="C84" i="18" s="1"/>
  <c r="F614" i="17"/>
  <c r="E614" i="17"/>
  <c r="F441" i="17"/>
  <c r="F548" i="17" s="1"/>
  <c r="C21" i="18"/>
  <c r="E597" i="17"/>
  <c r="E234" i="17"/>
  <c r="E553" i="17" s="1"/>
  <c r="F234" i="17"/>
  <c r="F233" i="17" s="1"/>
  <c r="F597" i="17"/>
  <c r="E489" i="17"/>
  <c r="E463" i="17" s="1"/>
  <c r="F489" i="17"/>
  <c r="F463" i="17" s="1"/>
  <c r="D11" i="18"/>
  <c r="C30" i="18"/>
  <c r="C28" i="18" s="1"/>
  <c r="E587" i="17"/>
  <c r="C15" i="18"/>
  <c r="D25" i="18"/>
  <c r="F411" i="17"/>
  <c r="F410" i="17" s="1"/>
  <c r="E583" i="17"/>
  <c r="E411" i="17"/>
  <c r="E410" i="17" s="1"/>
  <c r="C79" i="24"/>
  <c r="C27" i="24"/>
  <c r="C662" i="23"/>
  <c r="E505" i="23"/>
  <c r="E504" i="23" s="1"/>
  <c r="E503" i="23" s="1"/>
  <c r="C16" i="24"/>
  <c r="C14" i="24" s="1"/>
  <c r="E389" i="23"/>
  <c r="E388" i="23" s="1"/>
  <c r="E387" i="23" s="1"/>
  <c r="G638" i="42"/>
  <c r="F9" i="15"/>
  <c r="F18" i="15"/>
  <c r="F29" i="15"/>
  <c r="H542" i="17"/>
  <c r="G644" i="42"/>
  <c r="F10" i="15"/>
  <c r="F21" i="15"/>
  <c r="F31" i="15"/>
  <c r="F644" i="42"/>
  <c r="F638" i="42"/>
  <c r="F207" i="22"/>
  <c r="F183" i="22" s="1"/>
  <c r="F701" i="22" s="1"/>
  <c r="E475" i="23"/>
  <c r="E474" i="23" s="1"/>
  <c r="C44" i="24"/>
  <c r="C43" i="24" s="1"/>
  <c r="C653" i="23"/>
  <c r="F242" i="22"/>
  <c r="F344" i="22"/>
  <c r="F343" i="22" s="1"/>
  <c r="F712" i="22"/>
  <c r="D27" i="24" s="1"/>
  <c r="E71" i="23"/>
  <c r="C647" i="23" s="1"/>
  <c r="E360" i="23"/>
  <c r="E359" i="23" s="1"/>
  <c r="E358" i="23" s="1"/>
  <c r="F380" i="22"/>
  <c r="F706" i="22" s="1"/>
  <c r="E109" i="23"/>
  <c r="C656" i="23" s="1"/>
  <c r="C61" i="24"/>
  <c r="F529" i="22"/>
  <c r="F528" i="22" s="1"/>
  <c r="F70" i="18"/>
  <c r="C41" i="18"/>
  <c r="F202" i="17"/>
  <c r="F130" i="22"/>
  <c r="F55" i="18"/>
  <c r="D41" i="18"/>
  <c r="G64" i="18"/>
  <c r="G55" i="18"/>
  <c r="E552" i="17"/>
  <c r="F41" i="18" s="1"/>
  <c r="E61" i="17"/>
  <c r="E12" i="17" s="1"/>
  <c r="F552" i="17"/>
  <c r="G41" i="18" s="1"/>
  <c r="F61" i="17"/>
  <c r="F12" i="17" s="1"/>
  <c r="F722" i="22"/>
  <c r="D54" i="24" s="1"/>
  <c r="E592" i="23"/>
  <c r="E591" i="23" s="1"/>
  <c r="E590" i="23" s="1"/>
  <c r="F693" i="25"/>
  <c r="C69" i="15"/>
  <c r="D84" i="18"/>
  <c r="F269" i="17"/>
  <c r="F565" i="17" s="1"/>
  <c r="G71" i="18" s="1"/>
  <c r="D75" i="18"/>
  <c r="D74" i="18" s="1"/>
  <c r="D71" i="18" s="1"/>
  <c r="E269" i="17"/>
  <c r="E565" i="17" s="1"/>
  <c r="F71" i="18" s="1"/>
  <c r="C73" i="18"/>
  <c r="C72" i="18" s="1"/>
  <c r="C71" i="18" s="1"/>
  <c r="F57" i="18"/>
  <c r="E517" i="17"/>
  <c r="C37" i="18" s="1"/>
  <c r="C36" i="18" s="1"/>
  <c r="E592" i="17"/>
  <c r="E616" i="17" s="1"/>
  <c r="D37" i="18"/>
  <c r="D36" i="18" s="1"/>
  <c r="F517" i="17"/>
  <c r="F516" i="17" s="1"/>
  <c r="F515" i="17" s="1"/>
  <c r="F592" i="17"/>
  <c r="E292" i="23"/>
  <c r="C659" i="23" s="1"/>
  <c r="E556" i="23"/>
  <c r="E527" i="23" s="1"/>
  <c r="F705" i="22"/>
  <c r="F668" i="22"/>
  <c r="F462" i="22"/>
  <c r="F461" i="22" s="1"/>
  <c r="C69" i="24"/>
  <c r="E440" i="23"/>
  <c r="F688" i="25"/>
  <c r="G394" i="25"/>
  <c r="F64" i="18"/>
  <c r="D45" i="18"/>
  <c r="G503" i="25"/>
  <c r="G502" i="25" s="1"/>
  <c r="G178" i="25"/>
  <c r="F66" i="25"/>
  <c r="F37" i="25" s="1"/>
  <c r="F178" i="25"/>
  <c r="F267" i="25"/>
  <c r="F223" i="25" s="1"/>
  <c r="G293" i="25"/>
  <c r="G267" i="25" s="1"/>
  <c r="G223" i="25" s="1"/>
  <c r="G57" i="18"/>
  <c r="F503" i="25"/>
  <c r="F502" i="25" s="1"/>
  <c r="C11" i="18"/>
  <c r="F298" i="22"/>
  <c r="F263" i="22" s="1"/>
  <c r="F612" i="22"/>
  <c r="C24" i="24"/>
  <c r="G66" i="25"/>
  <c r="G37" i="25" s="1"/>
  <c r="F583" i="17"/>
  <c r="E202" i="17"/>
  <c r="E184" i="17" s="1"/>
  <c r="E379" i="17"/>
  <c r="C25" i="18"/>
  <c r="F714" i="22"/>
  <c r="D35" i="24" s="1"/>
  <c r="C648" i="23"/>
  <c r="E255" i="23"/>
  <c r="F309" i="17"/>
  <c r="F564" i="17"/>
  <c r="G633" i="42" l="1"/>
  <c r="G636" i="42" s="1"/>
  <c r="F440" i="17"/>
  <c r="F439" i="17" s="1"/>
  <c r="G28" i="18"/>
  <c r="G29" i="18" s="1"/>
  <c r="F553" i="17"/>
  <c r="G45" i="18" s="1"/>
  <c r="G46" i="18" s="1"/>
  <c r="E233" i="17"/>
  <c r="D10" i="18"/>
  <c r="E516" i="17"/>
  <c r="E515" i="17" s="1"/>
  <c r="C643" i="23"/>
  <c r="F115" i="22"/>
  <c r="F731" i="22" s="1"/>
  <c r="F633" i="42"/>
  <c r="F636" i="42" s="1"/>
  <c r="G639" i="42"/>
  <c r="F611" i="22"/>
  <c r="F610" i="22" s="1"/>
  <c r="F489" i="22" s="1"/>
  <c r="F488" i="22" s="1"/>
  <c r="E221" i="23"/>
  <c r="E197" i="23" s="1"/>
  <c r="E70" i="23"/>
  <c r="E16" i="23" s="1"/>
  <c r="E615" i="17"/>
  <c r="F241" i="22"/>
  <c r="F234" i="22" s="1"/>
  <c r="F702" i="22" s="1"/>
  <c r="F717" i="22"/>
  <c r="D43" i="24" s="1"/>
  <c r="C642" i="23"/>
  <c r="E550" i="17"/>
  <c r="F36" i="18" s="1"/>
  <c r="F37" i="18" s="1"/>
  <c r="F249" i="17"/>
  <c r="F226" i="17" s="1"/>
  <c r="F42" i="18"/>
  <c r="E249" i="17"/>
  <c r="G42" i="18"/>
  <c r="E277" i="23"/>
  <c r="E248" i="23" s="1"/>
  <c r="C645" i="23"/>
  <c r="E357" i="23"/>
  <c r="F729" i="22"/>
  <c r="D69" i="24" s="1"/>
  <c r="H535" i="17"/>
  <c r="H308" i="17"/>
  <c r="H463" i="17"/>
  <c r="C10" i="18"/>
  <c r="F36" i="25"/>
  <c r="F684" i="25" s="1"/>
  <c r="F692" i="25" s="1"/>
  <c r="K682" i="25" s="1"/>
  <c r="K683" i="25" s="1"/>
  <c r="G36" i="25"/>
  <c r="G684" i="25" s="1"/>
  <c r="C9" i="24"/>
  <c r="C76" i="24" s="1"/>
  <c r="E35" i="24" s="1"/>
  <c r="E547" i="17"/>
  <c r="F308" i="17"/>
  <c r="F547" i="17"/>
  <c r="E308" i="17"/>
  <c r="F550" i="17"/>
  <c r="G36" i="18" s="1"/>
  <c r="G37" i="18" s="1"/>
  <c r="G69" i="18"/>
  <c r="G70" i="18" s="1"/>
  <c r="F45" i="18"/>
  <c r="F46" i="18" s="1"/>
  <c r="F78" i="18"/>
  <c r="F28" i="18"/>
  <c r="F29" i="18" s="1"/>
  <c r="F643" i="42" l="1"/>
  <c r="F645" i="42" s="1"/>
  <c r="F637" i="42"/>
  <c r="C12" i="12" s="1"/>
  <c r="C10" i="12" s="1"/>
  <c r="C13" i="12" s="1"/>
  <c r="G643" i="42"/>
  <c r="G645" i="42" s="1"/>
  <c r="G637" i="42"/>
  <c r="D12" i="12" s="1"/>
  <c r="D10" i="12" s="1"/>
  <c r="D13" i="12" s="1"/>
  <c r="E226" i="17"/>
  <c r="E542" i="17" s="1"/>
  <c r="C85" i="18" s="1"/>
  <c r="F639" i="42"/>
  <c r="F711" i="22"/>
  <c r="D9" i="24" s="1"/>
  <c r="D76" i="24" s="1"/>
  <c r="F62" i="22"/>
  <c r="F33" i="22" s="1"/>
  <c r="F698" i="22" s="1"/>
  <c r="C663" i="23"/>
  <c r="F704" i="22"/>
  <c r="E27" i="24"/>
  <c r="E39" i="24"/>
  <c r="E74" i="24"/>
  <c r="E63" i="24"/>
  <c r="E37" i="24"/>
  <c r="E48" i="24"/>
  <c r="E46" i="24"/>
  <c r="E50" i="24"/>
  <c r="E56" i="24"/>
  <c r="E58" i="24"/>
  <c r="E52" i="24"/>
  <c r="E32" i="24"/>
  <c r="E65" i="24"/>
  <c r="E54" i="24"/>
  <c r="E67" i="24"/>
  <c r="E61" i="24"/>
  <c r="E69" i="24"/>
  <c r="E43" i="24"/>
  <c r="E568" i="17"/>
  <c r="E618" i="17" s="1"/>
  <c r="E569" i="17"/>
  <c r="C79" i="18" s="1"/>
  <c r="G10" i="18"/>
  <c r="G11" i="18" s="1"/>
  <c r="C78" i="18"/>
  <c r="E628" i="23"/>
  <c r="H184" i="17"/>
  <c r="H515" i="17"/>
  <c r="F694" i="25"/>
  <c r="F10" i="18"/>
  <c r="F11" i="18" s="1"/>
  <c r="C80" i="24"/>
  <c r="B84" i="24" s="1"/>
  <c r="G692" i="25"/>
  <c r="G694" i="25" s="1"/>
  <c r="F732" i="22" l="1"/>
  <c r="F32" i="22"/>
  <c r="E570" i="17"/>
  <c r="F709" i="22"/>
  <c r="E9" i="24"/>
  <c r="E76" i="24" s="1"/>
  <c r="C87" i="18"/>
  <c r="C80" i="18"/>
  <c r="F80" i="18"/>
  <c r="L682" i="25"/>
  <c r="K684" i="25" s="1"/>
  <c r="E544" i="17"/>
  <c r="E545" i="17" s="1"/>
  <c r="F693" i="22" l="1"/>
  <c r="G503" i="23" l="1"/>
  <c r="C81" i="24"/>
  <c r="F697" i="22"/>
  <c r="F696" i="22"/>
  <c r="G197" i="23"/>
  <c r="G176" i="23"/>
  <c r="G621" i="23"/>
  <c r="G341" i="23"/>
  <c r="G590" i="23"/>
  <c r="G16" i="23"/>
  <c r="G527" i="23"/>
  <c r="G357" i="23"/>
  <c r="G248" i="23"/>
  <c r="C14" i="3"/>
  <c r="C12" i="3" s="1"/>
  <c r="C15" i="3" s="1"/>
  <c r="G186" i="23"/>
  <c r="F215" i="17" l="1"/>
  <c r="F214" i="17" s="1"/>
  <c r="F213" i="17" s="1"/>
  <c r="F212" i="17" l="1"/>
  <c r="F600" i="17"/>
  <c r="D51" i="18"/>
  <c r="D50" i="18" s="1"/>
  <c r="D78" i="18" s="1"/>
  <c r="F615" i="17" l="1"/>
  <c r="F616" i="17"/>
  <c r="G78" i="18" s="1"/>
  <c r="G80" i="18" s="1"/>
  <c r="D87" i="18"/>
  <c r="F555" i="17"/>
  <c r="F211" i="17"/>
  <c r="F184" i="17" s="1"/>
  <c r="F542" i="17" s="1"/>
  <c r="D85" i="18" s="1"/>
  <c r="F569" i="17" l="1"/>
  <c r="D79" i="18" s="1"/>
  <c r="D80" i="18" s="1"/>
  <c r="F568" i="17"/>
  <c r="F618" i="17" s="1"/>
  <c r="F544" i="17"/>
  <c r="F545" i="17" s="1"/>
  <c r="F570" i="17" l="1"/>
</calcChain>
</file>

<file path=xl/sharedStrings.xml><?xml version="1.0" encoding="utf-8"?>
<sst xmlns="http://schemas.openxmlformats.org/spreadsheetml/2006/main" count="30421" uniqueCount="1201">
  <si>
    <t>Наименование показателей</t>
  </si>
  <si>
    <t>Вед.</t>
  </si>
  <si>
    <t>Разд.</t>
  </si>
  <si>
    <t>Ц.ст.</t>
  </si>
  <si>
    <t>Расх.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</si>
  <si>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</si>
  <si>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</si>
  <si>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</si>
  <si>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</si>
  <si>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</si>
  <si>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</si>
  <si>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</si>
  <si>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</si>
  <si>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</si>
  <si>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</si>
  <si>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</si>
  <si>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</si>
  <si>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</si>
  <si>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</si>
  <si>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</si>
  <si>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</si>
  <si>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</si>
  <si>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</si>
  <si>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</si>
  <si>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</si>
  <si>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Мероприятия по информационно-техническому сопровождению коммуникационного оборудования и программных продуктов</t>
  </si>
  <si>
    <t>0200</t>
  </si>
  <si>
    <t>Администрация Ханкайского муниципального района Приморского края</t>
  </si>
  <si>
    <t>Функционирование высшего должностного лица субъекта Российской Федерации и муниципального образования</t>
  </si>
  <si>
    <t>0102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</si>
  <si>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</si>
  <si>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</si>
  <si>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</si>
  <si>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</si>
  <si>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</si>
  <si>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</si>
  <si>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</si>
  <si>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</si>
  <si>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</si>
  <si>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</si>
  <si>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</si>
  <si>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</si>
  <si>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</si>
  <si>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</si>
  <si>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</si>
  <si>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</si>
  <si>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</si>
  <si>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</si>
  <si>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</si>
  <si>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</si>
  <si>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</si>
  <si>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 xml:space="preserve"> 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</si>
  <si>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</si>
  <si>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</si>
  <si>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</si>
  <si>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</si>
  <si>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</si>
  <si>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</si>
  <si>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</si>
  <si>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</si>
  <si>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</si>
  <si>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</si>
  <si>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</si>
  <si>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</si>
  <si>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</si>
  <si>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</si>
  <si>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</si>
  <si>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</si>
  <si>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Мероприятия в области охраны окружающей среды</t>
  </si>
  <si>
    <t>ОБРАЗОВАНИЕ</t>
  </si>
  <si>
    <t>0700</t>
  </si>
  <si>
    <t>Общее образование</t>
  </si>
  <si>
    <t>0702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</si>
  <si>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</si>
  <si>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</si>
  <si>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</si>
  <si>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</si>
  <si>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</si>
  <si>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</si>
  <si>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</si>
  <si>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</si>
  <si>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</si>
  <si>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</si>
  <si>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</si>
  <si>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</si>
  <si>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</si>
  <si>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</si>
  <si>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</si>
  <si>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</si>
  <si>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</si>
  <si>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</si>
  <si>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</si>
  <si>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</si>
  <si>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</si>
  <si>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</si>
  <si>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</si>
  <si>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</si>
  <si>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</si>
  <si>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</si>
  <si>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</si>
  <si>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</si>
  <si>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</si>
  <si>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</si>
  <si>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</si>
  <si>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</si>
  <si>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</si>
  <si>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</si>
  <si>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</si>
  <si>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</si>
  <si>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</si>
  <si>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Дошкольное образование</t>
  </si>
  <si>
    <t>0701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</si>
  <si>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</si>
  <si>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</si>
  <si>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Расходы на обеспечение деятельности (оказание услуг, выполнение работ) муниципальных общеобразовательных учреждений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</si>
  <si>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</si>
  <si>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</si>
  <si>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</si>
  <si>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</si>
  <si>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НАЦИОНАЛЬНАЯ ЭКОНОМИКА</t>
  </si>
  <si>
    <t>Руководитель контрольно - счетной палаты</t>
  </si>
  <si>
    <t>Сельское хозяйство и рыболовство</t>
  </si>
  <si>
    <t>0405</t>
  </si>
  <si>
    <t>Охрана семьи и детства</t>
  </si>
  <si>
    <t>1004</t>
  </si>
  <si>
    <t>ВСЕГО</t>
  </si>
  <si>
    <t>0000000000</t>
  </si>
  <si>
    <t>9900000000</t>
  </si>
  <si>
    <t>0600000000</t>
  </si>
  <si>
    <t>0500000000</t>
  </si>
  <si>
    <t>0696470010</t>
  </si>
  <si>
    <t>0800000000</t>
  </si>
  <si>
    <t>Непрограммные направления деятельности органов местного самоуправления</t>
  </si>
  <si>
    <t>9909920060</t>
  </si>
  <si>
    <t>0700000000</t>
  </si>
  <si>
    <t>0300000000</t>
  </si>
  <si>
    <t>0200000000</t>
  </si>
  <si>
    <t>0292270040</t>
  </si>
  <si>
    <t>0100000000</t>
  </si>
  <si>
    <t>0110000000</t>
  </si>
  <si>
    <t>0292320080</t>
  </si>
  <si>
    <t>0292170080</t>
  </si>
  <si>
    <t>9909910060</t>
  </si>
  <si>
    <t>9909910050</t>
  </si>
  <si>
    <t>0111170020</t>
  </si>
  <si>
    <t>0111193070</t>
  </si>
  <si>
    <t>0120000000</t>
  </si>
  <si>
    <t>0121170030</t>
  </si>
  <si>
    <t>0121193060</t>
  </si>
  <si>
    <t>0130000000</t>
  </si>
  <si>
    <t>0131220500</t>
  </si>
  <si>
    <t>0131170040</t>
  </si>
  <si>
    <t>0121493080</t>
  </si>
  <si>
    <t>0191220160</t>
  </si>
  <si>
    <t>0191170010</t>
  </si>
  <si>
    <t>0191170070</t>
  </si>
  <si>
    <t>0111393090</t>
  </si>
  <si>
    <t>Источники</t>
  </si>
  <si>
    <t xml:space="preserve">                                                                                    </t>
  </si>
  <si>
    <t>Код бюджетной классификации Российской Федерации</t>
  </si>
  <si>
    <t>Наименование источников</t>
  </si>
  <si>
    <t xml:space="preserve"> 01 05 00 00 00 0000 000</t>
  </si>
  <si>
    <t>Изменение остатков средств на счетах по учету средств бюджета</t>
  </si>
  <si>
    <t xml:space="preserve">Итого источников 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</si>
  <si>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</si>
  <si>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</si>
  <si>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</si>
  <si>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</si>
  <si>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</si>
  <si>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</si>
  <si>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</si>
  <si>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</si>
  <si>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</si>
  <si>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</si>
  <si>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</si>
  <si>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</si>
  <si>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</si>
  <si>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</si>
  <si>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</si>
  <si>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</si>
  <si>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</si>
  <si>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</si>
  <si>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</si>
  <si>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</si>
  <si>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</si>
  <si>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</si>
  <si>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</si>
  <si>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</si>
  <si>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</si>
  <si>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</si>
  <si>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</si>
  <si>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</si>
  <si>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</si>
  <si>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</si>
  <si>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Распределение</t>
  </si>
  <si>
    <t xml:space="preserve">Сумма </t>
  </si>
  <si>
    <t>НЕПРОГРАММНЫЕ РАСХОДЫ</t>
  </si>
  <si>
    <t>Руководитель контрольно -счетной палаты</t>
  </si>
  <si>
    <t>0400000000</t>
  </si>
  <si>
    <t>0494120170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</si>
  <si>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</si>
  <si>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</si>
  <si>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</si>
  <si>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</si>
  <si>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</si>
  <si>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деятельности учреждений дополнительного образования"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</si>
  <si>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</si>
  <si>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</si>
  <si>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</si>
  <si>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</si>
  <si>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</si>
  <si>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</si>
  <si>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</si>
  <si>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</si>
  <si>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</si>
  <si>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</si>
  <si>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0111100000</t>
  </si>
  <si>
    <t>0121200000</t>
  </si>
  <si>
    <t>0111200000</t>
  </si>
  <si>
    <t>0121100000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</si>
  <si>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</si>
  <si>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</si>
  <si>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</si>
  <si>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</si>
  <si>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</si>
  <si>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</si>
  <si>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</si>
  <si>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0494100000</t>
  </si>
  <si>
    <t>0696400000</t>
  </si>
  <si>
    <t>0797400000</t>
  </si>
  <si>
    <t>0898100000</t>
  </si>
  <si>
    <t>0111300000</t>
  </si>
  <si>
    <t>0121220050</t>
  </si>
  <si>
    <t>0191200000</t>
  </si>
  <si>
    <t>Основное мероприятие: "Мероприятия для детей и молодежи"</t>
  </si>
  <si>
    <t>Сумма</t>
  </si>
  <si>
    <t xml:space="preserve">Распределение </t>
  </si>
  <si>
    <t>Объемы</t>
  </si>
  <si>
    <t>Наименование</t>
  </si>
  <si>
    <t>БЕЗВОЗМЕЗДНЫЕ ПОСТУПЛЕНИЯ ОТ ДРУГИХ БЮДЖЕТОВ БЮДЖЕТНОЙ СИСТЕМЫ РОССИЙСКОЙ ФЕДЕРАЦИИ</t>
  </si>
  <si>
    <t>Оборудование и содержание площадок временного хранения ТБО</t>
  </si>
  <si>
    <t>0393340060</t>
  </si>
  <si>
    <t>0393300000</t>
  </si>
  <si>
    <t>Основное мероприятие: "Создание условий для получения качественного общего образования"</t>
  </si>
  <si>
    <t>Основное мероприятие: "Мероприятия в области окружающей среды"</t>
  </si>
  <si>
    <t>Основное мероприятие: "Повышение уровня качества предоставления муниципальных услуг"</t>
  </si>
  <si>
    <t>Возмещение части затрат и (или) недополученных доходов юридическим лицам, предоставляющим услуги по водоснабжению</t>
  </si>
  <si>
    <t>Субвенции бюджетам бюджетной системы Российской Федерации</t>
  </si>
  <si>
    <t>630</t>
  </si>
  <si>
    <t>Приложение 13</t>
  </si>
  <si>
    <t>0703</t>
  </si>
  <si>
    <t>Дополнительное образование детей</t>
  </si>
  <si>
    <t>непрограммным направлениям деятельности), группам (группам и подгруппам)</t>
  </si>
  <si>
    <t xml:space="preserve">видов расходов классификации расходов бюджетов </t>
  </si>
  <si>
    <t>СУДЕБНАЯ СИСТЕМА</t>
  </si>
  <si>
    <t>0105</t>
  </si>
  <si>
    <t>Субсидии муниципальным унитарным предприятиям на финансовое обеспечение затрат по капитальному ремонту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</si>
  <si>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</si>
  <si>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</si>
  <si>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</si>
  <si>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</si>
  <si>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</si>
  <si>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Мероприятия по профилактике терроризма и экстремизма</t>
  </si>
  <si>
    <t>0121220040</t>
  </si>
  <si>
    <t>0696500000</t>
  </si>
  <si>
    <t xml:space="preserve">Иные бюджетные ассигнования
</t>
  </si>
  <si>
    <t xml:space="preserve">Уплата налогов, сборов и иных платежей
</t>
  </si>
  <si>
    <t>Основное мероприятие: "Создание условий для получения качественного общего образовани"</t>
  </si>
  <si>
    <t>9910000000</t>
  </si>
  <si>
    <t>Финансовое обеспечение переданных полномочий</t>
  </si>
  <si>
    <t>9919959300</t>
  </si>
  <si>
    <t>9919993100</t>
  </si>
  <si>
    <t>Расходы по софинансированию на капитальный ремонт и ремонт автомобильных дорог общего пользования населенных пунктов</t>
  </si>
  <si>
    <t xml:space="preserve">Развитие спортивной инфраструктуры, находящейся в муниципальной собственности </t>
  </si>
  <si>
    <t>Обеспечение беспрепятственного доступа инвалидов к объектам социальной инфраструктуры</t>
  </si>
  <si>
    <t>0111220020</t>
  </si>
  <si>
    <t>0111220040</t>
  </si>
  <si>
    <t>9919951200</t>
  </si>
  <si>
    <t>9919993040</t>
  </si>
  <si>
    <t>2 02 30000 00 0000 150</t>
  </si>
  <si>
    <t>0131220040</t>
  </si>
  <si>
    <t>Субсидии бюджетам бюджетной системы Российской Федерации (межбюджетные субсидии)</t>
  </si>
  <si>
    <t>Транспорт</t>
  </si>
  <si>
    <t>0408</t>
  </si>
  <si>
    <t>Другие вопросы в области жилищно-коммунального хозяйства</t>
  </si>
  <si>
    <t>0505</t>
  </si>
  <si>
    <t>0292192540</t>
  </si>
  <si>
    <t>99199М0820</t>
  </si>
  <si>
    <t>2 02 20000 00 0000 150</t>
  </si>
  <si>
    <t>Расходы по софинансированию мероприятия по энергосбережению и повышению энергетической эффективности систем коммунальной инфраструктуры</t>
  </si>
  <si>
    <t>1102</t>
  </si>
  <si>
    <t>Массовый спорт</t>
  </si>
  <si>
    <t>049P5S2190</t>
  </si>
  <si>
    <t>049P500000</t>
  </si>
  <si>
    <t>Федеральный проект "Спорт - норма жизни"</t>
  </si>
  <si>
    <t>Расходы на софинансирование по обеспечению граждан твердым топливом (дровами) за счет средств местного бюджета</t>
  </si>
  <si>
    <t>Расходы по софинансированию на комплектование книжных фондов и обеспечение информационно-техническим оборудованием библиотек за счет средств местного бюджета</t>
  </si>
  <si>
    <t>02921S2540</t>
  </si>
  <si>
    <t>Иные выплаты населению</t>
  </si>
  <si>
    <t>360</t>
  </si>
  <si>
    <t>Мероприятия по пожарной безопасности</t>
  </si>
  <si>
    <t>0121220400</t>
  </si>
  <si>
    <t>012E200000</t>
  </si>
  <si>
    <t>0696100000</t>
  </si>
  <si>
    <t>0696113010</t>
  </si>
  <si>
    <t>1100000000</t>
  </si>
  <si>
    <t>1196200000</t>
  </si>
  <si>
    <t>1196212080</t>
  </si>
  <si>
    <t>1600000000</t>
  </si>
  <si>
    <t>Диспансеризация муниципальных служащих</t>
  </si>
  <si>
    <t>Повышение квалификации муниципальных служащих</t>
  </si>
  <si>
    <t>0696113020</t>
  </si>
  <si>
    <t>Основное мероприятие: "Доступная среда"</t>
  </si>
  <si>
    <t>Обеспечение благоприятных условий для социальной интеграции инвалидов</t>
  </si>
  <si>
    <t>0898120200</t>
  </si>
  <si>
    <t>Основное мероприятие:"Повышение уровня качества предоставления муницпальных услуг"</t>
  </si>
  <si>
    <t>Мероприятия по информационно- техническому сопровождению коммуникационного оборудования и программных продуктов</t>
  </si>
  <si>
    <t>1196212070</t>
  </si>
  <si>
    <t xml:space="preserve">Информационное освещение  деятельности органов местного самоуправления </t>
  </si>
  <si>
    <t>1500000000</t>
  </si>
  <si>
    <t>1596300000</t>
  </si>
  <si>
    <t>1596360010</t>
  </si>
  <si>
    <t>1200000000</t>
  </si>
  <si>
    <t>Основное мероприятие: Мероприятия по поддержке и развитию дорожной отрасли"</t>
  </si>
  <si>
    <t>1297300000</t>
  </si>
  <si>
    <t>Развитие муниципального дорожного фонда (содоржание и ремонт, проектирование, строительство и капитальный ремонт улично- дородной сети на них и другие расходы)</t>
  </si>
  <si>
    <t>1297342400</t>
  </si>
  <si>
    <t>1400000000</t>
  </si>
  <si>
    <t>1495300000</t>
  </si>
  <si>
    <t>Мероприятия в области градостроительной деятельности</t>
  </si>
  <si>
    <t>1495314010</t>
  </si>
  <si>
    <t>Мероприятия в области землеустроительной деятельности</t>
  </si>
  <si>
    <t>Основное мероприятие "Повышение эффективности управления муниципальным имуществом"</t>
  </si>
  <si>
    <t>Содержание и обслуживание муниципального жилого фонда</t>
  </si>
  <si>
    <t>1596360020</t>
  </si>
  <si>
    <t>0797200000</t>
  </si>
  <si>
    <t>0797241200</t>
  </si>
  <si>
    <t>0797241500</t>
  </si>
  <si>
    <t>0797241600</t>
  </si>
  <si>
    <t>Основное мероприятие "Прочие мероприятия"</t>
  </si>
  <si>
    <t>0797443300</t>
  </si>
  <si>
    <t>07972S2620</t>
  </si>
  <si>
    <t>Основное мероприятие: "Развитие  системы утилизации и переработки бытовых отходов на территории Ханкайского муниципального района"</t>
  </si>
  <si>
    <t>Мероприятия по обустройству контейнерных площадок</t>
  </si>
  <si>
    <t>0393140040</t>
  </si>
  <si>
    <t>Основное мероприятие :"Мероприятия в области окружающей среды"</t>
  </si>
  <si>
    <t>1300000000</t>
  </si>
  <si>
    <t>Основное мероприятие "Мероприятие по уничтожению дикорастущей конопли"</t>
  </si>
  <si>
    <t>1393200000</t>
  </si>
  <si>
    <t>Материально- техническое обеспечение мепроприятия</t>
  </si>
  <si>
    <t>1393220030</t>
  </si>
  <si>
    <t>Основное мероприятие "Обеспечение деятельности учреждений дополнительного образования"</t>
  </si>
  <si>
    <t>Муниципальная программа "Развитие культуры и туризма в Ханкайском муниципальном районе" на 2020-2024 годы</t>
  </si>
  <si>
    <t>Основное мероприятие: "Обеспечение деятельности музейно- библиотечного обслуживания"</t>
  </si>
  <si>
    <t>Субсидии некоммерческих организациям (за исключением государственных (муниципальных) учреждений)</t>
  </si>
  <si>
    <t>Основное мероприятие "Субсидирование на приобретение жилья в сельской местности"</t>
  </si>
  <si>
    <t>1000000000</t>
  </si>
  <si>
    <t>1095800000</t>
  </si>
  <si>
    <t>10958L4970</t>
  </si>
  <si>
    <t>Муниципальная программа  "Развитие физической культуры и спорта в Ханкайском муниципальном районе" на 2020-2024 годы</t>
  </si>
  <si>
    <t>Федеральный проект "Спорт- норма жизни"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</si>
  <si>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</si>
  <si>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Субвенции бюджетам муниципальных образований Приморского края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</si>
  <si>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</si>
  <si>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>9919993130</t>
  </si>
  <si>
    <t>Субвенции бюджетам муниципальных образований Приморского края на реализацию государственного полномочия по установлению  регулируемых тарифов на регулярные перевозки пассажиров и багажа автомобильным  и наземным электрическим общественным транспортом  по муниципальным маршрутам в границах муниципального образования</t>
  </si>
  <si>
    <t>Основное мероприятие: Организация деятельности в области градостроения"</t>
  </si>
  <si>
    <t>1495400000</t>
  </si>
  <si>
    <t>Основное мероприятие: "Организация деятельности в области землепользования"</t>
  </si>
  <si>
    <t>07972S2270</t>
  </si>
  <si>
    <t>07972S2320</t>
  </si>
  <si>
    <t>0393100000</t>
  </si>
  <si>
    <t>Субсидии из краевого бюджета бюджетам муниципальных образований Приморского края на комплектование книжных фондов и обеспечение информационно-техническим оборудованием библиотек</t>
  </si>
  <si>
    <t>Основное мероприятие "Обеспечение выплаты молодым семьям субсидий на приобретение (строительство) стандартного жилья"</t>
  </si>
  <si>
    <t>Подпрограмма "Развитие дошкольного образования в Ханкайском муниципальном районе" 2020-2024 годы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</si>
  <si>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</si>
  <si>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</si>
  <si>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>Основное мероприятие: "Мероприятия не связанные с дополнительным образовательным процессом"</t>
  </si>
  <si>
    <t>Субвенции бюджетам муниципальных образований Приморского края на  организацию и обеспечение оздоровления и отдыха детей Приморского края (за исключением организации отдыха детей в каникулярное время)</t>
  </si>
  <si>
    <t>Субвенции бюджетам муниципальных образований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</si>
  <si>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Субвенции на реализацию государственных полномочий органов опеки и попечительства в отношении несовершеннолетних</t>
  </si>
  <si>
    <t>9919993160</t>
  </si>
  <si>
    <t>(рублей)</t>
  </si>
  <si>
    <t>12973S2390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</si>
  <si>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 в присяжные заседатели федеральных судов общей юрисдикции</t>
  </si>
  <si>
    <t>0900000000</t>
  </si>
  <si>
    <t>0595100000</t>
  </si>
  <si>
    <t>0999100000</t>
  </si>
  <si>
    <t>0595120130</t>
  </si>
  <si>
    <t>1495414020</t>
  </si>
  <si>
    <t xml:space="preserve">Основное мероприятие: "Развитие системы утилизации и переработки бытовых отходов на территории Ханкайского муниципального района" </t>
  </si>
  <si>
    <t>Основное мероприятие: "Субсидирование расходов на приобретение жилья в сельской местности"</t>
  </si>
  <si>
    <t>Муниципальная программа "Развитие систем жилищно-коммунальной инфраструктуры в Ханкайском муниципальном районе" на 2020-2024 годы</t>
  </si>
  <si>
    <t>Основное мероприятие: "Обеспечение выплаты молодым семьям субсидий на приобретение (строительство) жилья"</t>
  </si>
  <si>
    <t>Основное мероприятие: "Организация деятельности в области градостроения"</t>
  </si>
  <si>
    <t>Мероприятия по профилактике правонарушений</t>
  </si>
  <si>
    <t>Субвенции бюджетам муниципальных образований Приморского края на реализацию государственных полномочий по назначению и предоставлению выплаты единовременного пособия при передаче ребенка на воспитание в семью</t>
  </si>
  <si>
    <t>9919952600</t>
  </si>
  <si>
    <t>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</si>
  <si>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>9919993050</t>
  </si>
  <si>
    <t>Наименование межбюджетных трансфертов</t>
  </si>
  <si>
    <t>Наименование межбюджетных трасфертов</t>
  </si>
  <si>
    <t xml:space="preserve"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</t>
  </si>
  <si>
    <t>1495314020</t>
  </si>
  <si>
    <t>0590000000</t>
  </si>
  <si>
    <t>Расходы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</si>
  <si>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01112S2020</t>
  </si>
  <si>
    <t>Расходы на проведение ремонтных работ общеобразовательных учреждений</t>
  </si>
  <si>
    <t>01212S2340</t>
  </si>
  <si>
    <t>по разделам, подразделам, целевым статьям (муниципальным программам Ханкайского</t>
  </si>
  <si>
    <t>муниципального района и непрограммным направлениям деятельности), группам</t>
  </si>
  <si>
    <t xml:space="preserve"> (группам и подгруппам) видов расходов классификации расходов бюджетов </t>
  </si>
  <si>
    <t xml:space="preserve"> бюджетных ассигнований по муниципальным программам Ханкайского </t>
  </si>
  <si>
    <t>Федеральный проект "Чистая вода"</t>
  </si>
  <si>
    <t>019E500000</t>
  </si>
  <si>
    <t>Расходы на приобретение муниципальными учреждениями недвижимого и особо ценного движимого имущества</t>
  </si>
  <si>
    <t>0111270060</t>
  </si>
  <si>
    <t>Субсидии бюджетам муниципальных образований Приморского края на строительство и реконструкцию (модернизацию) объектов питьевого водоснабжения</t>
  </si>
  <si>
    <t>0797440010</t>
  </si>
  <si>
    <t>1700000000</t>
  </si>
  <si>
    <t>Основное мероприятие: "Укрепление общественного здоровья"</t>
  </si>
  <si>
    <t>1795700000</t>
  </si>
  <si>
    <t>Мероприятия направленные на формирование системы мотивации граждан к здоровому образу жизни</t>
  </si>
  <si>
    <t>1795720180</t>
  </si>
  <si>
    <t>Федеральный проект "Успех каждого ребенка"</t>
  </si>
  <si>
    <t>Мероприятия по созданию в общеобразовательных организациях условий для занятий физической культурой и спортом</t>
  </si>
  <si>
    <t>Субвенции бюджетам муниципальных образований Приморского края на 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края, софинансируемые за счет средств федерального бюджета</t>
  </si>
  <si>
    <t>структуре расходов бюджета Ханкайского муниципального округа</t>
  </si>
  <si>
    <t>1 05 01000 00 0000 110</t>
  </si>
  <si>
    <t>Налог, взимаемый в связи с применением упрощенной системы налогообложения</t>
  </si>
  <si>
    <t>1 05 04010 02 0000 110</t>
  </si>
  <si>
    <t>1 06 00000 00 0000 000</t>
  </si>
  <si>
    <t>НАЛОГИ НА ИМУЩЕСТВО</t>
  </si>
  <si>
    <t>Земельный налог</t>
  </si>
  <si>
    <t>1 06 06000 00 0000 110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</si>
  <si>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</si>
  <si>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</si>
  <si>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1 17 00000 00 0000 000</t>
  </si>
  <si>
    <t>ПРОЧИЕ НЕНАЛОГОВЫЕ ДОХОДЫ</t>
  </si>
  <si>
    <t>1 00 00000 00 0000 000</t>
  </si>
  <si>
    <t>НАЛОГИ  НА  ПРИБЫЛЬ, ДОХОДЫ</t>
  </si>
  <si>
    <t>НАЛОГИ НА ТОВАРЫ (РАБОТЫ, УСЛУГИ), РЕАЛИЗУЕМЫЕ НА ТЕРРИТОРИИ РОССИЙСКОЙ ФЕДЕРАЦИИ</t>
  </si>
  <si>
    <t xml:space="preserve">НАЛОГИ  НА  СОВОКУПНЫЙ ДОХОД </t>
  </si>
  <si>
    <t xml:space="preserve">1 05 03000 01 0000 110 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</si>
  <si>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</si>
  <si>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</si>
  <si>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</si>
  <si>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 xml:space="preserve">ДОХОДЫ ОТ ПРОДАЖИ МАТЕРИАЛЬНЫХ И НЕМАТЕРИАЛЬНЫХ АКТИВОВ                       </t>
  </si>
  <si>
    <t>Финансовое управление Администрации Ханкайского муниципального округа Приморского края</t>
  </si>
  <si>
    <t>Руководство и управление в сфере установленных функций органов местного  самоуправления Ханкайского муниципального округа</t>
  </si>
  <si>
    <t>9909910031</t>
  </si>
  <si>
    <t>Глава Ханкайского  муниципального округа</t>
  </si>
  <si>
    <t>9909910011</t>
  </si>
  <si>
    <t>Контрольный орган Администрации Ханкайского муниципального округа</t>
  </si>
  <si>
    <t>955</t>
  </si>
  <si>
    <t>956</t>
  </si>
  <si>
    <t>957</t>
  </si>
  <si>
    <t>9909970101</t>
  </si>
  <si>
    <t>Мероприятия, проводимые Администрацией Ханкайского муниципального округа</t>
  </si>
  <si>
    <t>Обеспечение пожарной безопасности</t>
  </si>
  <si>
    <t>0310</t>
  </si>
  <si>
    <t>Мероприятия, направленные на расходы по обеспечению первичных мер пожарной безопасности</t>
  </si>
  <si>
    <t>99199M0820</t>
  </si>
  <si>
    <t>Муниципальная программа "Благоустройство, озеленение и освещение территории муниципального округа" на 2021 -2025 годы</t>
  </si>
  <si>
    <t>1800000000</t>
  </si>
  <si>
    <t>Основное мероприятие: "Благоустройство территории муниципального округа"</t>
  </si>
  <si>
    <t>1895800000</t>
  </si>
  <si>
    <t>Мероприятия, направленные на расходы связанные с потреблением электроэнергии, восстановлением, капитальным ремонтом и ремонтом объектов уличного освещения</t>
  </si>
  <si>
    <t>1895843600</t>
  </si>
  <si>
    <t>Мероприятия, направленные на расходы связанные с содержанием и развитием озеленения на территории муниципального округа</t>
  </si>
  <si>
    <t>1895843700</t>
  </si>
  <si>
    <t>Мероприятия, направленные на благоустройство муниципального округа</t>
  </si>
  <si>
    <t>1895843800</t>
  </si>
  <si>
    <t xml:space="preserve">Муниципальная программа "Формирование современной городской среды" на  территории Ханкайского муниципального округа" на 2021-2027 годы </t>
  </si>
  <si>
    <t>1900000000</t>
  </si>
  <si>
    <t>02923L3060</t>
  </si>
  <si>
    <t>Другие вопросы в области культуры, кинематографии</t>
  </si>
  <si>
    <t>0804</t>
  </si>
  <si>
    <t>Расходы на софинансирование строительство, реконструкцию, ремонту объектов культуры (в том числе проектно-изыскательские работы)</t>
  </si>
  <si>
    <t>02923S2050</t>
  </si>
  <si>
    <t>Резервный фонды Администрации Ханкайского муниципального округа</t>
  </si>
  <si>
    <t>Дума Ханкайского муниципального округа Приморского края</t>
  </si>
  <si>
    <t>Председатель Думы Ханкайского  муниципипального округа</t>
  </si>
  <si>
    <t>9909910021</t>
  </si>
  <si>
    <t>9909910041</t>
  </si>
  <si>
    <t>Депутаты Думы Ханкайского муниципального округа</t>
  </si>
  <si>
    <t>Мероприятия, проводимые Думой Ханкайского муниципального округа</t>
  </si>
  <si>
    <t>9909970201</t>
  </si>
  <si>
    <t>0111220400</t>
  </si>
  <si>
    <t>0191110031</t>
  </si>
  <si>
    <t>958</t>
  </si>
  <si>
    <t>9909910101</t>
  </si>
  <si>
    <t>краевые</t>
  </si>
  <si>
    <t>9909900011</t>
  </si>
  <si>
    <t>Мероприятия, проводимые администрацией Ханкайского муниципального округа</t>
  </si>
  <si>
    <t>Уменьшение прочих остатков денежных средств бюджетов городских округов</t>
  </si>
  <si>
    <t>Увеличение прочих остатков денежных средств бюджетов городских округов</t>
  </si>
  <si>
    <t xml:space="preserve">внутреннего финансирования дефицита  бюджета Ханкайского муниципального округа  </t>
  </si>
  <si>
    <t>Управление образования Администрации Ханкайского муниципального округа Приморского края</t>
  </si>
  <si>
    <t>Расходы, направленные на  формирование современной городской среды</t>
  </si>
  <si>
    <t>Федеральный проект "Формирование комфортной городской среды"</t>
  </si>
  <si>
    <t>Подпрограмма № 1 «Формирование современной городской среды на территории Ханкайского муниципального округа» на 2021-2027 годы»</t>
  </si>
  <si>
    <t>1910000000</t>
  </si>
  <si>
    <t>191F200000</t>
  </si>
  <si>
    <t>191F255550</t>
  </si>
  <si>
    <t>Подпрограмма № 2 «Благоустройство территорий Ханкайского муниципального округа» на 2021 – 2027 годы</t>
  </si>
  <si>
    <t>Основное мероприятие: "Благоустройство территорий, детских и спортивных площадок"</t>
  </si>
  <si>
    <t>1920000000</t>
  </si>
  <si>
    <t>1925900000</t>
  </si>
  <si>
    <t>19259S2610</t>
  </si>
  <si>
    <t>Мероприятия, направленные на благоустройство территорий, детских и спортивных площадок на территории Ханкайского муниципального округа</t>
  </si>
  <si>
    <t>2 02 40000 00 0000 150</t>
  </si>
  <si>
    <t>Иные межбюджетные трансферты</t>
  </si>
  <si>
    <t>Субсидии бюджетам муниципальных образований Приморского края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</si>
  <si>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образований Приморского края на обеспечение граждан твердым топливом</t>
  </si>
  <si>
    <t>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</t>
  </si>
  <si>
    <t>Субсидии бюджетам муниципальных образований Приморского края на поддержку муниципальных программ по благоустройству территорий муниципальных образований Приморского края</t>
  </si>
  <si>
    <t>Субвенции на проведение Всероссийской переписи населения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</si>
  <si>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</t>
  </si>
  <si>
    <t>Единая субвенция местным бюджетам из краевого бюджета</t>
  </si>
  <si>
    <t>Иные межбюджетные трансферты бюджетам муниципальных образований Приморского края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</si>
  <si>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Субсидии бюджетам муниципальных образований Приморского края на 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</t>
  </si>
  <si>
    <t xml:space="preserve"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
</t>
  </si>
  <si>
    <t>9919954690</t>
  </si>
  <si>
    <t>9919993000</t>
  </si>
  <si>
    <t xml:space="preserve">НАЦИОНАЛЬНАЯ ОБОРОНА
</t>
  </si>
  <si>
    <t xml:space="preserve">Мобилизационная и вневойсковая подготовка
</t>
  </si>
  <si>
    <t>0203</t>
  </si>
  <si>
    <t>Субвенции на осуществление первичного воинского учета на территориях, где отсутствуют военные комиссариаты</t>
  </si>
  <si>
    <t>9919951180</t>
  </si>
  <si>
    <t>1297392390</t>
  </si>
  <si>
    <t>1925992610</t>
  </si>
  <si>
    <t>0797292620</t>
  </si>
  <si>
    <t>Субсидии из краевого бюджета бюджетам муниципальных образований Приморского края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</si>
  <si>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0111292020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</si>
  <si>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</si>
  <si>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011P200000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</si>
  <si>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</si>
  <si>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0121153030</t>
  </si>
  <si>
    <t>Cубсидии из краевого бюджета бюджетам муниципальных образований на капитальный ремонт зданий муниципальных общеобразовательных учреждений</t>
  </si>
  <si>
    <t>0121292340</t>
  </si>
  <si>
    <t>Федеральный проект "Культурная среда"</t>
  </si>
  <si>
    <t>029A100000</t>
  </si>
  <si>
    <t>029A155191</t>
  </si>
  <si>
    <t>Расходы направленные на ликвидацию муниципальных учреждений</t>
  </si>
  <si>
    <t>9909930200</t>
  </si>
  <si>
    <t>1 11 05012 14 0000 120</t>
  </si>
  <si>
    <t>1 11 05074 14 0000 120</t>
  </si>
  <si>
    <t>1 11 09044 14 0000 120</t>
  </si>
  <si>
    <t>Налог, взимаемый в связи с применением патентной системы налогообложения, зачисляемый в бюджеты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</si>
  <si>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</si>
  <si>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</si>
  <si>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Доходы от сдачи в аренду имущества, составляющего казну муниципальных округов (за исключением земельных участков)
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</si>
  <si>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</si>
  <si>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поступающие в порядке возмещения расходов, понесенных в связи с эксплуатацией имущества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</si>
  <si>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</si>
  <si>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
</t>
  </si>
  <si>
    <t>Прочие неналоговые доходы бюджетов муниципальных округов</t>
  </si>
  <si>
    <t>Субсидии бюджетам муниципальных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</si>
  <si>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Субсидии бюджетам муниципальных округов на реализацию программ формирования современной городской среды</t>
  </si>
  <si>
    <t>Прочие субсидии бюджетам муниципальных округов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</si>
  <si>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</si>
  <si>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</si>
  <si>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</si>
  <si>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Субвенции бюджетам муниципальных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</si>
  <si>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</si>
  <si>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муниципальных округов на проведение Всероссийской переписи населения 2020 года</t>
  </si>
  <si>
    <t>Субвенции бюджетам муниципальных округов на государственную регистрацию актов гражданского состояния</t>
  </si>
  <si>
    <t>Единая субвенция бюджетам муниципальных округов из бюджета субъекта Российской Федерации</t>
  </si>
  <si>
    <t>1 13 02064 14 0000 130</t>
  </si>
  <si>
    <t>1 14 02043 14 0000 410</t>
  </si>
  <si>
    <t>1 14 06012 14 0000 430</t>
  </si>
  <si>
    <t>1 17 05040 14 0000 180</t>
  </si>
  <si>
    <t>2 02 25232 14 0000 150</t>
  </si>
  <si>
    <t>2 02 25555 14 0000 150</t>
  </si>
  <si>
    <t>2 02 29999 14 0000 150</t>
  </si>
  <si>
    <t>2 02 30024 14 0000 150</t>
  </si>
  <si>
    <t>2 02 30029 14 0000 150</t>
  </si>
  <si>
    <t>1 06 01020 14 0000 110</t>
  </si>
  <si>
    <t>2 02 35118 14 0000 150</t>
  </si>
  <si>
    <t>2 02 35120 14 0000 150</t>
  </si>
  <si>
    <t xml:space="preserve">2 02 35260 14 0000 150
</t>
  </si>
  <si>
    <t>2 02 35304 14 0000 150</t>
  </si>
  <si>
    <t>2 02 35469 14 0000 150</t>
  </si>
  <si>
    <t>2 02 35930 14 0000 150</t>
  </si>
  <si>
    <t>2 02 36900 14 0000 150</t>
  </si>
  <si>
    <t>2 02 45303 14 0000 150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</si>
  <si>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</si>
  <si>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Субсидии бюджетам муниципальных округов на поддержку отрасли культуры</t>
  </si>
  <si>
    <t>2 02 35260 14 0000 150</t>
  </si>
  <si>
    <t>2 02 25519 14 0000 150</t>
  </si>
  <si>
    <t xml:space="preserve"> муниципального округа</t>
  </si>
  <si>
    <t>012E2L0970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</si>
  <si>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</si>
  <si>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Субвенции бюджетам муниципальных образований Приморского края на осуществление отдельных государственных полномочий по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
</t>
  </si>
  <si>
    <t>Субвенции бюджетам муниципальных образований Приморского края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</t>
  </si>
  <si>
    <t>0121493150</t>
  </si>
  <si>
    <t>председ</t>
  </si>
  <si>
    <t xml:space="preserve">глава </t>
  </si>
  <si>
    <t xml:space="preserve"> 01 05 02 01 14 0000 510</t>
  </si>
  <si>
    <t xml:space="preserve"> 01 05 02 01 14 0000 610</t>
  </si>
  <si>
    <t>1 05 02000 02 0000 110</t>
  </si>
  <si>
    <t>Субсидии бюджетам муниципальных округов на реализацию мероприятий по обеспечению жильем молодых семей</t>
  </si>
  <si>
    <t>2 02 25497 14 0000 150</t>
  </si>
  <si>
    <t>Субсидии бюджетам муниципальных округов на оснащение объектов спортивной инфраструктуры спортивно-технологическим оборудованием</t>
  </si>
  <si>
    <t>2 02 25228 14 0000 150</t>
  </si>
  <si>
    <t>Субсидии бюджетам муниципальных округов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</si>
  <si>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2 02 25097 14 0000 150</t>
  </si>
  <si>
    <t>0490000000</t>
  </si>
  <si>
    <t>011P2L2320</t>
  </si>
  <si>
    <t>0292470080</t>
  </si>
  <si>
    <t>0292400000</t>
  </si>
  <si>
    <t>Основное мероприятие: "Обеспечение деятельности учреждений культуры"</t>
  </si>
  <si>
    <t>1925944100</t>
  </si>
  <si>
    <t>Благоустройство территорий, детских и спортивных площадок на территории Ханкайского муниципального округа</t>
  </si>
  <si>
    <t>07972S2360</t>
  </si>
  <si>
    <t>Расходы на реализацию проектов инициативного бюджетирования по направлению "Твой проект"</t>
  </si>
  <si>
    <t>9909920400</t>
  </si>
  <si>
    <t>9909930110</t>
  </si>
  <si>
    <t xml:space="preserve">Уплата налогов, сборов и иных платежей
</t>
  </si>
  <si>
    <t>Расходы, направленные на возмещение материального ущерба и судебных издержек</t>
  </si>
  <si>
    <t>0696570400</t>
  </si>
  <si>
    <t>Расходы на содержание территориальных отделов Администрации  муниципального округа</t>
  </si>
  <si>
    <t>0696570300</t>
  </si>
  <si>
    <t>0696570000</t>
  </si>
  <si>
    <t>Основное мероприятие: "Прочие расходы"</t>
  </si>
  <si>
    <t>870</t>
  </si>
  <si>
    <t>0111</t>
  </si>
  <si>
    <t>Резервные средства</t>
  </si>
  <si>
    <t>Резервный фонды Администрации Ханкайского муниципального района</t>
  </si>
  <si>
    <t>Резервные фонды</t>
  </si>
  <si>
    <t xml:space="preserve">подразделам, целевым статьям (муниципальным программам Ханкайского муниципального округа и </t>
  </si>
  <si>
    <t>079F500000</t>
  </si>
  <si>
    <t>079F552430</t>
  </si>
  <si>
    <t>2 02 10000 00 0000 150</t>
  </si>
  <si>
    <t>Дотации бюджетам бюджетной системы Российской Федерации</t>
  </si>
  <si>
    <t>2 02 19999 14 0000 150</t>
  </si>
  <si>
    <t>Прочие дотации бюджетам муниципальных округов</t>
  </si>
  <si>
    <t>Субсидии на реализацию проектов инициативного бюджетирования по направлению "Твой проект"</t>
  </si>
  <si>
    <t>0797292360</t>
  </si>
  <si>
    <t>Субсидии из краевого бюджета на  реализацию проектов инициативного бюджетирования по направлению "Твой проект"</t>
  </si>
  <si>
    <t>Расходы на софинансирование строительства, реконструкции, ремонт объектов культуры (в том числе проектно-изыскательские работы), находящихся в муниципальной собственности, и приобретение объектов культуры для муниципальных нужд</t>
  </si>
  <si>
    <t>02922S2050</t>
  </si>
  <si>
    <t>02924S2050</t>
  </si>
  <si>
    <t>Увеличение прочих остатков денежных средств бюджетов муниципальных округов</t>
  </si>
  <si>
    <t>Уменьшение прочих остатков денежных средств бюджетов  муниципальных округов</t>
  </si>
  <si>
    <t xml:space="preserve">Исполнение судебных актов
</t>
  </si>
  <si>
    <t>830</t>
  </si>
  <si>
    <t>Расходы на содержание и приобретение имущества для нужд Администрации округа</t>
  </si>
  <si>
    <t>Дотации бюджетам муниципальных округов на поддержку мер по обеспечению сбалансированности бюджетов</t>
  </si>
  <si>
    <t>2 02 15002 14 0000 150</t>
  </si>
  <si>
    <t>0121270060</t>
  </si>
  <si>
    <t>9919993180</t>
  </si>
  <si>
    <t>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</si>
  <si>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 на осуществление первичного воинского учета на территориях, где отсутствуют военные комиссариаты за счет местного бюджета</t>
  </si>
  <si>
    <t>191F244100</t>
  </si>
  <si>
    <t>Расходы на обустройство прилегающей территории образовательных учреждений</t>
  </si>
  <si>
    <t>0111270090</t>
  </si>
  <si>
    <t>0131270060</t>
  </si>
  <si>
    <t>9909941180</t>
  </si>
  <si>
    <t>Развитие муниципального дорожного фонда (содержание и ремонт, проектирование, строительство и капитальный ремонт улично- дорожной сети  и другие расходы)</t>
  </si>
  <si>
    <t>2 02 39999 14 0000 150</t>
  </si>
  <si>
    <t>Прочие субвенции бюджетам муниципальных округов</t>
  </si>
  <si>
    <t>1 05 04060 02 0000 110</t>
  </si>
  <si>
    <t>1 14 02043 14 0000 400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</si>
  <si>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</si>
  <si>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0131220400</t>
  </si>
  <si>
    <t>019E100000</t>
  </si>
  <si>
    <t>019E193140</t>
  </si>
  <si>
    <t>Федеральный проект "Современная школа"</t>
  </si>
  <si>
    <t>Основное мероприятие "Прочие расходы"</t>
  </si>
  <si>
    <t>Контрольно-счетная палата Ханкайского муниципального округа</t>
  </si>
  <si>
    <t>959</t>
  </si>
  <si>
    <t>Председатель контрольно - счетной палаты</t>
  </si>
  <si>
    <t>Основное мероприятие «Обеспечение персонифицированного финансирования дополнительного образования детей»</t>
  </si>
  <si>
    <t>0131300000</t>
  </si>
  <si>
    <t>0131370040</t>
  </si>
  <si>
    <t>Отклонение возможности от потребности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</si>
  <si>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</t>
  </si>
  <si>
    <t xml:space="preserve">Субвенции бюджетам муниципальных образований Приморского края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
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</si>
  <si>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состояния, за счет краевого бюджета,</t>
  </si>
  <si>
    <t>049P592230</t>
  </si>
  <si>
    <t>19259S2360</t>
  </si>
  <si>
    <t>07974S5762</t>
  </si>
  <si>
    <t>Обеспечение комплексного развития сельских территорий (на реализацию мероприятий по благоустройству сельских территорий)</t>
  </si>
  <si>
    <t>ИТОГО</t>
  </si>
  <si>
    <t>049P5S2230</t>
  </si>
  <si>
    <t>Субсидии бюджетам муниципальных образований Приморского края на организацию физкультурно-спортивной работы по месту жительства</t>
  </si>
  <si>
    <t xml:space="preserve">Субсидии   на организацию предоставления транспортных услуг населению </t>
  </si>
  <si>
    <t>ОМСУ</t>
  </si>
  <si>
    <t>норматив</t>
  </si>
  <si>
    <t>глава</t>
  </si>
  <si>
    <t>Основное мероприятие: "Субсидии на оказание поддержки малого и среднего предпринимательства"</t>
  </si>
  <si>
    <t>Гранты в форме субсидий субъектам малого и среднего предпринимательства, включенным в реестр социальных предпринимателей, на финансовое обеспечение расходов, связанных с реализацией проекта в сфере социального предпринимательства</t>
  </si>
  <si>
    <t>0999119180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</si>
  <si>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</si>
  <si>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 xml:space="preserve">Основное мероприятие: "Субсидии на оказание поддержки малого и среднего предпринимательства" </t>
  </si>
  <si>
    <t>Сумма 2023 год</t>
  </si>
  <si>
    <t>Сумма 2024 год</t>
  </si>
  <si>
    <t>99199R0820</t>
  </si>
  <si>
    <t>Развитие муниципального дорожного фонда (содержание и ремонт, проектирование, строительство и капитальный ремонт улично- дородной сети на них и другие расходы)</t>
  </si>
  <si>
    <t>049P592220</t>
  </si>
  <si>
    <t>049P5S2220</t>
  </si>
  <si>
    <t>собственные</t>
  </si>
  <si>
    <t xml:space="preserve">условно утвержденные </t>
  </si>
  <si>
    <t>софинансирование</t>
  </si>
  <si>
    <t>в составе краевых</t>
  </si>
  <si>
    <t>условно утв 2,5%</t>
  </si>
  <si>
    <t>условно утв 5%</t>
  </si>
  <si>
    <t>условно утв</t>
  </si>
  <si>
    <t>0900</t>
  </si>
  <si>
    <t>Основное мероприятие: "Обеспечение доступности транспортных услуг населению"</t>
  </si>
  <si>
    <t>1696100000</t>
  </si>
  <si>
    <t>1696140801</t>
  </si>
  <si>
    <t>Субсидии юридическим лицам, индивидуальным предпринимателям, физическим лицам- призводителям товаров, работ, услуг на возмещение затрат и (или) недополученных доходов в связи с производством (реализацией) товаров, выполнением работ, оказанием услуг.</t>
  </si>
  <si>
    <t>Приложение 12</t>
  </si>
  <si>
    <t>Муниципальная программа "Поддержка и развитие транспортного обслуживания на территории Ханкайского муниципального округа" на 2022 -2026 годы</t>
  </si>
  <si>
    <t>Развитие муниципального дорожного фонда (содержание и ремонт, проектирование, строительство и капитальный ремонт улично- дорожной сети на них и другие расходы)</t>
  </si>
  <si>
    <t>Доля программных расходов</t>
  </si>
  <si>
    <t>Публично-нормативные</t>
  </si>
  <si>
    <t>Муниципальная программа  "Развитие образования в Ханкайском муниципальном округе" на 2020-2024 годы</t>
  </si>
  <si>
    <t>Муниципальная программа "Развитие образования в Ханкайском муниципальном округе" на 2020-2024 годы</t>
  </si>
  <si>
    <t>Муниципальная программа "Укрепление общественного здоровья в Ханкайском муниципальном округе" на 2020-2024 годы</t>
  </si>
  <si>
    <t>Муниципальная программа "Развитие информационного общества в Ханкайском муниципальном округе" на 2020-2024 годы</t>
  </si>
  <si>
    <t>Муниципальная программа "Развитие муниципальной службы в Ханкайском муниципальном округе" на 2020-2024 годы</t>
  </si>
  <si>
    <t>Подпрограмма "Развитие системы общего образования в  Ханкайском муниципальном округе" на 2020-2024 годы</t>
  </si>
  <si>
    <t>Подпрограмма "Развитие системы дополнительного образования в Ханкайском муниципальном округе" на 2020-2024 годы</t>
  </si>
  <si>
    <t>Подпрограмма "Развитие системы общего образования в  Ханкайском муниципальном округе" в 2020-2024 годы</t>
  </si>
  <si>
    <t>Подпрограмма "Развитие дошкольного образования в Ханкайском муниципальном округе" 2020-2024 годы</t>
  </si>
  <si>
    <t>Основное мероприятие: "Совершенствование деятельности муниципальной службы в Ханкайском муниципальном округе"</t>
  </si>
  <si>
    <t>Муниципальная программа  "Развитие физической культуры и спорта в Ханкайском муниципальном округе" на 2020-2024 годы</t>
  </si>
  <si>
    <t>Основное мероприятие: "Содействие развития физической культуры и спорта в Ханкайском муниципальном округе"</t>
  </si>
  <si>
    <t>Муниципальная программа "Обеспечение жильем молодых семей Ханкайского мунципального округе" на 2020- 2024 годы</t>
  </si>
  <si>
    <t>Муниципальная программа "Развитие культуры и туризма в Ханкайском муниципальном округе" на 2020-2024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</si>
  <si>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2020-2024 годы</t>
  </si>
  <si>
    <t>Муниципальная программа "Охрана окружающей среды Ханкайского муниципального округа" на 2020-2024 годы</t>
  </si>
  <si>
    <t>Основное мероприятие: "Развитие  системы утилизации и переработки бытовых отходов на территории Ханкайского муниципального округа"</t>
  </si>
  <si>
    <t>Муниципальная программа "Развитие систем жилищно-коммунальной инфраструктуры в Ханкайском муниципальном округе" на 2020-2024 годы</t>
  </si>
  <si>
    <t>Основное мероприятие "Развитие систем энерго- тепло- газо- и водоснабжения в Ханкайском муниципальном округе"</t>
  </si>
  <si>
    <t>Муниципальная программа "Развитие систем жилищно-коммунальной инфраструктуры  в Ханкайском муниципальном округе" на 2020-2024 годы</t>
  </si>
  <si>
    <t>Основное мероприятие: "Развитие систем энерго- тепло- газо- водоснабжения в Ханкайском муниципальном округе" на 2020-2024 годы</t>
  </si>
  <si>
    <t>Муниципальная программа "Управление муниципальным имуществом  в Ханкайском муниципальном округе" на 2020-2024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</si>
  <si>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2020-2024 годы</t>
  </si>
  <si>
    <t xml:space="preserve">Муниципальная программа "Развитие малого и среднего предпринимательства в Ханкайском муниципальном округе" на 2020-2024 годы 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</si>
  <si>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2020-2024 годы</t>
  </si>
  <si>
    <t>Муниципальная программа "Управление муниципальным имуществом в Ханкайском муниципальном округе" на 2020-2024 годы</t>
  </si>
  <si>
    <t>Муниципальная программа "Доступная среда в Ханкайском муниципальном округе" на 2020-2024 годы</t>
  </si>
  <si>
    <t>Муниципальная программа "Развитие муниципальной службы в  Ханкайском муниципальном округе" на 2020-2024 годы</t>
  </si>
  <si>
    <t>Основное мероприятие "Совершенствование деятельности муниципальной службы в Ханкайском муниципальном округе"</t>
  </si>
  <si>
    <t>Муниципальная программа "Обеспечение жильем молодых семей Ханкайского мунципального округа" на 2020- 2024 годы</t>
  </si>
  <si>
    <t xml:space="preserve">Основное мероприятие: "Развитие системы утилизации и переработки бытовых отходов на территории Ханкайского муниципального округа" </t>
  </si>
  <si>
    <t>Основное мероприятие: "Развитие систем энерго- тепло- газо- и водоснабжения в Ханкайском муниципальтном округе"</t>
  </si>
  <si>
    <t>02923R2990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</si>
  <si>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</si>
  <si>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
 на 2019 - 2024 годы"</t>
  </si>
  <si>
    <t>18958S2360</t>
  </si>
  <si>
    <t>МК+КБ</t>
  </si>
  <si>
    <t>0100000</t>
  </si>
  <si>
    <t>0200000</t>
  </si>
  <si>
    <t>0300000</t>
  </si>
  <si>
    <t>0400000</t>
  </si>
  <si>
    <t>0500000</t>
  </si>
  <si>
    <t>0600000</t>
  </si>
  <si>
    <t>0700000</t>
  </si>
  <si>
    <t>0800000</t>
  </si>
  <si>
    <t>0900000</t>
  </si>
  <si>
    <t>1000000</t>
  </si>
  <si>
    <t>1100000</t>
  </si>
  <si>
    <t>1200000</t>
  </si>
  <si>
    <t>1300000</t>
  </si>
  <si>
    <t>1400000</t>
  </si>
  <si>
    <t>1500000</t>
  </si>
  <si>
    <t>1700000</t>
  </si>
  <si>
    <t>1800000</t>
  </si>
  <si>
    <t>1900000</t>
  </si>
  <si>
    <t>9900000</t>
  </si>
  <si>
    <t>1600000</t>
  </si>
  <si>
    <t>публ норм</t>
  </si>
  <si>
    <t xml:space="preserve">бюджетных ассигнований из бюджета Ханкайского муниципального округа на 2023-2024 годы год в </t>
  </si>
  <si>
    <t>ведомственной структуре расходов бюджета Ханкайского муниципального округа</t>
  </si>
  <si>
    <t>к решению Думы Ханкайского</t>
  </si>
  <si>
    <t>от 23.12.2021 № 301</t>
  </si>
  <si>
    <t>2 02 25299 14 0000 150</t>
  </si>
  <si>
    <t>02923L2990</t>
  </si>
  <si>
    <t>муниципального округа</t>
  </si>
  <si>
    <t>15963L2990</t>
  </si>
  <si>
    <t>Содержание и обслуживание муниципальных объектов культуры</t>
  </si>
  <si>
    <t>Софинансирование расходов на приобретение и поставку спортивного инвентаря, спортивного оборудования и иного имущества для развития массового спорта</t>
  </si>
  <si>
    <t>1895892360</t>
  </si>
  <si>
    <t>Расходы на капитальный ремонт и благоустройство учреждений культуры</t>
  </si>
  <si>
    <t>0292470100</t>
  </si>
  <si>
    <t>Подготовка к организации и  проведению  "Сельских спортивных игр"</t>
  </si>
  <si>
    <t>0494170500</t>
  </si>
  <si>
    <t>0494170600</t>
  </si>
  <si>
    <t>01211R3040</t>
  </si>
  <si>
    <t>Субсидия на реализацию мероприятий по модернизации школьных систем образования</t>
  </si>
  <si>
    <t>01212L7500</t>
  </si>
  <si>
    <t>Расходы на содержание объектов спортивной инфраструктуры, находящейся в муниципальной собственности</t>
  </si>
  <si>
    <t>0494170700</t>
  </si>
  <si>
    <t>к проекту  решения Думы Ханкайского</t>
  </si>
  <si>
    <t>к проекту решения Думы Ханкайского</t>
  </si>
  <si>
    <t>Муниципальная программа «Комплексное развитие сель-ских территорий Ханкайского муниципального округа» на 2020-2024 годы</t>
  </si>
  <si>
    <t>Муниципальная программа «Комплексное развитие сельских территорий Ханкайского муниципального округа» на 2020-2024 годы</t>
  </si>
  <si>
    <t>02921L5190</t>
  </si>
  <si>
    <t>Государственная поддержка отрасли культуры
на модернизацию  библиотек в части комплектования книжных фондов библиотек муниципальных образований и государственных общедоступных библиотек</t>
  </si>
  <si>
    <t>Расходы на капитальный ремонт и благоустройство учреждений культуры и образовательных учреждений в сфере культуры</t>
  </si>
  <si>
    <t>Расходы на проведение текущего, капитального ремонта зданий и  помещений и обустройство прилегающей территории образовательных учреждений</t>
  </si>
  <si>
    <t>0121270090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</si>
  <si>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</si>
  <si>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9909900012</t>
  </si>
  <si>
    <t>Расходы на капитальный ремонт (ремонт) объектов муниципальных физкультурно-спортивных организаций на сельских территориях</t>
  </si>
  <si>
    <t>04941S2290</t>
  </si>
  <si>
    <t>Субсидии на капитальный ремонт (ремонт) объектов муниципальных физкультурно-спортивных организаций на сельских территориях</t>
  </si>
  <si>
    <t>0494192290</t>
  </si>
  <si>
    <t>07974L5762</t>
  </si>
  <si>
    <t>Приобретение специализированной коммунальной техники, оборудования, материалов</t>
  </si>
  <si>
    <t>0797440020</t>
  </si>
  <si>
    <t>Муниципальная программа "Противодействие коррупции в Ханкайском муниципальном округе" на 2020-2024 годы</t>
  </si>
  <si>
    <t>Основное мероприятие: "Антикоррупционное обучение и антикоррупционная пропаганда"</t>
  </si>
  <si>
    <t>2100000000</t>
  </si>
  <si>
    <t>2193400000</t>
  </si>
  <si>
    <t>2193413020</t>
  </si>
  <si>
    <t xml:space="preserve">Расходы на капитальный ремонт и благоустройство учреждений культуры </t>
  </si>
  <si>
    <t>0292370100</t>
  </si>
  <si>
    <t>Приложение №6</t>
  </si>
  <si>
    <t>от_______ №___</t>
  </si>
  <si>
    <t>Потребность 2023</t>
  </si>
  <si>
    <t>Возможность 2023</t>
  </si>
  <si>
    <t xml:space="preserve">бюджетных ассигнований из бюджета Ханкайского муниципального округа на 2023 год в ведомственной </t>
  </si>
  <si>
    <t>Утверждено в бюджете  2022 год</t>
  </si>
  <si>
    <t xml:space="preserve">Утверждено в бюджете 2023 год </t>
  </si>
  <si>
    <t>012E250970</t>
  </si>
  <si>
    <t>председатель думы</t>
  </si>
  <si>
    <t xml:space="preserve">краевые </t>
  </si>
  <si>
    <t>итого</t>
  </si>
  <si>
    <t>Утверждено 2023</t>
  </si>
  <si>
    <t>Отклонения от утв 2023</t>
  </si>
  <si>
    <t>Фактически исполнено в 2021 году</t>
  </si>
  <si>
    <t>0</t>
  </si>
  <si>
    <t>21000000</t>
  </si>
  <si>
    <t>услов-утвержденные</t>
  </si>
  <si>
    <t>Фактически исполнено на 9 месяцев 2022</t>
  </si>
  <si>
    <t>01321270090</t>
  </si>
  <si>
    <t>0131270090</t>
  </si>
  <si>
    <t>Дотации на выравнивание бюджетной обеспеченности муниципальных районов (муниципальных округов, городских округов)</t>
  </si>
  <si>
    <t>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</si>
  <si>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>Проведение работ по сохранению объектов культурного наследия</t>
  </si>
  <si>
    <t>Реализация мероприятий по обеспечению жильем молодых семей</t>
  </si>
  <si>
    <t>Приобретение и поставка спортивного инвентаря, спортивного оборудования и иного имущества для развития массового спорта</t>
  </si>
  <si>
    <t>Организация физкультурно-спортивной работы по месту жительства</t>
  </si>
  <si>
    <t xml:space="preserve">Субвенции бюджетам муниципальных образований Приморского края на осуществление полномочий Российской Федерации по первичному воинскому учету на территориях, где отсутствуют военные комиссариаты
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</si>
  <si>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</si>
  <si>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</si>
  <si>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</si>
  <si>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</si>
  <si>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0292355191</t>
  </si>
  <si>
    <t>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материалами))</t>
  </si>
  <si>
    <t>0292392490</t>
  </si>
  <si>
    <t>Расходы по софинансированию работ по сохранению объектов культурного наследия</t>
  </si>
  <si>
    <t>02923S2490</t>
  </si>
  <si>
    <t>0494192190</t>
  </si>
  <si>
    <t xml:space="preserve">расходы по софинансированию мероприятий по организация физкультурно-спортивной работы по месту жительства </t>
  </si>
  <si>
    <t>04941S2190</t>
  </si>
  <si>
    <t>15963Q2990</t>
  </si>
  <si>
    <t>Субсидии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 за счет средств краевого бюджета</t>
  </si>
  <si>
    <r>
      <t>Софинансирование расходов</t>
    </r>
    <r>
      <rPr>
        <sz val="13"/>
        <color rgb="FF0070C0"/>
        <rFont val="Times New Roman"/>
        <family val="1"/>
        <charset val="204"/>
      </rPr>
      <t xml:space="preserve"> на приобретение и поставку спортивного инвентаря, спортивного оборудования и иного имущества для развития массового спорта</t>
    </r>
    <r>
      <rPr>
        <sz val="13"/>
        <color rgb="FF000000"/>
        <rFont val="Times New Roman"/>
        <family val="1"/>
        <charset val="204"/>
      </rPr>
      <t xml:space="preserve"> </t>
    </r>
    <r>
      <rPr>
        <sz val="13"/>
        <color rgb="FFFF0000"/>
        <rFont val="Times New Roman"/>
        <family val="1"/>
        <charset val="204"/>
      </rPr>
      <t>(на организацию физкультурно-спортивной работы по месту жительства)</t>
    </r>
  </si>
  <si>
    <t>отклонение потребности от возможн</t>
  </si>
  <si>
    <t>0494192230</t>
  </si>
  <si>
    <t>04941S2230</t>
  </si>
  <si>
    <t>ремонты убрать</t>
  </si>
  <si>
    <t>Дотации на выравнивание бюджетной обеспеченности, подлежащие перечислению из краевого бюджета</t>
  </si>
  <si>
    <t>Сумма на 2025 год</t>
  </si>
  <si>
    <t>Расходы Резервного фонда Администрации Ханкайского муниципального округа, направленные на проведение мероприятий по увековечению памяти военнослужащих, лиц, проходящих службу в войсках национальной гвардии Российской Федерации и имеющих специальное звание полиции, в случае их гибели (смерти) в ходе участия в специальной военной операции на территориях Донецкой Народной Республики, Луганской Народной Республики и Украины, погребение которых осуществляется на территории Ханкайского  муниципального округа</t>
  </si>
  <si>
    <t>% роста потреб от 2022</t>
  </si>
  <si>
    <t>% роста возмож от 2022</t>
  </si>
  <si>
    <t>остатки средств на начало года</t>
  </si>
  <si>
    <t>2 02 25576 14 0000 150</t>
  </si>
  <si>
    <t>Субсидии бюджетам муниципальных округов на 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организаций культурно-досугового типа)</t>
  </si>
  <si>
    <t>2 02 35082 14 0000 150</t>
  </si>
  <si>
    <t xml:space="preserve">  </t>
  </si>
  <si>
    <t>Региональный проект "Успех каждого ребенка"</t>
  </si>
  <si>
    <t>софин</t>
  </si>
  <si>
    <t>Дотация на поощрение муниципальных округов в связи с их образованием в течение трех финансовых лет после образования соответствующих муниципальных округов</t>
  </si>
  <si>
    <t>Резервные фонды Администрации Ханкайского муниципального округа</t>
  </si>
  <si>
    <t>0292270100</t>
  </si>
  <si>
    <t>Региональный проект "Культурная среда"</t>
  </si>
  <si>
    <t>Региональный проект "Современная школа"</t>
  </si>
  <si>
    <t>от  __.__.__ №___</t>
  </si>
  <si>
    <t>Администрация Ханкайского муниципального округа Приморского края</t>
  </si>
  <si>
    <t>2 02 15001 14 0000 150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</si>
  <si>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</si>
  <si>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Единый  налог на вмененный доход, для отдельных видов деятельности</t>
  </si>
  <si>
    <t>ДОХОДЫ ОТ ОКАЗАНИЯ ПЛАТНЫХ УСЛУГ И КОМПЕНСАЦИИ ЗАТРАТ  ГОСУДАРСТВА</t>
  </si>
  <si>
    <t xml:space="preserve"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
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</si>
  <si>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</t>
  </si>
  <si>
    <t>ДОХОДЫ ОТ ОКАЗАНИЯ ПЛАТНЫХ УСЛУГ И КОМПЕНСАЦИИ ЗАТРАТ ГОСУДАРСТВА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</si>
  <si>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</si>
  <si>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</si>
  <si>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2 02 25467 14 0000 150</t>
  </si>
  <si>
    <t>02923L4670</t>
  </si>
  <si>
    <t>Субсидии бюджетам муниципальных округов на поддержку отрасли культуры (Государственная поддержка отрасли культуры (оснащение образовательных учреждений в сфере культуры (детских школ искусств и училищ) музыкальными инструментами, оборудованием и учебными материалами)</t>
  </si>
  <si>
    <t xml:space="preserve"> Дотации бюджетам муниципальных округов на выравнивание бюджетной обеспеченности из бюджета субъекта Российской Федерации
</t>
  </si>
  <si>
    <t>Прочие субсидии бюджетам муниципальных округов - всего, в том числе:</t>
  </si>
  <si>
    <t>Субсидии бюджетам бюджетной системы Российской Федерации (межбюджетные субсидии), в том числе:</t>
  </si>
  <si>
    <t>Дотации бюджетам бюджетной системы Российской Федерации- всего, в том числе:</t>
  </si>
  <si>
    <t xml:space="preserve"> - на обеспечение граждан твердым топливом</t>
  </si>
  <si>
    <t xml:space="preserve"> - на проведение работ по сохранению объектов культурного наследия</t>
  </si>
  <si>
    <t xml:space="preserve"> - на комплектование книжных фондов и обеспечение информационно-техническим оборудованием библиотек</t>
  </si>
  <si>
    <t xml:space="preserve"> - на реализацию федеральной целевой программы "Увековечение памяти погибших при защите Отечества  на 2019-2025 годы" за счёт средств краевого бюджета</t>
  </si>
  <si>
    <t xml:space="preserve"> - на организацию физкультурно-спортивной работы по месту жительства</t>
  </si>
  <si>
    <t xml:space="preserve"> - на приобретение и поставку спортивного инвентаря, спортивного оборудования и иного имущества для развития массового спорта</t>
  </si>
  <si>
    <t xml:space="preserve"> - на поддержку муниципальных программ по благоустройству территорий муниципальных образований</t>
  </si>
  <si>
    <t>Субвенции бюджетам бюджетной системы Российской Федерации- всего, в том числе:</t>
  </si>
  <si>
    <t>Прочие 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состояни, за счет краевого бюджета</t>
  </si>
  <si>
    <t xml:space="preserve"> - Субвенции на реализацию государственных полномочий органов опеки и попечительства в отношении несовершеннолетних</t>
  </si>
  <si>
    <t xml:space="preserve"> - Субвенции бюджетам муниципальных образований Приморского края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</si>
  <si>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на реализация государственного полномочия в сфере транспортного обслуживания по муниципальным маршрутам в границах муниципальных образований</t>
  </si>
  <si>
    <t xml:space="preserve"> -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</si>
  <si>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</si>
  <si>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</t>
  </si>
  <si>
    <t xml:space="preserve"> - 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</si>
  <si>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</si>
  <si>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</si>
  <si>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</si>
  <si>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краевого бюджета
</t>
  </si>
  <si>
    <t xml:space="preserve"> на комплектование книжных фондов и обеспечение информационно-техническим оборудованием библиотек</t>
  </si>
  <si>
    <t>на организацию физкультурно-спортивной работы по месту жительства</t>
  </si>
  <si>
    <t>на поддержку муниципальных программ по благоустройству территорий муниципальных образований Приморского края</t>
  </si>
  <si>
    <t>Субвенции бюджетам муниципальных округов на выполнение передаваемых полномочий субъектов Российской Федерации- всего, в том числе:</t>
  </si>
  <si>
    <t>21000</t>
  </si>
  <si>
    <t>210000000</t>
  </si>
  <si>
    <t>Региональный проект "Формирование комфортной городской среды"</t>
  </si>
  <si>
    <t>Расходы по осуществлению переданных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</si>
  <si>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Реализация государственных полномочий по организации мероприятий при осуществлении деятельности по обращению с животными без владельцев</t>
  </si>
  <si>
    <t>Социальная поддержка детей, оставшихся без попечения родителей, и лиц, принявших на воспитание в семью детей, оставшихся без попечения родителей</t>
  </si>
  <si>
    <t xml:space="preserve"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</si>
  <si>
    <t xml:space="preserve">Расходы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в муниципальных образовательных организациях </t>
  </si>
  <si>
    <t>Расходы на осуществление отдельных государственных полномочий по организации и обеспечению оздоровления и отдыха детей (за исключением организации отдыха детей в каникулярное время)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</si>
  <si>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</si>
  <si>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Расходы на осуществление отдельных государственных полномочий по государственному управлению охраной труда</t>
  </si>
  <si>
    <t>Расходы на реализацию государственного полномочия в сфере транспортного обслуживания по муниципальным маршрутам в границах муниципального образования</t>
  </si>
  <si>
    <t>Расходы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</si>
  <si>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Расходы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</si>
  <si>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Расходы на реализацию отдельных государственных полномочий органов опеки и попечительства в отношении несовершеннолетних</t>
  </si>
  <si>
    <t>Расходы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</si>
  <si>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>Расходы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</si>
  <si>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Расходы на реализацию отдельных государственных полномочий по созданию административных комиссий</t>
  </si>
  <si>
    <t>9919993010</t>
  </si>
  <si>
    <t>9919993030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</si>
  <si>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</si>
  <si>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Капитальный ремонт зданий муниципальных общеобразовательных учреждений</t>
  </si>
  <si>
    <t>Расходы, направленные на благоустройство территорий, детских и спортивных площадок на территории Ханкайского муниципального округа, осуществляемые на условиях софинансирования за счет средств краевого бюджета</t>
  </si>
  <si>
    <t>Расходы по обеспечению граждан твердым топливом на условиях софинансирования за счет средств краевого бюджета</t>
  </si>
  <si>
    <t>Расходы на комплектование книжных фондов и обеспечение информационно-техническим оборудованием библиотек, осуществляемые на условиях софинансирования за счет средств краевого бюджета</t>
  </si>
  <si>
    <t>Расходы на капитальный ремонт и ремонт автомобильных дорог общего пользования населенных пунктов за счет дорожного фонда Приморского края</t>
  </si>
  <si>
    <t>Расходы на организацию физкультурно-спортивной работы по месту жительства на условиях софинансирования за счет средств краевого бюджета</t>
  </si>
  <si>
    <t>Реализация проектов инициативного бюджетирования по направлению "Твой проект", осуществляемых на условиях софинансирования за счет средств краевого бюджета</t>
  </si>
  <si>
    <t>Расходы на проведение работ по сохранению объектов культурного наследия, осуществляемые на условиях софинансирования за счет средств краевого бюджета</t>
  </si>
  <si>
    <t>Расходы на осуществление отдельных государственных полномочий по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</si>
  <si>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Расходы на осуществление отдельного государственного полномочия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</t>
  </si>
  <si>
    <t>Расходы на осуществление первичного воинского учета на территориях, где отсутствуют военные комиссариаты</t>
  </si>
  <si>
    <t>Расходы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</si>
  <si>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Расходы на осуществление переданных полномочий Российской Федерации по государственной регистрации актов гражданского состояния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</si>
  <si>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</si>
  <si>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</si>
  <si>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Субсидии бюджетам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</si>
  <si>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2 02 25098 14 0000 150</t>
  </si>
  <si>
    <t>2 02 25513 14 0000 150</t>
  </si>
  <si>
    <t>Субсидии бюджетам муниципальных округов на развитие сети учреждений культурно-досугового типа</t>
  </si>
  <si>
    <t>012E250980</t>
  </si>
  <si>
    <t>Развитие сети учреждений культурно-досугового типа</t>
  </si>
  <si>
    <t>029A155130</t>
  </si>
  <si>
    <t>Субсидии бюджетам муниципальных округов на поддержку отрасли культуры (Государственная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искусств))</t>
  </si>
  <si>
    <t>Государственная поддержка отрасли культуры (софинансирование расходных обязательств, возникающих при реализации мероприятий по модернизации муниципальных детских школ искусств по видам искусств)</t>
  </si>
  <si>
    <t>029A155192</t>
  </si>
  <si>
    <t>Субсидии бюджетам муниципальных округов на обеспечение комплексного развития сельских территорий (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</si>
  <si>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Обеспечение комплексного развития сельских территорий (строительство и реконструкция (модернизация), капитальный ремонт объектов государственных или муниципальных физкультурно-спортивных организаций)</t>
  </si>
  <si>
    <t>04941L5766</t>
  </si>
  <si>
    <t>Субсидии бюджетам муниципальных округов на обеспечение комплексного развития сельских территорий (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</si>
  <si>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 xml:space="preserve">Субсидии бюджетам муниципальных округов на обеспечение комплексного развития сельских территорий </t>
  </si>
  <si>
    <t xml:space="preserve">Субсидии бюджетам муниципальных округов на поддержку отрасли культуры
</t>
  </si>
  <si>
    <t>Обеспечение комплексного развития сельских территорий (строительство, реконструкция и капитальный ремонт централизованных и нецентрализованных систем водоснабжения, водоотведения, канализации, очистных сооружений, станций водоподготовки и водозаборных сооружений для функционирования объектов жилого и нежилого фонда (объектов социального назначения)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</si>
  <si>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</si>
  <si>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2 02 45179 14 0000 150</t>
  </si>
  <si>
    <t xml:space="preserve"> - на обеспечение государственных гарантий реализации прав на получение общедоступного и бесплатного  начального общего, основного общего, среднего общего, дополнительного образования детей в муниципальных общеобразовательных организациях Приморского края</t>
  </si>
  <si>
    <t xml:space="preserve"> -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</si>
  <si>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 -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Приморского края
</t>
  </si>
  <si>
    <t xml:space="preserve"> - 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</t>
  </si>
  <si>
    <t xml:space="preserve"> -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</si>
  <si>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 xml:space="preserve"> -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</si>
  <si>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 xml:space="preserve"> - 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краевого бюджета
</t>
  </si>
  <si>
    <t xml:space="preserve"> - на 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 Приморского края
</t>
  </si>
  <si>
    <t xml:space="preserve"> -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</t>
  </si>
  <si>
    <t xml:space="preserve"> - на реализацию государственных полномочий органов опеки и попечительства в отношении несовершеннолетних</t>
  </si>
  <si>
    <t xml:space="preserve"> -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</si>
  <si>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Региональный проект "Патриотическое воспитание граждан Российской Федерации"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</si>
  <si>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</si>
  <si>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012EB51790</t>
  </si>
  <si>
    <t>012EB00000</t>
  </si>
  <si>
    <t>2 07 04050 14 0000 150</t>
  </si>
  <si>
    <t>Прочие безвозмездные поступления в бюджеты муниципальных округов</t>
  </si>
  <si>
    <t>2 07 00000 00 0000 000</t>
  </si>
  <si>
    <t>ПРОЧИЕ БЕЗВОЗМЕЗДНЫЕ ПОСТУПЛЕНИЯ</t>
  </si>
  <si>
    <t>Субсидии бюджетам муниципальных округов на обновление материально-технической базы для организации учебно-исследовательской, научно-практической, творческой деятельности, занятий физической культурой и спортом в образовательных организациях</t>
  </si>
  <si>
    <t>Софинансирование расходов на организацию физкультурно-спортивной работы по месту жительства</t>
  </si>
  <si>
    <t>Реализация федеральной целевой программы "Увековечение памяти погибших при защите Отечества на 2019-2025 годы" за счёт средств краевого бюджета</t>
  </si>
  <si>
    <t>Реализация федеральной целевой программы "Увековечение памяти погибших при защите Отечества на 2019 - 2024 годы"</t>
  </si>
  <si>
    <t>07972L5767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</si>
  <si>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</si>
  <si>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Расходы на обеспечение деятельности (оказание услуг, выполнение работ) муниципальных бюджетных учреждений культуры</t>
  </si>
  <si>
    <t>Расходы по софинансирорванию из местного бюджета на проведение текущего, капитального ремонта зданий и  помещений и обустройство прилегающей территории образовательных учреждений</t>
  </si>
  <si>
    <t>Капитальный ремонт зданий и благоустройство территорий муниципальных образовательных организаций, оказывающих услуги дошкольного образования за счет краевого бюджета</t>
  </si>
  <si>
    <t>Расходы по софинансированию из местного бюджета на проведение ремонтных работ общеобразовательных учреждений</t>
  </si>
  <si>
    <t>Расходы по софинансированию из местного бюджета работ по сохранению объектов культурного наследия</t>
  </si>
  <si>
    <t>Основное мероприятие: "Содействие развитию физической культуры и спорта в Ханкайском муниципальном районе"</t>
  </si>
  <si>
    <t>Основное мероприятие: "Содействие развитию физической культуры и спорта в Ханкайском муниципальном округе"</t>
  </si>
  <si>
    <t>Муниципальная программа «Комплексное развитие сельских территорий Ханкайского муниципального округа» на 2020-2025годы</t>
  </si>
  <si>
    <t>Муниципальная программа  "Развитие образования в Ханкайском муниципальном округе" на 2020-2025 годы</t>
  </si>
  <si>
    <t>Подпрограмма "Развитие системы дополнительного образования в Ханкайском муниципальном округе" на 2020-2025 годы</t>
  </si>
  <si>
    <t>Муниципальная программа "Охрана окружающей среды Ханкайского муниципального округа" на 2020-2025 годы</t>
  </si>
  <si>
    <t>Муниципальная программа "Развитие муниципальной службы в Ханкайском муниципальном округе" на 2020-2025 годы</t>
  </si>
  <si>
    <t>Муниципальная программа "Развитие систем жилищно-коммунальной инфраструктуры в Ханкайском муниципальном округе" на 2020-2025 годы</t>
  </si>
  <si>
    <t>Муниципальная программа "Доступная среда в Ханкайском муниципальном округе" на 2020-2025 годы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</si>
  <si>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2020-2025 годы</t>
  </si>
  <si>
    <t>Муниципальная программа "Управление муниципальным имуществом в Ханкайском муниципальном округе" на 2020-2025 годы</t>
  </si>
  <si>
    <t>Муниципальная программа "Укрепление общественного здоровья в Ханкайском муниципальном округе" на 2020-2025 годы</t>
  </si>
  <si>
    <t>Муниципальная программа "Противодействие коррупции в Ханкайском муниципальном округе" на 2020-2025 годы</t>
  </si>
  <si>
    <t xml:space="preserve">Муниципальная программа "Развитие малого и среднего предпринимательства в Ханкайском муниципальном округе" на 2020-2025 годы </t>
  </si>
  <si>
    <t>Муниципальная программа "Развитие информационного общества в Ханкайском муниципальном округе" на 2020-2025 годы</t>
  </si>
  <si>
    <t>Муниципальная программа "Развитие муниципальной службы в  Ханкайском муниципальном округе" на 2020-2025 годы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</si>
  <si>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2020-2025 годы</t>
  </si>
  <si>
    <t>Муниципальная программа "Управление муниципальным имуществом  в Ханкайском муниципальном округе" на 2020-2025 годы</t>
  </si>
  <si>
    <t>Муниципальная программа "Развитие систем жилищно-коммунальной инфраструктуры  в Ханкайском муниципальном округе" на 2020-2025 годы</t>
  </si>
  <si>
    <t>Основное мероприятие: "Развитие систем энерго- тепло- газо- водоснабжения в Ханкайском муниципальном округе" на 2020-2025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</si>
  <si>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2020-2025 годы</t>
  </si>
  <si>
    <t>Муниципальная программа "Развитие культуры и туризма в Ханкайском муниципальном округе" на 2020-2025 годы</t>
  </si>
  <si>
    <t>Муниципальная программа "Обеспечение жильем молодых семей Ханкайского мунципального округе" на 2020- 2025 годы</t>
  </si>
  <si>
    <t>Муниципальная программа  "Развитие физической культуры и спорта в Ханкайском муниципальном округе" на 2020-2025 годы</t>
  </si>
  <si>
    <t>Подпрограмма "Развитие дошкольного образования в Ханкайском муниципальном округе" 2020-2025 годы</t>
  </si>
  <si>
    <t>Подпрограмма "Развитие системы общего образования в  Ханкайском муниципальном округе" на 2020-2025 годы</t>
  </si>
  <si>
    <t>Подпрограмма "Развитие системы общего образования в  Ханкайском муниципальном округе" в 2020-2025 годы</t>
  </si>
  <si>
    <t>Муниципальная программа "Развитие образования в Ханкайском муниципальном округе" на 2020-2025 годы</t>
  </si>
  <si>
    <t>Муниципальная программа  "Развитие физической культуры и спорта в Ханкайском муниципальном районе" на 2020-2025 годы</t>
  </si>
  <si>
    <t>Подпрограмма "Развитие системы общего образования в  Ханкайском муниципальном районе" в 2020-2025 годы</t>
  </si>
  <si>
    <t>к   решению Думы Ханкайского</t>
  </si>
  <si>
    <t>Мероприятия по проведению специальной оценки условий труда и  профессиональных рисков</t>
  </si>
  <si>
    <t>0696113030</t>
  </si>
  <si>
    <t>Капитальные вложения в объекты государственной (муниципальной) собственности</t>
  </si>
  <si>
    <t>Расходы на капитальный, текущий ремонт и благоустройство прилегающей территории  учреждений культуры, включая расходы на капитальный и текущий ремонт памятников и скульптурных композиций</t>
  </si>
  <si>
    <t>02923Q2990</t>
  </si>
  <si>
    <t>Расходы на реализацию федеральной целевой программы "Увековечение памяти погибших при защите Отечества на 2019-2025 годы", осуществляемые на условиях софинансирования за счет местного бюджета</t>
  </si>
  <si>
    <t>02923S2990</t>
  </si>
  <si>
    <t>Другие вопросы в области социальной политики</t>
  </si>
  <si>
    <t>1006</t>
  </si>
  <si>
    <t>02923S2640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</si>
  <si>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</si>
  <si>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01112S2360</t>
  </si>
  <si>
    <t>Обеспечение бесплатным питанием обучающихся в общеобразовательных организациях, родители (законные представители) которых принимают участие в специальной военной операции на территориях Донецкой Народной Республики, Луганской народной Республики и Украины, а также мобилизо-ванные, в соответствии с Указом Президента Российской Федерации от 21.09.2022 № 647 «Об объявлении частичной мобилизации в Российской Федерации</t>
  </si>
  <si>
    <t>0121420610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</si>
  <si>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</t>
  </si>
  <si>
    <t>0494170710</t>
  </si>
  <si>
    <t>от20.12.2022№489</t>
  </si>
  <si>
    <t xml:space="preserve">  -на реализацию проектов инициативного бюджетирования по направлению "Твой проект"
</t>
  </si>
  <si>
    <t>0111292360</t>
  </si>
  <si>
    <t xml:space="preserve"> - на софинансирование муниципальных программ по поддержке социально ориентированных некоммерческих организаций по итогам конкурсного отбора</t>
  </si>
  <si>
    <t xml:space="preserve"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средств краевого бюджета </t>
  </si>
  <si>
    <t>0292392640</t>
  </si>
  <si>
    <t>Гранты в форме субсидий социально ориентированным некоммерческим организациям на финансовое обеспечение (возмещение) затрат, связанных с реализацией общественно значимых программ (проектов), (в том числе на имущественную поддержку, дополнительное профессиональное образование работников и добровольцев (волонтеров СО НКО, информационную поддержку СО НКО) за счет краевого бюджета</t>
  </si>
  <si>
    <t>Субсидии бюджетам муниципальных округов на обеспечение комплексного развития сельских территорий (реализация мероприятий по благоустройству сельских территорий)</t>
  </si>
  <si>
    <t>2 02 27576 14 0000 150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</si>
  <si>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</si>
  <si>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>Приложение № 2</t>
  </si>
  <si>
    <t>Молодежная политика</t>
  </si>
  <si>
    <t xml:space="preserve">Молодежная политика </t>
  </si>
  <si>
    <t>Расходы местного бюджета сверх объема софинансирования, установленного соглашением с Министерством строительства Приморского края по реконструкции стадиона "Урожай"</t>
  </si>
  <si>
    <t>2 18 00000 00 0000 000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</si>
  <si>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</si>
  <si>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2 18 04030 14 0000 150</t>
  </si>
  <si>
    <t>Доходы бюджетов муниципальных округов от возврата иными организациями остатков субсидий прошлых лет</t>
  </si>
  <si>
    <t>1 13 02994 14 0000 130</t>
  </si>
  <si>
    <t xml:space="preserve">  -   на капитальный ремонт и ремонт автомобильных дорог общего пользования населенных пунктов за счет дорожного фонда Приморского края</t>
  </si>
  <si>
    <t>Прочие межбюджетные трансферты, передаваемые бюджетам муниципальных округов (Поддержка проектов, инициируемых жителями муниципальных образований, по решению вопросов местного значения)</t>
  </si>
  <si>
    <t>Поддержка проектов, инициируемых жителями Ханкайского муниципального округа, по решению вопросов местного значения</t>
  </si>
  <si>
    <t>Прочие межбюджетные трансферты, передаваемые бюджетам муниципальных округов</t>
  </si>
  <si>
    <t>2 02 49999 14 0000 150</t>
  </si>
  <si>
    <t>Расходы связанные с осуществлением регулярных перевозок по регулируемым тарифам</t>
  </si>
  <si>
    <t>1696140802</t>
  </si>
  <si>
    <t>Основное мероприятие "Дополнительное образование детей в рамках исполнения муниципального социального заказа на оказание муниципальных услуг по социальным сертификатам"</t>
  </si>
  <si>
    <t>0131400000</t>
  </si>
  <si>
    <t>Субсидии на финансирование муниципального задания в рамках исполнения муниципального социального заказа на оказание муниципальных услуг в социальной сфере</t>
  </si>
  <si>
    <t>0131470140</t>
  </si>
  <si>
    <t>013140000</t>
  </si>
  <si>
    <t>Приложение № 6</t>
  </si>
  <si>
    <t>Приложение № 8</t>
  </si>
  <si>
    <t>утверждено на  2023 год</t>
  </si>
  <si>
    <t>Потребность 2024</t>
  </si>
  <si>
    <t>Возможность 2024</t>
  </si>
  <si>
    <t xml:space="preserve">бюджетных ассигнований из бюджета Ханкайского муниципального округа на 2024 год в ведомственной </t>
  </si>
  <si>
    <t>утверждено на 2024 год в бюджете 2023 года</t>
  </si>
  <si>
    <t>Сумма 2026 год</t>
  </si>
  <si>
    <t xml:space="preserve">межбюджетных трансфертов от других бюджетов бюджетной системы на 2024 год  </t>
  </si>
  <si>
    <t>факт 2022 года</t>
  </si>
  <si>
    <t>факт 9 месяцев 2023</t>
  </si>
  <si>
    <t>Организация и проведение мер, направленных на профилактику и предотвращение преступлений против половой неприкосновенности несовершеннолетних</t>
  </si>
  <si>
    <t>0121220055</t>
  </si>
  <si>
    <t>% роста 2024 к 2023</t>
  </si>
  <si>
    <t>КБ (Субм+субвен+имбт)</t>
  </si>
  <si>
    <t>Соб+Дот</t>
  </si>
  <si>
    <t>ВнБюджет</t>
  </si>
  <si>
    <t xml:space="preserve"> - благоустройство территорий, прилегающих к местам туристского показа</t>
  </si>
  <si>
    <t xml:space="preserve"> - организация транспортного обслуживания населения в границах муниципальных образований Приморского края</t>
  </si>
  <si>
    <t xml:space="preserve"> - 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</si>
  <si>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дефицит</t>
  </si>
  <si>
    <t>отклонение возможности от 2023</t>
  </si>
  <si>
    <t>9919993210</t>
  </si>
  <si>
    <t>доходов бюджета Ханкайского муниципального округа на 2024 год</t>
  </si>
  <si>
    <t>Прочие доходы от компенсации затрат бюджетов муниципальных округов</t>
  </si>
  <si>
    <t xml:space="preserve">межбюджетных трансфертов от других бюджетов бюджетной системы на 2025 и 2026 годы  </t>
  </si>
  <si>
    <t>Благоустройство территорий, прилегающих к местам туристского показа</t>
  </si>
  <si>
    <t>0292392240</t>
  </si>
  <si>
    <t>02923S2240</t>
  </si>
  <si>
    <r>
      <t xml:space="preserve">Мероприятия по </t>
    </r>
    <r>
      <rPr>
        <sz val="13"/>
        <color rgb="FF000000"/>
        <rFont val="Times New Roman"/>
        <family val="1"/>
        <charset val="204"/>
      </rPr>
      <t>благоустройству территорий, прилегающих к местам туристского показа на условиях софинансирования за счет средств местного бюджета</t>
    </r>
  </si>
  <si>
    <t>Организация транспортного обслуживания населения в границах муниципальных образований Приморского края</t>
  </si>
  <si>
    <t>Организации транспортного обслуживания населения в границах Ханкайского муниципального округа  на условиях софинансирования за счет средств местного бюджета</t>
  </si>
  <si>
    <t>16961S2410</t>
  </si>
  <si>
    <t>Мероприятия по инвентаризации кладбищ, стен скорби, крематориев, а также мест захоронений на кладбищах и в стенах скорби, расположенных на территории Приморского края</t>
  </si>
  <si>
    <t>Мероприятия  по инвентаризации кладбищ, стен скорби, крематориев, а также мест захоронений на кладбищах и в стенах скорби, расположенных на территории Ханкайского муниципального округа на условиях софинансирования  за счет средств местного бюджета</t>
  </si>
  <si>
    <t>0797492170</t>
  </si>
  <si>
    <t>07974S2170</t>
  </si>
  <si>
    <t>Сумма на 2026 год</t>
  </si>
  <si>
    <t>доходов бюджета Ханкайского муниципального округа на 2025 и 2026 годы</t>
  </si>
  <si>
    <t>от .12.2023 №</t>
  </si>
  <si>
    <t xml:space="preserve"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
</t>
  </si>
  <si>
    <t xml:space="preserve"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
</t>
  </si>
  <si>
    <t>внутреннего финансирования дефицита  бюджета Ханкайского муниципального округа на 2024 год</t>
  </si>
  <si>
    <t xml:space="preserve"> бюджетных ассигнований из бюджета Ханкайского муниципального округа на 2024 год по разделам,  </t>
  </si>
  <si>
    <t>Приложение № 12</t>
  </si>
  <si>
    <t xml:space="preserve"> бюджетных ассигнований по муниципальным программам Ханкайского муниципального округа на 2024 год</t>
  </si>
  <si>
    <t>к  проекту  решения Думы Ханкайского</t>
  </si>
  <si>
    <t>Основное мероприятие: "Мероприятия не связанные с  образовательным процессом"</t>
  </si>
  <si>
    <t xml:space="preserve">             на 2025 и 2026 годы</t>
  </si>
  <si>
    <t>Приложение № 3</t>
  </si>
  <si>
    <t>Приложение № 4</t>
  </si>
  <si>
    <t>Приложение №5</t>
  </si>
  <si>
    <t>Приложение № 9</t>
  </si>
  <si>
    <t>Приложение № 10</t>
  </si>
  <si>
    <t>Приложение №11</t>
  </si>
  <si>
    <t>1895892240</t>
  </si>
  <si>
    <t>18958S2240</t>
  </si>
  <si>
    <t>Муниципальная программа "Развитие муниципальной службы в Ханкайском муниципальном округе" на 2020-2026 годы</t>
  </si>
  <si>
    <t>Муниципальная программа "Развитие информационного общества в Ханкайском муниципальном округе" на 2020-2026 годы</t>
  </si>
  <si>
    <t>Муниципальная программа "Развитие муниципальной службы в  Ханкайском муниципальном округе" на 2020-2026 годы</t>
  </si>
  <si>
    <t>Муниципальная программа "Доступная среда в Ханкайском муниципальном округе" на 2020-2026 годы</t>
  </si>
  <si>
    <t>Муниципальная программа "Управление муниципальным имуществом в Ханкайском муниципальном округе" на 2020-2026 годы</t>
  </si>
  <si>
    <t>Муниципальная программа "Противодействие коррупции в Ханкайском муниципальном округе" на 2020-2026 годы</t>
  </si>
  <si>
    <t>Муниципальная программа "Развитие дорожного хозяйства и повышение безопасности дорожного движения в Ханкайском муниципальном округе" на 2020-2026 годы</t>
  </si>
  <si>
    <t xml:space="preserve">Муниципальная программа "Развитие малого и среднего предпринимательства в Ханкайском муниципальном округе" на 2020-2026 годы </t>
  </si>
  <si>
    <t>Муниципальная программа "Развитие градостроительной и землеустроительной деятельности на территории Ханкайского муниципального округа" на 2020-2026 годы</t>
  </si>
  <si>
    <t>Муниципальная программа "Управление муниципальным имуществом  в Ханкайском муниципальном округе" на 2020-2026 годы</t>
  </si>
  <si>
    <t>Муниципальная программа "Развитие систем жилищно-коммунальной инфраструктуры  в Ханкайском муниципальном округе" на 2020-2026 годы</t>
  </si>
  <si>
    <t>Муниципальная программа "Благоустройство, озеленение и освещение территории муниципального округа" на 2021 -2026 годы</t>
  </si>
  <si>
    <t>Муниципальная программа "Развитие систем жилищно-коммунальной инфраструктуры в Ханкайском муниципальном округе" на 2020-2026 годы</t>
  </si>
  <si>
    <t>Муниципальная программа "Охрана окружающей среды Ханкайского муниципального округа" на 2020-2026 годы</t>
  </si>
  <si>
    <t>Муниципальная программа "Профилактика прованарушений, терроризма и экстремизма и противодействие распространению наркотиков в Ханкайском муниципальном округе" на 2020-2026 годы</t>
  </si>
  <si>
    <t>Муниципальная программа "Развитие культуры и туризма в Ханкайском муниципальном округе" на 2020-2026 годы</t>
  </si>
  <si>
    <t>Муниципальная программа «Комплексное развитие сельских территорий Ханкайского муниципального округа» на 2020-2026годы</t>
  </si>
  <si>
    <t>Муниципальная программа "Обеспечение жильем молодых семей Ханкайского мунципального округе" на 2020- 2026 годы</t>
  </si>
  <si>
    <t>Муниципальная программа  "Развитие физической культуры и спорта в Ханкайском муниципальном округе" на 2020-2026 годы</t>
  </si>
  <si>
    <t>Муниципальная программа "Укрепление общественного здоровья в Ханкайском муниципальном округе" на 2020-2026 годы</t>
  </si>
  <si>
    <t>Муниципальная программа  "Развитие образования в Ханкайском муниципальном округе" на 2020-2026 годы</t>
  </si>
  <si>
    <t>Муниципальная программа "Развитие образования в Ханкайском муниципальном округе" на 2020-2026 годы</t>
  </si>
  <si>
    <t>Муниципальная программа  "Развитие физической культуры и спорта в Ханкайском муниципальном районе" на 2020-2026 годы</t>
  </si>
  <si>
    <t>Муниципальная программа "Развитие систем жилищно-коммунальной инфраструктуры в Ханкайском муниципальном районе" на 2020-2026 годы</t>
  </si>
  <si>
    <t>Муниципальная программа «Комплексное развитие сель-ских территорий Ханкайского муниципального округа» на 2020-2026годы</t>
  </si>
  <si>
    <t>Муниципальная программа "Обеспечение жильем молодых семей Ханкайского мунципального округа" на 2020- 2026 годы</t>
  </si>
  <si>
    <t xml:space="preserve">Муниципальная программа "Развитие малого и среднего предпринимательства в Ханкайском муниципальном округе на 2020-2026 годы </t>
  </si>
  <si>
    <t>Муниципальная программа "Охрана окружающей среды Ханкайского муниципального округаа" на 2020-2026 годы</t>
  </si>
  <si>
    <t>Муниципальная программа "Профилактика прованарушений,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</si>
  <si>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Муниципальная программа "Развитие культуры и туризма в Ханкайского муниципального округа" на 2020-2026 годы</t>
  </si>
  <si>
    <t>Муниципальная программа «Комплексное развитие сель-ских территорий Ханкайского муниципального округа» на 2020-2026 годы</t>
  </si>
  <si>
    <t xml:space="preserve">Сумма на 2026 год </t>
  </si>
  <si>
    <t>Муниципальная программа "Развитие культуры и туризма в Ханкайском муниципальном окурге" на 2020-2026 годы</t>
  </si>
  <si>
    <t>Муниципальная программа "Развитие культуры и туризма в Ханкайском муниципальном округе»" на 2020-2026 годы</t>
  </si>
  <si>
    <t>Муниципальная программа "Комплексное развитие сельских территорий Ханкайского муниципального округа" на 2020-2026 годы</t>
  </si>
  <si>
    <t>Муниципальная программа "Обеспечение жильем молодых семей Ханкайского муниципального округа" на 2020-2026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</si>
  <si>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округа" на 2020-2026 годы</t>
  </si>
  <si>
    <t>Подпрограмма "Развитие дошкольного образования в Ханкайском муниципальном округе" на 2020-2026 годы</t>
  </si>
  <si>
    <t>Подпрограмма "Развитие системы общего образования в  Ханкайском муниципальном округе" на  2020-2026 годы</t>
  </si>
  <si>
    <t>Подпрограмма "Развитие системы дополнительного образования в Ханкайском муниципальном округе" на 2020-2026 годы</t>
  </si>
  <si>
    <t>Муниципальная программа "Развитие физической культуры  и спорта в Ханкайском муниципальном округе"  на 2020-2026 годы</t>
  </si>
  <si>
    <t>Муниципальная программа "Развитие культуры и туризма в Ханкайском муниципальном округе» на 2020-2026 годы</t>
  </si>
  <si>
    <t>Муниципальная программа "Комплексное развитие сель-ских территорий Ханкайского муниципального округа" на 2020-2026 годы</t>
  </si>
  <si>
    <t>Муниципальная программа "Профилактика правонарушений, терроризма и экстремизма и противодействие распространению наркотиков на территории Ханкайского муниципального округаа" на 2020-2026 годы</t>
  </si>
  <si>
    <t>Муниципальная программа "Развитие информационного общества в Ханкайском муниципальном округее" на 2020-2026 годы</t>
  </si>
  <si>
    <t>Приложение №1</t>
  </si>
  <si>
    <t>Приложение №7</t>
  </si>
  <si>
    <t>Сумма 2025 год</t>
  </si>
  <si>
    <t xml:space="preserve">бюджетных ассигнований из бюджета Ханкайского муниципального округа на 2025-2026 годы год в </t>
  </si>
  <si>
    <t xml:space="preserve"> муниципального округа на 2025 и 2026 годы</t>
  </si>
  <si>
    <t xml:space="preserve"> бюджетных ассигнований из бюджета Ханкайского муниципального округа на 2025 и 2026 годы  </t>
  </si>
  <si>
    <t xml:space="preserve">Сумма на 2025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</si>
</sst>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i/>
      <sz val="14"/>
      <color theme="1"/>
      <name val="Times New Roman"/>
      <family val="1"/>
      <charset val="204"/>
    </font>
    <font>
      <b/>
      <i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Arial Cyr"/>
      <charset val="204"/>
    </font>
    <font>
      <sz val="14"/>
      <color rgb="FFFF0000"/>
      <name val="Times New Roman"/>
      <family val="1"/>
      <charset val="204"/>
    </font>
    <font>
      <sz val="14"/>
      <color rgb="FF7030A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8"/>
      <color rgb="FF000000"/>
      <name val="Arial Cyr"/>
    </font>
    <font>
      <b/>
      <sz val="10"/>
      <color rgb="FF000000"/>
      <name val="Arial CYR"/>
    </font>
    <font>
      <b/>
      <sz val="13"/>
      <color rgb="FF000000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i/>
      <sz val="13"/>
      <name val="Times New Roman"/>
      <family val="1"/>
      <charset val="204"/>
    </font>
    <font>
      <i/>
      <sz val="13"/>
      <color theme="1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0070C0"/>
      <name val="Times New Roman"/>
      <family val="1"/>
      <charset val="204"/>
    </font>
    <font>
      <sz val="13"/>
      <color rgb="FF7030A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i/>
      <sz val="13"/>
      <name val="Times New Roman"/>
      <family val="1"/>
      <charset val="204"/>
    </font>
    <font>
      <b/>
      <i/>
      <sz val="13"/>
      <color theme="1"/>
      <name val="Times New Roman"/>
      <family val="1"/>
      <charset val="204"/>
    </font>
    <font>
      <sz val="14"/>
      <name val="Calibri"/>
      <family val="2"/>
      <scheme val="minor"/>
    </font>
    <font>
      <b/>
      <i/>
      <sz val="12"/>
      <name val="Times New Roman"/>
      <family val="1"/>
      <charset val="204"/>
    </font>
    <font>
      <sz val="13"/>
      <name val="Calibri"/>
      <family val="2"/>
      <scheme val="minor"/>
    </font>
    <font>
      <sz val="10"/>
      <color rgb="FF000000"/>
      <name val="Arial Cyr"/>
    </font>
    <font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</patternFill>
    </fill>
    <fill>
      <patternFill patternType="solid">
        <fgColor rgb="FFCC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6" fillId="4" borderId="7">
      <alignment vertical="top" wrapText="1"/>
    </xf>
    <xf numFmtId="4" fontId="27" fillId="5" borderId="7">
      <alignment horizontal="right" vertical="top" shrinkToFit="1"/>
    </xf>
    <xf numFmtId="4" fontId="26" fillId="0" borderId="11">
      <alignment horizontal="right" wrapText="1"/>
    </xf>
    <xf numFmtId="0" fontId="41" fillId="0" borderId="0">
      <alignment vertical="top" wrapText="1"/>
    </xf>
    <xf numFmtId="0" fontId="47" fillId="0" borderId="7">
      <alignment horizontal="center" vertical="center" wrapText="1"/>
    </xf>
    <xf numFmtId="0" fontId="49" fillId="0" borderId="0">
      <alignment vertical="top" wrapText="1"/>
    </xf>
  </cellStyleXfs>
  <cellXfs count="672">
    <xf numFmtId="0" fontId="0" fillId="0" borderId="0" xfId="0"/>
    <xf numFmtId="0" fontId="2" fillId="0" borderId="0" xfId="0" applyFont="1" applyFill="1"/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wrapText="1"/>
    </xf>
    <xf numFmtId="0" fontId="6" fillId="0" borderId="0" xfId="0" applyFont="1" applyFill="1" applyBorder="1"/>
    <xf numFmtId="0" fontId="4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0" xfId="0" applyFont="1" applyFill="1" applyAlignment="1">
      <alignment horizontal="right"/>
    </xf>
    <xf numFmtId="4" fontId="6" fillId="2" borderId="1" xfId="0" applyNumberFormat="1" applyFont="1" applyFill="1" applyBorder="1"/>
    <xf numFmtId="4" fontId="6" fillId="0" borderId="1" xfId="0" applyNumberFormat="1" applyFont="1" applyFill="1" applyBorder="1" applyAlignment="1">
      <alignment horizontal="right" wrapText="1"/>
    </xf>
    <xf numFmtId="4" fontId="6" fillId="2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/>
    <xf numFmtId="0" fontId="4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wrapText="1"/>
    </xf>
    <xf numFmtId="49" fontId="9" fillId="0" borderId="1" xfId="0" applyNumberFormat="1" applyFont="1" applyFill="1" applyBorder="1" applyAlignment="1">
      <alignment horizontal="center" vertical="top" shrinkToFit="1"/>
    </xf>
    <xf numFmtId="0" fontId="9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9" fillId="0" borderId="6" xfId="0" applyNumberFormat="1" applyFont="1" applyFill="1" applyBorder="1" applyAlignment="1">
      <alignment horizontal="center" vertical="top" shrinkToFit="1"/>
    </xf>
    <xf numFmtId="4" fontId="13" fillId="0" borderId="1" xfId="0" applyNumberFormat="1" applyFont="1" applyFill="1" applyBorder="1" applyAlignment="1">
      <alignment horizontal="right" vertical="top" shrinkToFit="1"/>
    </xf>
    <xf numFmtId="4" fontId="14" fillId="0" borderId="1" xfId="0" applyNumberFormat="1" applyFont="1" applyFill="1" applyBorder="1" applyAlignment="1">
      <alignment horizontal="right" vertical="top" shrinkToFit="1"/>
    </xf>
    <xf numFmtId="16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top"/>
    </xf>
    <xf numFmtId="0" fontId="6" fillId="0" borderId="1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9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1" xfId="0" applyNumberFormat="1" applyFont="1" applyFill="1" applyBorder="1" applyAlignment="1">
      <alignment horizontal="center" vertical="top" shrinkToFit="1"/>
    </xf>
    <xf numFmtId="49" fontId="10" fillId="0" borderId="6" xfId="0" applyNumberFormat="1" applyFont="1" applyFill="1" applyBorder="1" applyAlignment="1">
      <alignment horizontal="center" vertical="top" shrinkToFit="1"/>
    </xf>
    <xf numFmtId="0" fontId="14" fillId="0" borderId="1" xfId="0" applyFont="1" applyFill="1" applyBorder="1" applyAlignment="1">
      <alignment vertical="top" wrapText="1"/>
    </xf>
    <xf numFmtId="49" fontId="14" fillId="0" borderId="1" xfId="0" applyNumberFormat="1" applyFont="1" applyFill="1" applyBorder="1" applyAlignment="1">
      <alignment horizontal="center" vertical="top" shrinkToFit="1"/>
    </xf>
    <xf numFmtId="49" fontId="14" fillId="0" borderId="6" xfId="0" applyNumberFormat="1" applyFont="1" applyFill="1" applyBorder="1" applyAlignment="1">
      <alignment horizontal="center" vertical="top" shrinkToFit="1"/>
    </xf>
    <xf numFmtId="0" fontId="7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7" fillId="0" borderId="3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center" vertical="top" shrinkToFit="1"/>
    </xf>
    <xf numFmtId="0" fontId="6" fillId="0" borderId="0" xfId="0" applyFont="1" applyFill="1" applyAlignment="1">
      <alignment vertical="top" wrapText="1"/>
    </xf>
    <xf numFmtId="0" fontId="17" fillId="0" borderId="1" xfId="0" applyFont="1" applyFill="1" applyBorder="1" applyAlignment="1">
      <alignment vertical="top" wrapText="1"/>
    </xf>
    <xf numFmtId="4" fontId="17" fillId="0" borderId="1" xfId="0" applyNumberFormat="1" applyFont="1" applyFill="1" applyBorder="1" applyAlignment="1">
      <alignment horizontal="right" vertical="top"/>
    </xf>
    <xf numFmtId="0" fontId="9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top"/>
    </xf>
    <xf numFmtId="0" fontId="6" fillId="0" borderId="4" xfId="0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right" vertical="top" shrinkToFit="1"/>
    </xf>
    <xf numFmtId="4" fontId="6" fillId="0" borderId="1" xfId="0" applyNumberFormat="1" applyFont="1" applyFill="1" applyBorder="1" applyAlignment="1">
      <alignment vertical="top"/>
    </xf>
    <xf numFmtId="4" fontId="17" fillId="0" borderId="1" xfId="0" applyNumberFormat="1" applyFont="1" applyFill="1" applyBorder="1" applyAlignment="1">
      <alignment horizontal="right" vertical="top" shrinkToFit="1"/>
    </xf>
    <xf numFmtId="4" fontId="17" fillId="0" borderId="1" xfId="0" applyNumberFormat="1" applyFont="1" applyFill="1" applyBorder="1" applyAlignment="1">
      <alignment vertical="top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14" fillId="0" borderId="1" xfId="0" quotePrefix="1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/>
    </xf>
    <xf numFmtId="49" fontId="10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vertical="top"/>
    </xf>
    <xf numFmtId="49" fontId="9" fillId="3" borderId="1" xfId="0" applyNumberFormat="1" applyFont="1" applyFill="1" applyBorder="1" applyAlignment="1">
      <alignment horizontal="center" vertical="top" shrinkToFit="1"/>
    </xf>
    <xf numFmtId="0" fontId="18" fillId="0" borderId="5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5" xfId="0" applyFont="1" applyFill="1" applyBorder="1" applyAlignment="1">
      <alignment vertical="center" wrapText="1"/>
    </xf>
    <xf numFmtId="0" fontId="6" fillId="0" borderId="0" xfId="0" applyFont="1" applyFill="1" applyAlignment="1">
      <alignment vertical="top"/>
    </xf>
    <xf numFmtId="4" fontId="2" fillId="0" borderId="0" xfId="0" applyNumberFormat="1" applyFont="1" applyFill="1"/>
    <xf numFmtId="4" fontId="1" fillId="0" borderId="0" xfId="0" applyNumberFormat="1" applyFont="1" applyFill="1"/>
    <xf numFmtId="0" fontId="1" fillId="0" borderId="0" xfId="0" applyFont="1" applyFill="1"/>
    <xf numFmtId="0" fontId="6" fillId="0" borderId="0" xfId="0" applyFont="1" applyFill="1" applyAlignment="1">
      <alignment horizontal="center" vertical="top" wrapText="1"/>
    </xf>
    <xf numFmtId="4" fontId="7" fillId="0" borderId="0" xfId="0" applyNumberFormat="1" applyFont="1" applyFill="1" applyAlignment="1">
      <alignment horizontal="right" vertical="top"/>
    </xf>
    <xf numFmtId="0" fontId="9" fillId="0" borderId="1" xfId="0" applyFont="1" applyFill="1" applyBorder="1" applyAlignment="1">
      <alignment horizontal="center" vertical="center" wrapText="1"/>
    </xf>
    <xf numFmtId="4" fontId="3" fillId="0" borderId="0" xfId="0" applyNumberFormat="1" applyFont="1" applyFill="1"/>
    <xf numFmtId="0" fontId="3" fillId="0" borderId="0" xfId="0" applyFont="1" applyFill="1"/>
    <xf numFmtId="4" fontId="15" fillId="0" borderId="0" xfId="0" applyNumberFormat="1" applyFont="1" applyFill="1"/>
    <xf numFmtId="0" fontId="15" fillId="0" borderId="0" xfId="0" applyFont="1" applyFill="1"/>
    <xf numFmtId="4" fontId="3" fillId="0" borderId="0" xfId="0" applyNumberFormat="1" applyFont="1" applyFill="1" applyAlignment="1">
      <alignment horizontal="right" vertical="top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top"/>
    </xf>
    <xf numFmtId="0" fontId="6" fillId="0" borderId="1" xfId="0" applyFont="1" applyFill="1" applyBorder="1"/>
    <xf numFmtId="49" fontId="6" fillId="0" borderId="1" xfId="0" applyNumberFormat="1" applyFont="1" applyFill="1" applyBorder="1"/>
    <xf numFmtId="49" fontId="6" fillId="0" borderId="0" xfId="0" applyNumberFormat="1" applyFont="1" applyFill="1"/>
    <xf numFmtId="4" fontId="6" fillId="0" borderId="0" xfId="0" applyNumberFormat="1" applyFont="1" applyFill="1"/>
    <xf numFmtId="4" fontId="6" fillId="0" borderId="0" xfId="0" applyNumberFormat="1" applyFont="1" applyFill="1" applyAlignment="1">
      <alignment vertical="top"/>
    </xf>
    <xf numFmtId="4" fontId="21" fillId="0" borderId="0" xfId="0" applyNumberFormat="1" applyFont="1" applyFill="1" applyAlignment="1">
      <alignment vertical="top"/>
    </xf>
    <xf numFmtId="164" fontId="6" fillId="0" borderId="0" xfId="0" applyNumberFormat="1" applyFont="1" applyFill="1" applyAlignment="1">
      <alignment vertical="top"/>
    </xf>
    <xf numFmtId="0" fontId="7" fillId="0" borderId="0" xfId="0" applyFont="1" applyFill="1"/>
    <xf numFmtId="0" fontId="7" fillId="0" borderId="0" xfId="0" applyFont="1" applyFill="1" applyAlignment="1">
      <alignment horizontal="center" wrapText="1"/>
    </xf>
    <xf numFmtId="164" fontId="6" fillId="0" borderId="0" xfId="0" applyNumberFormat="1" applyFont="1" applyFill="1" applyAlignment="1">
      <alignment horizontal="right" wrapText="1"/>
    </xf>
    <xf numFmtId="0" fontId="16" fillId="0" borderId="0" xfId="0" applyFont="1" applyFill="1"/>
    <xf numFmtId="4" fontId="10" fillId="0" borderId="2" xfId="0" applyNumberFormat="1" applyFont="1" applyFill="1" applyBorder="1" applyAlignment="1">
      <alignment horizontal="right" vertical="top" shrinkToFit="1"/>
    </xf>
    <xf numFmtId="4" fontId="9" fillId="0" borderId="0" xfId="0" applyNumberFormat="1" applyFont="1" applyFill="1"/>
    <xf numFmtId="0" fontId="9" fillId="0" borderId="0" xfId="0" applyFont="1" applyFill="1" applyAlignment="1">
      <alignment wrapText="1"/>
    </xf>
    <xf numFmtId="4" fontId="9" fillId="0" borderId="0" xfId="0" applyNumberFormat="1" applyFont="1" applyFill="1" applyAlignment="1">
      <alignment wrapText="1"/>
    </xf>
    <xf numFmtId="49" fontId="7" fillId="0" borderId="0" xfId="0" applyNumberFormat="1" applyFont="1" applyFill="1"/>
    <xf numFmtId="4" fontId="7" fillId="0" borderId="0" xfId="0" applyNumberFormat="1" applyFont="1" applyFill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vertical="top"/>
    </xf>
    <xf numFmtId="4" fontId="1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/>
    <xf numFmtId="0" fontId="7" fillId="0" borderId="0" xfId="0" applyFont="1" applyFill="1" applyBorder="1"/>
    <xf numFmtId="4" fontId="1" fillId="0" borderId="0" xfId="0" applyNumberFormat="1" applyFont="1" applyFill="1" applyBorder="1" applyAlignment="1">
      <alignment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/>
    <xf numFmtId="4" fontId="2" fillId="0" borderId="0" xfId="0" applyNumberFormat="1" applyFont="1" applyFill="1" applyAlignment="1">
      <alignment vertical="top"/>
    </xf>
    <xf numFmtId="0" fontId="12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 vertical="top" shrinkToFit="1"/>
    </xf>
    <xf numFmtId="0" fontId="12" fillId="0" borderId="1" xfId="0" applyFont="1" applyFill="1" applyBorder="1" applyAlignment="1">
      <alignment vertical="center" wrapText="1"/>
    </xf>
    <xf numFmtId="4" fontId="14" fillId="0" borderId="1" xfId="0" applyNumberFormat="1" applyFont="1" applyFill="1" applyBorder="1" applyAlignment="1">
      <alignment horizontal="right" vertical="top"/>
    </xf>
    <xf numFmtId="0" fontId="14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wrapText="1"/>
    </xf>
    <xf numFmtId="0" fontId="17" fillId="0" borderId="5" xfId="0" applyFont="1" applyFill="1" applyBorder="1" applyAlignment="1">
      <alignment vertical="top" wrapText="1"/>
    </xf>
    <xf numFmtId="4" fontId="15" fillId="0" borderId="0" xfId="0" applyNumberFormat="1" applyFont="1" applyFill="1" applyAlignment="1">
      <alignment vertical="top"/>
    </xf>
    <xf numFmtId="0" fontId="8" fillId="0" borderId="3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0" fontId="25" fillId="0" borderId="5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/>
    </xf>
    <xf numFmtId="0" fontId="22" fillId="0" borderId="1" xfId="0" applyFont="1" applyFill="1" applyBorder="1" applyAlignment="1">
      <alignment vertical="top" wrapText="1"/>
    </xf>
    <xf numFmtId="0" fontId="22" fillId="0" borderId="1" xfId="0" applyFont="1" applyFill="1" applyBorder="1" applyAlignment="1">
      <alignment horizontal="center" vertical="top"/>
    </xf>
    <xf numFmtId="0" fontId="17" fillId="0" borderId="1" xfId="0" applyFont="1" applyFill="1" applyBorder="1" applyAlignment="1">
      <alignment vertical="top"/>
    </xf>
    <xf numFmtId="0" fontId="17" fillId="0" borderId="1" xfId="0" applyFont="1" applyFill="1" applyBorder="1" applyAlignment="1">
      <alignment horizontal="center" vertical="top"/>
    </xf>
    <xf numFmtId="0" fontId="23" fillId="0" borderId="5" xfId="0" applyFont="1" applyFill="1" applyBorder="1" applyAlignment="1">
      <alignment vertical="center" wrapText="1"/>
    </xf>
    <xf numFmtId="4" fontId="24" fillId="0" borderId="0" xfId="0" applyNumberFormat="1" applyFont="1" applyFill="1"/>
    <xf numFmtId="49" fontId="24" fillId="0" borderId="0" xfId="0" applyNumberFormat="1" applyFont="1" applyFill="1"/>
    <xf numFmtId="4" fontId="20" fillId="0" borderId="0" xfId="0" applyNumberFormat="1" applyFont="1" applyFill="1"/>
    <xf numFmtId="0" fontId="6" fillId="0" borderId="0" xfId="0" applyFont="1" applyFill="1" applyAlignment="1">
      <alignment horizontal="center"/>
    </xf>
    <xf numFmtId="0" fontId="0" fillId="0" borderId="0" xfId="0" applyFill="1"/>
    <xf numFmtId="0" fontId="6" fillId="0" borderId="1" xfId="0" applyFont="1" applyFill="1" applyBorder="1" applyAlignment="1">
      <alignment horizontal="center"/>
    </xf>
    <xf numFmtId="0" fontId="11" fillId="0" borderId="0" xfId="0" applyFont="1" applyFill="1"/>
    <xf numFmtId="4" fontId="5" fillId="0" borderId="0" xfId="0" applyNumberFormat="1" applyFont="1" applyFill="1" applyAlignment="1">
      <alignment vertical="top"/>
    </xf>
    <xf numFmtId="164" fontId="2" fillId="0" borderId="0" xfId="0" applyNumberFormat="1" applyFont="1" applyFill="1"/>
    <xf numFmtId="49" fontId="10" fillId="0" borderId="1" xfId="0" applyNumberFormat="1" applyFont="1" applyFill="1" applyBorder="1" applyAlignment="1">
      <alignment horizontal="center" shrinkToFit="1"/>
    </xf>
    <xf numFmtId="4" fontId="10" fillId="0" borderId="1" xfId="0" applyNumberFormat="1" applyFont="1" applyFill="1" applyBorder="1" applyAlignment="1">
      <alignment horizontal="right" shrinkToFit="1"/>
    </xf>
    <xf numFmtId="4" fontId="3" fillId="0" borderId="0" xfId="0" applyNumberFormat="1" applyFont="1" applyFill="1" applyAlignment="1"/>
    <xf numFmtId="4" fontId="5" fillId="0" borderId="0" xfId="0" applyNumberFormat="1" applyFont="1" applyFill="1" applyAlignment="1"/>
    <xf numFmtId="164" fontId="5" fillId="0" borderId="0" xfId="0" applyNumberFormat="1" applyFont="1" applyFill="1" applyAlignment="1"/>
    <xf numFmtId="0" fontId="3" fillId="0" borderId="0" xfId="0" applyFont="1" applyFill="1" applyAlignment="1"/>
    <xf numFmtId="4" fontId="3" fillId="0" borderId="0" xfId="0" applyNumberFormat="1" applyFont="1" applyFill="1" applyAlignment="1">
      <alignment vertical="top"/>
    </xf>
    <xf numFmtId="4" fontId="5" fillId="0" borderId="0" xfId="0" applyNumberFormat="1" applyFont="1" applyFill="1"/>
    <xf numFmtId="164" fontId="5" fillId="0" borderId="0" xfId="0" applyNumberFormat="1" applyFont="1" applyFill="1"/>
    <xf numFmtId="0" fontId="16" fillId="0" borderId="0" xfId="0" applyFont="1" applyFill="1" applyAlignment="1">
      <alignment vertical="top"/>
    </xf>
    <xf numFmtId="4" fontId="16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" fontId="10" fillId="0" borderId="0" xfId="0" applyNumberFormat="1" applyFont="1" applyFill="1" applyBorder="1" applyAlignment="1">
      <alignment horizontal="right" vertical="top" shrinkToFit="1"/>
    </xf>
    <xf numFmtId="2" fontId="7" fillId="0" borderId="0" xfId="0" applyNumberFormat="1" applyFont="1" applyFill="1"/>
    <xf numFmtId="0" fontId="6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/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wrapText="1"/>
    </xf>
    <xf numFmtId="0" fontId="7" fillId="0" borderId="8" xfId="0" applyFont="1" applyFill="1" applyBorder="1" applyAlignment="1">
      <alignment vertical="center" wrapText="1"/>
    </xf>
    <xf numFmtId="4" fontId="9" fillId="3" borderId="1" xfId="0" applyNumberFormat="1" applyFont="1" applyFill="1" applyBorder="1" applyAlignment="1">
      <alignment horizontal="right" vertical="top" shrinkToFit="1"/>
    </xf>
    <xf numFmtId="0" fontId="4" fillId="0" borderId="1" xfId="0" applyFont="1" applyFill="1" applyBorder="1" applyAlignment="1">
      <alignment horizontal="center" vertical="top"/>
    </xf>
    <xf numFmtId="0" fontId="6" fillId="3" borderId="1" xfId="0" applyFont="1" applyFill="1" applyBorder="1" applyAlignment="1">
      <alignment horizontal="left" vertical="top" wrapText="1"/>
    </xf>
    <xf numFmtId="49" fontId="9" fillId="3" borderId="6" xfId="0" applyNumberFormat="1" applyFont="1" applyFill="1" applyBorder="1" applyAlignment="1">
      <alignment horizontal="center" vertical="top" shrinkToFit="1"/>
    </xf>
    <xf numFmtId="4" fontId="2" fillId="0" borderId="0" xfId="0" applyNumberFormat="1" applyFont="1" applyFill="1" applyBorder="1"/>
    <xf numFmtId="0" fontId="2" fillId="0" borderId="0" xfId="0" applyFont="1" applyFill="1" applyBorder="1"/>
    <xf numFmtId="0" fontId="6" fillId="0" borderId="0" xfId="0" applyFont="1" applyFill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4" fontId="6" fillId="0" borderId="1" xfId="0" applyNumberFormat="1" applyFont="1" applyFill="1" applyBorder="1" applyAlignment="1">
      <alignment horizontal="center"/>
    </xf>
    <xf numFmtId="4" fontId="7" fillId="0" borderId="0" xfId="0" applyNumberFormat="1" applyFont="1" applyFill="1" applyAlignment="1">
      <alignment vertical="top"/>
    </xf>
    <xf numFmtId="4" fontId="29" fillId="0" borderId="11" xfId="3" applyNumberFormat="1" applyFont="1" applyFill="1" applyAlignment="1" applyProtection="1">
      <alignment vertical="top" wrapText="1"/>
    </xf>
    <xf numFmtId="4" fontId="28" fillId="0" borderId="11" xfId="3" applyNumberFormat="1" applyFont="1" applyFill="1" applyAlignment="1" applyProtection="1">
      <alignment vertical="top" wrapText="1"/>
    </xf>
    <xf numFmtId="4" fontId="29" fillId="0" borderId="12" xfId="3" applyNumberFormat="1" applyFont="1" applyFill="1" applyBorder="1" applyAlignment="1" applyProtection="1">
      <alignment vertical="top" wrapText="1"/>
    </xf>
    <xf numFmtId="4" fontId="29" fillId="0" borderId="11" xfId="3" applyNumberFormat="1" applyFont="1" applyFill="1" applyAlignment="1" applyProtection="1">
      <alignment horizontal="center" vertical="top" wrapText="1"/>
    </xf>
    <xf numFmtId="4" fontId="29" fillId="0" borderId="11" xfId="3" applyNumberFormat="1" applyFont="1" applyFill="1" applyAlignment="1" applyProtection="1">
      <alignment horizontal="center" wrapText="1"/>
    </xf>
    <xf numFmtId="4" fontId="29" fillId="0" borderId="11" xfId="3" applyNumberFormat="1" applyFont="1" applyFill="1" applyProtection="1">
      <alignment horizontal="right" wrapText="1"/>
    </xf>
    <xf numFmtId="0" fontId="2" fillId="0" borderId="0" xfId="0" applyFont="1" applyFill="1" applyAlignment="1">
      <alignment vertical="top"/>
    </xf>
    <xf numFmtId="0" fontId="30" fillId="0" borderId="1" xfId="0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 vertical="center" wrapText="1"/>
    </xf>
    <xf numFmtId="164" fontId="30" fillId="0" borderId="1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justify" vertical="top" wrapText="1"/>
    </xf>
    <xf numFmtId="4" fontId="32" fillId="0" borderId="6" xfId="0" applyNumberFormat="1" applyFont="1" applyFill="1" applyBorder="1" applyAlignment="1">
      <alignment horizontal="right"/>
    </xf>
    <xf numFmtId="4" fontId="31" fillId="0" borderId="1" xfId="0" applyNumberFormat="1" applyFont="1" applyFill="1" applyBorder="1"/>
    <xf numFmtId="4" fontId="30" fillId="0" borderId="1" xfId="0" applyNumberFormat="1" applyFont="1" applyFill="1" applyBorder="1"/>
    <xf numFmtId="0" fontId="30" fillId="0" borderId="1" xfId="0" applyFont="1" applyFill="1" applyBorder="1" applyAlignment="1">
      <alignment horizontal="justify" vertical="top" wrapText="1"/>
    </xf>
    <xf numFmtId="4" fontId="33" fillId="0" borderId="9" xfId="0" applyNumberFormat="1" applyFont="1" applyFill="1" applyBorder="1" applyAlignment="1">
      <alignment horizontal="right"/>
    </xf>
    <xf numFmtId="4" fontId="33" fillId="0" borderId="6" xfId="0" applyNumberFormat="1" applyFont="1" applyFill="1" applyBorder="1" applyAlignment="1">
      <alignment horizontal="right"/>
    </xf>
    <xf numFmtId="0" fontId="30" fillId="0" borderId="0" xfId="0" applyFont="1" applyFill="1"/>
    <xf numFmtId="4" fontId="30" fillId="0" borderId="0" xfId="0" applyNumberFormat="1" applyFont="1" applyFill="1"/>
    <xf numFmtId="0" fontId="3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vertical="top" wrapText="1"/>
    </xf>
    <xf numFmtId="4" fontId="31" fillId="0" borderId="6" xfId="0" applyNumberFormat="1" applyFont="1" applyFill="1" applyBorder="1"/>
    <xf numFmtId="0" fontId="30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vertical="top" wrapText="1"/>
    </xf>
    <xf numFmtId="4" fontId="30" fillId="0" borderId="6" xfId="0" applyNumberFormat="1" applyFont="1" applyFill="1" applyBorder="1"/>
    <xf numFmtId="0" fontId="31" fillId="0" borderId="1" xfId="0" applyFont="1" applyFill="1" applyBorder="1" applyAlignment="1">
      <alignment vertical="top"/>
    </xf>
    <xf numFmtId="0" fontId="30" fillId="0" borderId="1" xfId="0" applyFont="1" applyFill="1" applyBorder="1"/>
    <xf numFmtId="4" fontId="17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 wrapText="1"/>
    </xf>
    <xf numFmtId="0" fontId="30" fillId="0" borderId="0" xfId="0" applyFont="1" applyFill="1" applyAlignment="1">
      <alignment vertical="top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right"/>
    </xf>
    <xf numFmtId="0" fontId="33" fillId="0" borderId="0" xfId="0" applyFont="1" applyFill="1" applyAlignment="1">
      <alignment vertical="top"/>
    </xf>
    <xf numFmtId="0" fontId="33" fillId="0" borderId="0" xfId="0" applyFont="1" applyFill="1" applyAlignment="1">
      <alignment horizontal="center" vertical="top"/>
    </xf>
    <xf numFmtId="4" fontId="33" fillId="0" borderId="0" xfId="0" applyNumberFormat="1" applyFont="1" applyFill="1" applyAlignment="1">
      <alignment horizontal="center" vertical="top"/>
    </xf>
    <xf numFmtId="0" fontId="33" fillId="0" borderId="0" xfId="0" applyFont="1" applyFill="1"/>
    <xf numFmtId="0" fontId="30" fillId="0" borderId="0" xfId="0" applyFont="1" applyFill="1" applyAlignment="1">
      <alignment vertical="top" wrapText="1"/>
    </xf>
    <xf numFmtId="0" fontId="30" fillId="0" borderId="0" xfId="0" applyFont="1" applyFill="1" applyAlignment="1">
      <alignment horizontal="center" vertical="top" wrapText="1"/>
    </xf>
    <xf numFmtId="4" fontId="33" fillId="0" borderId="0" xfId="0" applyNumberFormat="1" applyFont="1" applyFill="1" applyAlignment="1">
      <alignment vertical="top"/>
    </xf>
    <xf numFmtId="0" fontId="29" fillId="0" borderId="1" xfId="0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horizontal="center" vertical="top" wrapText="1"/>
    </xf>
    <xf numFmtId="164" fontId="30" fillId="0" borderId="1" xfId="0" applyNumberFormat="1" applyFont="1" applyFill="1" applyBorder="1" applyAlignment="1">
      <alignment vertical="top" wrapText="1"/>
    </xf>
    <xf numFmtId="0" fontId="31" fillId="0" borderId="1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top" wrapText="1"/>
    </xf>
    <xf numFmtId="49" fontId="28" fillId="0" borderId="1" xfId="0" applyNumberFormat="1" applyFont="1" applyFill="1" applyBorder="1" applyAlignment="1">
      <alignment horizontal="center" vertical="top" shrinkToFit="1"/>
    </xf>
    <xf numFmtId="4" fontId="28" fillId="0" borderId="1" xfId="0" applyNumberFormat="1" applyFont="1" applyFill="1" applyBorder="1" applyAlignment="1">
      <alignment horizontal="center" vertical="top" shrinkToFit="1"/>
    </xf>
    <xf numFmtId="0" fontId="32" fillId="0" borderId="0" xfId="0" applyFont="1" applyFill="1"/>
    <xf numFmtId="0" fontId="29" fillId="0" borderId="1" xfId="0" applyFont="1" applyFill="1" applyBorder="1" applyAlignment="1">
      <alignment vertical="top" wrapText="1"/>
    </xf>
    <xf numFmtId="49" fontId="29" fillId="0" borderId="1" xfId="0" applyNumberFormat="1" applyFont="1" applyFill="1" applyBorder="1" applyAlignment="1">
      <alignment horizontal="center" vertical="top" shrinkToFit="1"/>
    </xf>
    <xf numFmtId="4" fontId="29" fillId="0" borderId="1" xfId="0" applyNumberFormat="1" applyFont="1" applyFill="1" applyBorder="1" applyAlignment="1">
      <alignment horizontal="center" vertical="top" shrinkToFit="1"/>
    </xf>
    <xf numFmtId="4" fontId="29" fillId="0" borderId="1" xfId="0" applyNumberFormat="1" applyFont="1" applyFill="1" applyBorder="1" applyAlignment="1">
      <alignment vertical="top" shrinkToFit="1"/>
    </xf>
    <xf numFmtId="4" fontId="30" fillId="0" borderId="1" xfId="0" applyNumberFormat="1" applyFont="1" applyFill="1" applyBorder="1" applyAlignment="1">
      <alignment horizontal="center" vertical="top"/>
    </xf>
    <xf numFmtId="4" fontId="30" fillId="0" borderId="1" xfId="0" applyNumberFormat="1" applyFont="1" applyFill="1" applyBorder="1" applyAlignment="1">
      <alignment vertical="top"/>
    </xf>
    <xf numFmtId="0" fontId="34" fillId="0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shrinkToFit="1"/>
    </xf>
    <xf numFmtId="4" fontId="34" fillId="0" borderId="1" xfId="0" applyNumberFormat="1" applyFont="1" applyFill="1" applyBorder="1" applyAlignment="1">
      <alignment horizontal="center" vertical="top" shrinkToFit="1"/>
    </xf>
    <xf numFmtId="4" fontId="34" fillId="0" borderId="1" xfId="0" applyNumberFormat="1" applyFont="1" applyFill="1" applyBorder="1" applyAlignment="1">
      <alignment vertical="top" shrinkToFit="1"/>
    </xf>
    <xf numFmtId="4" fontId="35" fillId="0" borderId="1" xfId="0" applyNumberFormat="1" applyFont="1" applyFill="1" applyBorder="1" applyAlignment="1">
      <alignment horizontal="center" vertical="top"/>
    </xf>
    <xf numFmtId="0" fontId="35" fillId="0" borderId="0" xfId="0" applyFont="1" applyFill="1"/>
    <xf numFmtId="0" fontId="33" fillId="0" borderId="1" xfId="0" applyFont="1" applyFill="1" applyBorder="1" applyAlignment="1">
      <alignment vertical="top" wrapText="1"/>
    </xf>
    <xf numFmtId="0" fontId="36" fillId="0" borderId="1" xfId="0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vertical="top"/>
    </xf>
    <xf numFmtId="0" fontId="29" fillId="0" borderId="1" xfId="0" applyFont="1" applyFill="1" applyBorder="1" applyAlignment="1">
      <alignment horizontal="justify" vertical="top" wrapText="1"/>
    </xf>
    <xf numFmtId="0" fontId="33" fillId="0" borderId="0" xfId="0" applyFont="1" applyFill="1" applyAlignment="1">
      <alignment horizontal="justify" vertical="top" wrapText="1"/>
    </xf>
    <xf numFmtId="0" fontId="37" fillId="0" borderId="1" xfId="0" applyFont="1" applyFill="1" applyBorder="1" applyAlignment="1">
      <alignment vertical="top" wrapText="1"/>
    </xf>
    <xf numFmtId="4" fontId="35" fillId="0" borderId="1" xfId="0" applyNumberFormat="1" applyFont="1" applyFill="1" applyBorder="1" applyAlignment="1">
      <alignment horizontal="center" vertical="top" shrinkToFit="1"/>
    </xf>
    <xf numFmtId="4" fontId="29" fillId="3" borderId="1" xfId="0" applyNumberFormat="1" applyFont="1" applyFill="1" applyBorder="1" applyAlignment="1">
      <alignment horizontal="center" vertical="top" shrinkToFit="1"/>
    </xf>
    <xf numFmtId="0" fontId="35" fillId="0" borderId="1" xfId="0" applyFont="1" applyFill="1" applyBorder="1" applyAlignment="1">
      <alignment vertical="top" wrapText="1"/>
    </xf>
    <xf numFmtId="4" fontId="30" fillId="3" borderId="1" xfId="0" applyNumberFormat="1" applyFont="1" applyFill="1" applyBorder="1" applyAlignment="1">
      <alignment horizontal="center" vertical="top"/>
    </xf>
    <xf numFmtId="0" fontId="33" fillId="0" borderId="0" xfId="0" applyFont="1" applyFill="1" applyAlignment="1">
      <alignment vertical="top" wrapText="1"/>
    </xf>
    <xf numFmtId="2" fontId="30" fillId="0" borderId="1" xfId="0" applyNumberFormat="1" applyFont="1" applyFill="1" applyBorder="1" applyAlignment="1">
      <alignment horizontal="center" vertical="top"/>
    </xf>
    <xf numFmtId="4" fontId="29" fillId="0" borderId="1" xfId="0" applyNumberFormat="1" applyFont="1" applyFill="1" applyBorder="1" applyAlignment="1">
      <alignment horizontal="center" shrinkToFit="1"/>
    </xf>
    <xf numFmtId="4" fontId="30" fillId="0" borderId="1" xfId="0" applyNumberFormat="1" applyFont="1" applyFill="1" applyBorder="1" applyAlignment="1">
      <alignment horizontal="center"/>
    </xf>
    <xf numFmtId="0" fontId="33" fillId="0" borderId="1" xfId="0" applyFont="1" applyFill="1" applyBorder="1" applyAlignment="1">
      <alignment vertical="top"/>
    </xf>
    <xf numFmtId="0" fontId="30" fillId="0" borderId="1" xfId="0" applyFont="1" applyFill="1" applyBorder="1" applyAlignment="1">
      <alignment horizontal="center" vertical="top"/>
    </xf>
    <xf numFmtId="0" fontId="33" fillId="0" borderId="8" xfId="0" applyFont="1" applyFill="1" applyBorder="1" applyAlignment="1">
      <alignment vertical="top" wrapText="1"/>
    </xf>
    <xf numFmtId="4" fontId="34" fillId="0" borderId="1" xfId="0" quotePrefix="1" applyNumberFormat="1" applyFont="1" applyFill="1" applyBorder="1" applyAlignment="1">
      <alignment horizontal="center" vertical="top" shrinkToFit="1"/>
    </xf>
    <xf numFmtId="0" fontId="31" fillId="0" borderId="1" xfId="0" applyFont="1" applyFill="1" applyBorder="1" applyAlignment="1">
      <alignment horizontal="center" vertical="top"/>
    </xf>
    <xf numFmtId="4" fontId="31" fillId="0" borderId="1" xfId="0" applyNumberFormat="1" applyFont="1" applyFill="1" applyBorder="1" applyAlignment="1">
      <alignment horizontal="center" vertical="top"/>
    </xf>
    <xf numFmtId="49" fontId="30" fillId="0" borderId="1" xfId="0" applyNumberFormat="1" applyFont="1" applyFill="1" applyBorder="1" applyAlignment="1">
      <alignment horizontal="center" vertical="top"/>
    </xf>
    <xf numFmtId="0" fontId="31" fillId="0" borderId="0" xfId="0" applyFont="1" applyFill="1" applyBorder="1" applyAlignment="1">
      <alignment vertical="top"/>
    </xf>
    <xf numFmtId="0" fontId="30" fillId="0" borderId="0" xfId="0" applyFont="1" applyFill="1" applyBorder="1" applyAlignment="1">
      <alignment horizontal="center" vertical="top"/>
    </xf>
    <xf numFmtId="4" fontId="28" fillId="0" borderId="0" xfId="0" applyNumberFormat="1" applyFont="1" applyFill="1" applyBorder="1" applyAlignment="1">
      <alignment horizontal="center" vertical="top" shrinkToFit="1"/>
    </xf>
    <xf numFmtId="4" fontId="28" fillId="0" borderId="0" xfId="0" applyNumberFormat="1" applyFont="1" applyFill="1" applyBorder="1" applyAlignment="1">
      <alignment vertical="top" shrinkToFit="1"/>
    </xf>
    <xf numFmtId="0" fontId="30" fillId="0" borderId="0" xfId="0" applyFont="1" applyFill="1" applyBorder="1"/>
    <xf numFmtId="4" fontId="30" fillId="0" borderId="0" xfId="0" applyNumberFormat="1" applyFont="1" applyFill="1" applyBorder="1"/>
    <xf numFmtId="4" fontId="30" fillId="0" borderId="0" xfId="0" applyNumberFormat="1" applyFont="1" applyFill="1" applyAlignment="1">
      <alignment horizontal="center" vertical="top"/>
    </xf>
    <xf numFmtId="4" fontId="30" fillId="0" borderId="0" xfId="0" applyNumberFormat="1" applyFont="1" applyFill="1" applyAlignment="1">
      <alignment vertical="top"/>
    </xf>
    <xf numFmtId="4" fontId="35" fillId="0" borderId="0" xfId="0" applyNumberFormat="1" applyFont="1" applyFill="1" applyAlignment="1">
      <alignment horizontal="center" vertical="top"/>
    </xf>
    <xf numFmtId="4" fontId="35" fillId="0" borderId="0" xfId="0" applyNumberFormat="1" applyFont="1" applyFill="1" applyAlignment="1">
      <alignment vertical="top"/>
    </xf>
    <xf numFmtId="4" fontId="40" fillId="0" borderId="0" xfId="0" applyNumberFormat="1" applyFont="1" applyFill="1" applyAlignment="1">
      <alignment horizontal="center" vertical="top"/>
    </xf>
    <xf numFmtId="4" fontId="4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right" vertical="top"/>
    </xf>
    <xf numFmtId="4" fontId="31" fillId="0" borderId="0" xfId="0" applyNumberFormat="1" applyFont="1" applyFill="1" applyAlignment="1">
      <alignment horizontal="center" vertical="top"/>
    </xf>
    <xf numFmtId="4" fontId="31" fillId="0" borderId="0" xfId="0" applyNumberFormat="1" applyFont="1" applyFill="1" applyAlignment="1">
      <alignment vertical="top"/>
    </xf>
    <xf numFmtId="164" fontId="30" fillId="0" borderId="0" xfId="0" applyNumberFormat="1" applyFont="1" applyFill="1" applyAlignment="1">
      <alignment horizontal="center" vertical="top"/>
    </xf>
    <xf numFmtId="164" fontId="30" fillId="0" borderId="0" xfId="0" applyNumberFormat="1" applyFont="1" applyFill="1" applyAlignment="1">
      <alignment vertical="top"/>
    </xf>
    <xf numFmtId="2" fontId="30" fillId="0" borderId="0" xfId="0" applyNumberFormat="1" applyFont="1" applyFill="1" applyAlignment="1">
      <alignment horizontal="center" vertical="top"/>
    </xf>
    <xf numFmtId="2" fontId="30" fillId="0" borderId="0" xfId="0" applyNumberFormat="1" applyFont="1" applyFill="1"/>
    <xf numFmtId="2" fontId="33" fillId="0" borderId="0" xfId="0" applyNumberFormat="1" applyFont="1" applyFill="1"/>
    <xf numFmtId="2" fontId="30" fillId="0" borderId="0" xfId="0" applyNumberFormat="1" applyFont="1" applyFill="1" applyAlignment="1">
      <alignment vertical="top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/>
    <xf numFmtId="4" fontId="33" fillId="0" borderId="0" xfId="0" applyNumberFormat="1" applyFont="1" applyFill="1" applyAlignment="1">
      <alignment horizontal="center"/>
    </xf>
    <xf numFmtId="4" fontId="30" fillId="0" borderId="1" xfId="0" applyNumberFormat="1" applyFont="1" applyFill="1" applyBorder="1" applyAlignment="1">
      <alignment horizontal="center" wrapText="1"/>
    </xf>
    <xf numFmtId="4" fontId="28" fillId="0" borderId="1" xfId="0" applyNumberFormat="1" applyFont="1" applyFill="1" applyBorder="1" applyAlignment="1">
      <alignment horizontal="center" shrinkToFit="1"/>
    </xf>
    <xf numFmtId="4" fontId="35" fillId="0" borderId="1" xfId="0" applyNumberFormat="1" applyFont="1" applyFill="1" applyBorder="1" applyAlignment="1">
      <alignment horizontal="center"/>
    </xf>
    <xf numFmtId="4" fontId="34" fillId="0" borderId="1" xfId="0" applyNumberFormat="1" applyFont="1" applyFill="1" applyBorder="1" applyAlignment="1">
      <alignment horizontal="center" shrinkToFit="1"/>
    </xf>
    <xf numFmtId="4" fontId="29" fillId="3" borderId="1" xfId="0" applyNumberFormat="1" applyFont="1" applyFill="1" applyBorder="1" applyAlignment="1">
      <alignment horizontal="center" shrinkToFit="1"/>
    </xf>
    <xf numFmtId="4" fontId="30" fillId="3" borderId="1" xfId="0" applyNumberFormat="1" applyFont="1" applyFill="1" applyBorder="1" applyAlignment="1">
      <alignment horizontal="center"/>
    </xf>
    <xf numFmtId="4" fontId="35" fillId="0" borderId="1" xfId="0" applyNumberFormat="1" applyFont="1" applyFill="1" applyBorder="1" applyAlignment="1">
      <alignment horizontal="center" shrinkToFit="1"/>
    </xf>
    <xf numFmtId="4" fontId="38" fillId="0" borderId="1" xfId="0" applyNumberFormat="1" applyFont="1" applyFill="1" applyBorder="1" applyAlignment="1">
      <alignment horizontal="center" shrinkToFit="1"/>
    </xf>
    <xf numFmtId="4" fontId="38" fillId="0" borderId="1" xfId="0" applyNumberFormat="1" applyFont="1" applyFill="1" applyBorder="1" applyAlignment="1">
      <alignment horizontal="center"/>
    </xf>
    <xf numFmtId="4" fontId="34" fillId="0" borderId="1" xfId="0" quotePrefix="1" applyNumberFormat="1" applyFont="1" applyFill="1" applyBorder="1" applyAlignment="1">
      <alignment horizontal="center" shrinkToFit="1"/>
    </xf>
    <xf numFmtId="4" fontId="31" fillId="0" borderId="1" xfId="0" applyNumberFormat="1" applyFont="1" applyFill="1" applyBorder="1" applyAlignment="1">
      <alignment horizontal="center"/>
    </xf>
    <xf numFmtId="4" fontId="28" fillId="0" borderId="0" xfId="0" applyNumberFormat="1" applyFont="1" applyFill="1" applyBorder="1" applyAlignment="1">
      <alignment horizontal="center" shrinkToFit="1"/>
    </xf>
    <xf numFmtId="4" fontId="31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Border="1" applyAlignment="1">
      <alignment horizontal="center"/>
    </xf>
    <xf numFmtId="4" fontId="30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 horizontal="center"/>
    </xf>
    <xf numFmtId="4" fontId="40" fillId="0" borderId="0" xfId="0" applyNumberFormat="1" applyFont="1" applyFill="1" applyAlignment="1">
      <alignment horizontal="center"/>
    </xf>
    <xf numFmtId="4" fontId="31" fillId="0" borderId="0" xfId="0" applyNumberFormat="1" applyFont="1" applyFill="1" applyAlignment="1">
      <alignment horizontal="center"/>
    </xf>
    <xf numFmtId="164" fontId="30" fillId="0" borderId="0" xfId="0" applyNumberFormat="1" applyFont="1" applyFill="1" applyAlignment="1">
      <alignment horizontal="center"/>
    </xf>
    <xf numFmtId="0" fontId="29" fillId="0" borderId="1" xfId="0" applyFont="1" applyFill="1" applyBorder="1" applyAlignment="1">
      <alignment horizontal="center" wrapText="1"/>
    </xf>
    <xf numFmtId="164" fontId="30" fillId="0" borderId="1" xfId="0" applyNumberFormat="1" applyFont="1" applyFill="1" applyBorder="1" applyAlignment="1">
      <alignment horizontal="center" wrapText="1"/>
    </xf>
    <xf numFmtId="49" fontId="28" fillId="0" borderId="1" xfId="0" applyNumberFormat="1" applyFont="1" applyFill="1" applyBorder="1" applyAlignment="1">
      <alignment horizontal="center" shrinkToFit="1"/>
    </xf>
    <xf numFmtId="4" fontId="28" fillId="0" borderId="7" xfId="2" applyNumberFormat="1" applyFont="1" applyFill="1" applyAlignment="1" applyProtection="1">
      <alignment horizontal="center" shrinkToFit="1"/>
    </xf>
    <xf numFmtId="49" fontId="29" fillId="0" borderId="1" xfId="0" applyNumberFormat="1" applyFont="1" applyFill="1" applyBorder="1" applyAlignment="1">
      <alignment horizontal="center" shrinkToFit="1"/>
    </xf>
    <xf numFmtId="4" fontId="29" fillId="0" borderId="7" xfId="2" applyNumberFormat="1" applyFont="1" applyFill="1" applyAlignment="1" applyProtection="1">
      <alignment horizontal="center" shrinkToFit="1"/>
    </xf>
    <xf numFmtId="49" fontId="34" fillId="0" borderId="1" xfId="0" applyNumberFormat="1" applyFont="1" applyFill="1" applyBorder="1" applyAlignment="1">
      <alignment horizontal="center" shrinkToFit="1"/>
    </xf>
    <xf numFmtId="4" fontId="34" fillId="0" borderId="7" xfId="2" applyNumberFormat="1" applyFont="1" applyFill="1" applyAlignment="1" applyProtection="1">
      <alignment horizontal="center" shrinkToFit="1"/>
    </xf>
    <xf numFmtId="4" fontId="29" fillId="0" borderId="10" xfId="2" applyNumberFormat="1" applyFont="1" applyFill="1" applyBorder="1" applyAlignment="1" applyProtection="1">
      <alignment horizontal="center" shrinkToFit="1"/>
    </xf>
    <xf numFmtId="49" fontId="30" fillId="0" borderId="1" xfId="0" applyNumberFormat="1" applyFont="1" applyFill="1" applyBorder="1" applyAlignment="1">
      <alignment horizontal="center" shrinkToFit="1"/>
    </xf>
    <xf numFmtId="49" fontId="29" fillId="3" borderId="1" xfId="0" applyNumberFormat="1" applyFont="1" applyFill="1" applyBorder="1" applyAlignment="1">
      <alignment horizontal="center" shrinkToFit="1"/>
    </xf>
    <xf numFmtId="49" fontId="34" fillId="0" borderId="6" xfId="0" applyNumberFormat="1" applyFont="1" applyFill="1" applyBorder="1" applyAlignment="1">
      <alignment horizontal="center" shrinkToFit="1"/>
    </xf>
    <xf numFmtId="49" fontId="29" fillId="0" borderId="6" xfId="0" applyNumberFormat="1" applyFont="1" applyFill="1" applyBorder="1" applyAlignment="1">
      <alignment horizontal="center" shrinkToFit="1"/>
    </xf>
    <xf numFmtId="2" fontId="30" fillId="0" borderId="1" xfId="0" applyNumberFormat="1" applyFont="1" applyFill="1" applyBorder="1" applyAlignment="1">
      <alignment horizontal="center"/>
    </xf>
    <xf numFmtId="4" fontId="29" fillId="0" borderId="11" xfId="2" applyNumberFormat="1" applyFont="1" applyFill="1" applyBorder="1" applyAlignment="1" applyProtection="1">
      <alignment horizontal="center" shrinkToFit="1"/>
    </xf>
    <xf numFmtId="49" fontId="38" fillId="0" borderId="1" xfId="0" applyNumberFormat="1" applyFont="1" applyFill="1" applyBorder="1" applyAlignment="1">
      <alignment horizontal="center" shrinkToFit="1"/>
    </xf>
    <xf numFmtId="0" fontId="30" fillId="0" borderId="1" xfId="0" applyFont="1" applyFill="1" applyBorder="1" applyAlignment="1">
      <alignment horizontal="center"/>
    </xf>
    <xf numFmtId="49" fontId="30" fillId="0" borderId="1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/>
    </xf>
    <xf numFmtId="49" fontId="30" fillId="0" borderId="0" xfId="0" applyNumberFormat="1" applyFont="1" applyFill="1" applyAlignment="1">
      <alignment horizontal="center"/>
    </xf>
    <xf numFmtId="49" fontId="31" fillId="0" borderId="0" xfId="0" applyNumberFormat="1" applyFont="1" applyFill="1" applyAlignment="1">
      <alignment horizontal="center"/>
    </xf>
    <xf numFmtId="2" fontId="30" fillId="0" borderId="1" xfId="0" applyNumberFormat="1" applyFont="1" applyFill="1" applyBorder="1" applyAlignment="1">
      <alignment wrapText="1"/>
    </xf>
    <xf numFmtId="0" fontId="30" fillId="0" borderId="1" xfId="0" applyFont="1" applyFill="1" applyBorder="1" applyAlignment="1">
      <alignment vertical="center" wrapText="1"/>
    </xf>
    <xf numFmtId="4" fontId="33" fillId="0" borderId="1" xfId="0" applyNumberFormat="1" applyFont="1" applyFill="1" applyBorder="1"/>
    <xf numFmtId="2" fontId="33" fillId="0" borderId="1" xfId="0" applyNumberFormat="1" applyFont="1" applyFill="1" applyBorder="1"/>
    <xf numFmtId="0" fontId="29" fillId="0" borderId="0" xfId="0" applyFont="1" applyFill="1" applyAlignment="1">
      <alignment vertical="top" wrapText="1"/>
    </xf>
    <xf numFmtId="0" fontId="29" fillId="3" borderId="1" xfId="0" applyFont="1" applyFill="1" applyBorder="1" applyAlignment="1">
      <alignment vertical="top" wrapText="1"/>
    </xf>
    <xf numFmtId="4" fontId="33" fillId="3" borderId="1" xfId="0" applyNumberFormat="1" applyFont="1" applyFill="1" applyBorder="1"/>
    <xf numFmtId="4" fontId="31" fillId="0" borderId="0" xfId="0" applyNumberFormat="1" applyFont="1" applyFill="1" applyBorder="1" applyAlignment="1">
      <alignment vertical="top"/>
    </xf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justify" vertical="distributed" wrapText="1"/>
    </xf>
    <xf numFmtId="49" fontId="30" fillId="0" borderId="0" xfId="0" applyNumberFormat="1" applyFont="1" applyFill="1" applyBorder="1" applyAlignment="1">
      <alignment horizontal="center" wrapText="1"/>
    </xf>
    <xf numFmtId="4" fontId="9" fillId="0" borderId="7" xfId="0" applyNumberFormat="1" applyFont="1" applyFill="1" applyBorder="1" applyAlignment="1">
      <alignment horizontal="right" vertical="center" wrapText="1"/>
    </xf>
    <xf numFmtId="4" fontId="9" fillId="0" borderId="7" xfId="4" applyNumberFormat="1" applyFont="1" applyFill="1" applyBorder="1" applyAlignment="1">
      <alignment horizontal="right" vertical="center" wrapText="1"/>
    </xf>
    <xf numFmtId="49" fontId="9" fillId="0" borderId="1" xfId="0" applyNumberFormat="1" applyFont="1" applyFill="1" applyBorder="1" applyAlignment="1">
      <alignment horizontal="center" shrinkToFit="1"/>
    </xf>
    <xf numFmtId="0" fontId="30" fillId="6" borderId="0" xfId="0" applyFont="1" applyFill="1" applyAlignment="1"/>
    <xf numFmtId="0" fontId="33" fillId="6" borderId="0" xfId="0" applyFont="1" applyFill="1" applyAlignment="1"/>
    <xf numFmtId="4" fontId="30" fillId="6" borderId="1" xfId="0" applyNumberFormat="1" applyFont="1" applyFill="1" applyBorder="1" applyAlignment="1">
      <alignment wrapText="1"/>
    </xf>
    <xf numFmtId="4" fontId="28" fillId="6" borderId="1" xfId="0" applyNumberFormat="1" applyFont="1" applyFill="1" applyBorder="1" applyAlignment="1">
      <alignment horizontal="center" shrinkToFit="1"/>
    </xf>
    <xf numFmtId="4" fontId="29" fillId="6" borderId="1" xfId="0" applyNumberFormat="1" applyFont="1" applyFill="1" applyBorder="1" applyAlignment="1">
      <alignment horizontal="center" shrinkToFit="1"/>
    </xf>
    <xf numFmtId="4" fontId="30" fillId="6" borderId="1" xfId="0" applyNumberFormat="1" applyFont="1" applyFill="1" applyBorder="1" applyAlignment="1">
      <alignment horizontal="center"/>
    </xf>
    <xf numFmtId="4" fontId="35" fillId="6" borderId="1" xfId="0" applyNumberFormat="1" applyFont="1" applyFill="1" applyBorder="1" applyAlignment="1">
      <alignment horizontal="center"/>
    </xf>
    <xf numFmtId="4" fontId="34" fillId="6" borderId="1" xfId="0" applyNumberFormat="1" applyFont="1" applyFill="1" applyBorder="1" applyAlignment="1">
      <alignment horizontal="center" shrinkToFit="1"/>
    </xf>
    <xf numFmtId="4" fontId="35" fillId="6" borderId="1" xfId="0" applyNumberFormat="1" applyFont="1" applyFill="1" applyBorder="1" applyAlignment="1">
      <alignment horizontal="center" shrinkToFit="1"/>
    </xf>
    <xf numFmtId="4" fontId="38" fillId="6" borderId="1" xfId="0" applyNumberFormat="1" applyFont="1" applyFill="1" applyBorder="1" applyAlignment="1">
      <alignment horizontal="center" shrinkToFit="1"/>
    </xf>
    <xf numFmtId="4" fontId="38" fillId="6" borderId="1" xfId="0" applyNumberFormat="1" applyFont="1" applyFill="1" applyBorder="1" applyAlignment="1">
      <alignment horizontal="center"/>
    </xf>
    <xf numFmtId="4" fontId="34" fillId="6" borderId="1" xfId="0" quotePrefix="1" applyNumberFormat="1" applyFont="1" applyFill="1" applyBorder="1" applyAlignment="1">
      <alignment horizontal="center" shrinkToFit="1"/>
    </xf>
    <xf numFmtId="4" fontId="31" fillId="6" borderId="1" xfId="0" applyNumberFormat="1" applyFont="1" applyFill="1" applyBorder="1" applyAlignment="1">
      <alignment horizontal="center"/>
    </xf>
    <xf numFmtId="4" fontId="32" fillId="6" borderId="1" xfId="0" applyNumberFormat="1" applyFont="1" applyFill="1" applyBorder="1" applyAlignment="1">
      <alignment horizontal="center"/>
    </xf>
    <xf numFmtId="4" fontId="31" fillId="6" borderId="0" xfId="0" applyNumberFormat="1" applyFont="1" applyFill="1" applyBorder="1" applyAlignment="1">
      <alignment horizontal="center"/>
    </xf>
    <xf numFmtId="0" fontId="30" fillId="6" borderId="0" xfId="0" applyFont="1" applyFill="1" applyBorder="1" applyAlignment="1"/>
    <xf numFmtId="4" fontId="31" fillId="6" borderId="0" xfId="0" applyNumberFormat="1" applyFont="1" applyFill="1" applyBorder="1" applyAlignment="1"/>
    <xf numFmtId="4" fontId="30" fillId="0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 shrinkToFit="1"/>
    </xf>
    <xf numFmtId="4" fontId="4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center" vertical="center"/>
    </xf>
    <xf numFmtId="4" fontId="0" fillId="0" borderId="0" xfId="0" applyNumberFormat="1" applyFill="1"/>
    <xf numFmtId="0" fontId="10" fillId="0" borderId="0" xfId="0" applyFont="1" applyFill="1" applyBorder="1" applyAlignment="1">
      <alignment horizontal="right"/>
    </xf>
    <xf numFmtId="4" fontId="4" fillId="0" borderId="1" xfId="0" applyNumberFormat="1" applyFont="1" applyFill="1" applyBorder="1" applyAlignment="1">
      <alignment horizontal="right" vertical="top" shrinkToFit="1"/>
    </xf>
    <xf numFmtId="0" fontId="31" fillId="0" borderId="1" xfId="0" applyFont="1" applyFill="1" applyBorder="1" applyAlignment="1">
      <alignment horizontal="center" vertical="center" wrapText="1"/>
    </xf>
    <xf numFmtId="49" fontId="30" fillId="0" borderId="1" xfId="0" applyNumberFormat="1" applyFont="1" applyFill="1" applyBorder="1" applyAlignment="1">
      <alignment horizontal="left" vertical="top" wrapText="1"/>
    </xf>
    <xf numFmtId="0" fontId="30" fillId="0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/>
    </xf>
    <xf numFmtId="0" fontId="32" fillId="0" borderId="1" xfId="0" applyFont="1" applyBorder="1" applyAlignment="1">
      <alignment wrapText="1"/>
    </xf>
    <xf numFmtId="0" fontId="31" fillId="0" borderId="1" xfId="0" applyFont="1" applyFill="1" applyBorder="1" applyAlignment="1">
      <alignment horizontal="left" vertical="top" wrapText="1"/>
    </xf>
    <xf numFmtId="0" fontId="43" fillId="0" borderId="0" xfId="0" applyFont="1" applyAlignment="1">
      <alignment vertical="top"/>
    </xf>
    <xf numFmtId="4" fontId="22" fillId="0" borderId="1" xfId="0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left" vertical="top" wrapText="1"/>
    </xf>
    <xf numFmtId="4" fontId="13" fillId="0" borderId="7" xfId="0" applyNumberFormat="1" applyFont="1" applyFill="1" applyBorder="1" applyAlignment="1">
      <alignment horizontal="right" vertical="top" wrapText="1"/>
    </xf>
    <xf numFmtId="4" fontId="18" fillId="0" borderId="1" xfId="0" applyNumberFormat="1" applyFont="1" applyFill="1" applyBorder="1"/>
    <xf numFmtId="0" fontId="9" fillId="0" borderId="0" xfId="0" applyFont="1" applyFill="1" applyAlignment="1">
      <alignment vertical="top" wrapText="1"/>
    </xf>
    <xf numFmtId="4" fontId="33" fillId="7" borderId="1" xfId="0" applyNumberFormat="1" applyFont="1" applyFill="1" applyBorder="1"/>
    <xf numFmtId="4" fontId="29" fillId="8" borderId="1" xfId="0" applyNumberFormat="1" applyFont="1" applyFill="1" applyBorder="1" applyAlignment="1">
      <alignment horizontal="center" shrinkToFit="1"/>
    </xf>
    <xf numFmtId="4" fontId="30" fillId="8" borderId="1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left" vertical="top" wrapText="1"/>
    </xf>
    <xf numFmtId="4" fontId="20" fillId="0" borderId="1" xfId="0" applyNumberFormat="1" applyFont="1" applyFill="1" applyBorder="1" applyAlignment="1">
      <alignment horizontal="right" vertical="top" shrinkToFit="1"/>
    </xf>
    <xf numFmtId="4" fontId="13" fillId="0" borderId="14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vertical="top"/>
    </xf>
    <xf numFmtId="0" fontId="13" fillId="0" borderId="1" xfId="0" applyFont="1" applyFill="1" applyBorder="1" applyAlignment="1">
      <alignment vertical="top" wrapText="1"/>
    </xf>
    <xf numFmtId="4" fontId="6" fillId="0" borderId="7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left" vertical="top" wrapText="1"/>
    </xf>
    <xf numFmtId="4" fontId="6" fillId="0" borderId="7" xfId="4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top" wrapText="1"/>
    </xf>
    <xf numFmtId="0" fontId="35" fillId="0" borderId="1" xfId="0" applyFont="1" applyFill="1" applyBorder="1" applyAlignment="1">
      <alignment horizontal="left" vertical="top" wrapText="1"/>
    </xf>
    <xf numFmtId="0" fontId="44" fillId="0" borderId="0" xfId="0" applyFont="1" applyFill="1"/>
    <xf numFmtId="0" fontId="31" fillId="0" borderId="1" xfId="0" applyFont="1" applyFill="1" applyBorder="1" applyAlignment="1">
      <alignment wrapText="1"/>
    </xf>
    <xf numFmtId="0" fontId="30" fillId="0" borderId="1" xfId="0" applyFont="1" applyFill="1" applyBorder="1" applyAlignment="1">
      <alignment vertical="top"/>
    </xf>
    <xf numFmtId="4" fontId="6" fillId="0" borderId="0" xfId="0" applyNumberFormat="1" applyFont="1" applyFill="1" applyAlignment="1">
      <alignment horizontal="right" vertical="top"/>
    </xf>
    <xf numFmtId="49" fontId="4" fillId="0" borderId="1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right" vertical="top" shrinkToFit="1"/>
    </xf>
    <xf numFmtId="49" fontId="17" fillId="0" borderId="1" xfId="0" applyNumberFormat="1" applyFont="1" applyFill="1" applyBorder="1" applyAlignment="1">
      <alignment horizontal="center" vertical="top" shrinkToFit="1"/>
    </xf>
    <xf numFmtId="4" fontId="5" fillId="0" borderId="0" xfId="0" applyNumberFormat="1" applyFont="1" applyFill="1" applyAlignment="1">
      <alignment horizontal="right" vertical="top"/>
    </xf>
    <xf numFmtId="0" fontId="6" fillId="0" borderId="0" xfId="0" applyFont="1" applyFill="1" applyAlignment="1">
      <alignment horizontal="justify" vertical="top" wrapText="1"/>
    </xf>
    <xf numFmtId="0" fontId="6" fillId="0" borderId="0" xfId="0" applyFont="1" applyFill="1" applyAlignment="1">
      <alignment wrapText="1"/>
    </xf>
    <xf numFmtId="49" fontId="6" fillId="0" borderId="1" xfId="0" applyNumberFormat="1" applyFont="1" applyFill="1" applyBorder="1" applyAlignment="1">
      <alignment horizontal="center" shrinkToFit="1"/>
    </xf>
    <xf numFmtId="49" fontId="30" fillId="0" borderId="1" xfId="0" applyNumberFormat="1" applyFont="1" applyFill="1" applyBorder="1" applyAlignment="1">
      <alignment horizontal="center" vertical="top" shrinkToFit="1"/>
    </xf>
    <xf numFmtId="0" fontId="6" fillId="0" borderId="1" xfId="0" applyFont="1" applyFill="1" applyBorder="1" applyAlignment="1">
      <alignment vertical="top"/>
    </xf>
    <xf numFmtId="0" fontId="6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shrinkToFit="1"/>
    </xf>
    <xf numFmtId="49" fontId="35" fillId="0" borderId="1" xfId="0" applyNumberFormat="1" applyFont="1" applyFill="1" applyBorder="1" applyAlignment="1">
      <alignment horizontal="center" vertical="top" shrinkToFit="1"/>
    </xf>
    <xf numFmtId="49" fontId="35" fillId="0" borderId="1" xfId="0" applyNumberFormat="1" applyFont="1" applyFill="1" applyBorder="1" applyAlignment="1">
      <alignment horizontal="center" shrinkToFit="1"/>
    </xf>
    <xf numFmtId="49" fontId="4" fillId="0" borderId="6" xfId="0" applyNumberFormat="1" applyFont="1" applyFill="1" applyBorder="1" applyAlignment="1">
      <alignment horizontal="center" vertical="top" shrinkToFit="1"/>
    </xf>
    <xf numFmtId="4" fontId="4" fillId="0" borderId="1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top" shrinkToFit="1"/>
    </xf>
    <xf numFmtId="4" fontId="6" fillId="0" borderId="1" xfId="0" applyNumberFormat="1" applyFont="1" applyFill="1" applyBorder="1" applyAlignment="1">
      <alignment horizontal="center" vertical="center" shrinkToFit="1"/>
    </xf>
    <xf numFmtId="49" fontId="17" fillId="0" borderId="6" xfId="0" applyNumberFormat="1" applyFont="1" applyFill="1" applyBorder="1" applyAlignment="1">
      <alignment horizontal="center" vertical="top" shrinkToFit="1"/>
    </xf>
    <xf numFmtId="0" fontId="6" fillId="0" borderId="3" xfId="0" applyFont="1" applyFill="1" applyBorder="1" applyAlignment="1">
      <alignment vertical="top" wrapText="1"/>
    </xf>
    <xf numFmtId="0" fontId="17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49" fontId="30" fillId="0" borderId="6" xfId="0" applyNumberFormat="1" applyFont="1" applyFill="1" applyBorder="1" applyAlignment="1">
      <alignment horizontal="center" shrinkToFit="1"/>
    </xf>
    <xf numFmtId="0" fontId="30" fillId="0" borderId="8" xfId="0" applyFont="1" applyFill="1" applyBorder="1" applyAlignment="1">
      <alignment vertical="top" wrapText="1"/>
    </xf>
    <xf numFmtId="49" fontId="17" fillId="0" borderId="1" xfId="0" applyNumberFormat="1" applyFont="1" applyFill="1" applyBorder="1" applyAlignment="1">
      <alignment horizontal="center" shrinkToFit="1"/>
    </xf>
    <xf numFmtId="49" fontId="2" fillId="0" borderId="0" xfId="0" applyNumberFormat="1" applyFont="1" applyFill="1"/>
    <xf numFmtId="0" fontId="9" fillId="0" borderId="1" xfId="0" applyFont="1" applyFill="1" applyBorder="1" applyAlignment="1">
      <alignment horizontal="justify" wrapText="1"/>
    </xf>
    <xf numFmtId="49" fontId="7" fillId="0" borderId="1" xfId="0" applyNumberFormat="1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49" fontId="6" fillId="0" borderId="1" xfId="0" applyNumberFormat="1" applyFont="1" applyFill="1" applyBorder="1" applyAlignment="1">
      <alignment horizontal="justify" vertical="top" wrapText="1"/>
    </xf>
    <xf numFmtId="164" fontId="15" fillId="0" borderId="0" xfId="0" applyNumberFormat="1" applyFont="1" applyFill="1"/>
    <xf numFmtId="0" fontId="45" fillId="0" borderId="0" xfId="0" applyFont="1" applyFill="1"/>
    <xf numFmtId="0" fontId="17" fillId="0" borderId="1" xfId="0" applyFont="1" applyFill="1" applyBorder="1" applyAlignment="1">
      <alignment wrapText="1"/>
    </xf>
    <xf numFmtId="4" fontId="4" fillId="0" borderId="2" xfId="0" applyNumberFormat="1" applyFont="1" applyFill="1" applyBorder="1" applyAlignment="1">
      <alignment horizontal="right" vertical="top" shrinkToFit="1"/>
    </xf>
    <xf numFmtId="4" fontId="6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7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vertical="top" wrapText="1"/>
    </xf>
    <xf numFmtId="4" fontId="9" fillId="0" borderId="1" xfId="0" applyNumberFormat="1" applyFont="1" applyFill="1" applyBorder="1" applyAlignment="1">
      <alignment horizontal="right" vertical="top" shrinkToFit="1"/>
    </xf>
    <xf numFmtId="49" fontId="6" fillId="0" borderId="1" xfId="0" applyNumberFormat="1" applyFont="1" applyFill="1" applyBorder="1" applyAlignment="1">
      <alignment horizontal="center" vertical="top" shrinkToFit="1"/>
    </xf>
    <xf numFmtId="0" fontId="3" fillId="0" borderId="0" xfId="0" applyFont="1" applyFill="1"/>
    <xf numFmtId="0" fontId="7" fillId="0" borderId="0" xfId="0" applyFont="1" applyFill="1" applyAlignment="1">
      <alignment vertical="top" wrapText="1"/>
    </xf>
    <xf numFmtId="4" fontId="24" fillId="3" borderId="0" xfId="0" applyNumberFormat="1" applyFont="1" applyFill="1" applyAlignment="1">
      <alignment vertical="top"/>
    </xf>
    <xf numFmtId="4" fontId="24" fillId="0" borderId="0" xfId="0" applyNumberFormat="1" applyFont="1" applyFill="1" applyAlignment="1">
      <alignment vertical="top"/>
    </xf>
    <xf numFmtId="0" fontId="30" fillId="0" borderId="3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4" fontId="31" fillId="0" borderId="1" xfId="0" applyNumberFormat="1" applyFont="1" applyFill="1" applyBorder="1" applyAlignment="1">
      <alignment horizontal="center" vertical="top" wrapText="1"/>
    </xf>
    <xf numFmtId="4" fontId="30" fillId="0" borderId="1" xfId="0" applyNumberFormat="1" applyFont="1" applyFill="1" applyBorder="1" applyAlignment="1">
      <alignment horizontal="center" vertical="top" wrapText="1"/>
    </xf>
    <xf numFmtId="4" fontId="30" fillId="0" borderId="3" xfId="0" applyNumberFormat="1" applyFont="1" applyFill="1" applyBorder="1" applyAlignment="1">
      <alignment horizontal="center" vertical="top"/>
    </xf>
    <xf numFmtId="4" fontId="17" fillId="0" borderId="1" xfId="0" quotePrefix="1" applyNumberFormat="1" applyFont="1" applyFill="1" applyBorder="1" applyAlignment="1">
      <alignment horizontal="center" vertical="center" shrinkToFit="1"/>
    </xf>
    <xf numFmtId="0" fontId="30" fillId="0" borderId="0" xfId="0" applyFont="1" applyFill="1" applyBorder="1" applyAlignment="1">
      <alignment horizontal="left" vertical="top" wrapText="1"/>
    </xf>
    <xf numFmtId="164" fontId="30" fillId="0" borderId="0" xfId="0" applyNumberFormat="1" applyFont="1" applyFill="1" applyAlignment="1">
      <alignment horizontal="center" wrapText="1"/>
    </xf>
    <xf numFmtId="0" fontId="30" fillId="0" borderId="1" xfId="0" applyFont="1" applyFill="1" applyBorder="1" applyAlignment="1">
      <alignment horizontal="center" wrapText="1"/>
    </xf>
    <xf numFmtId="4" fontId="31" fillId="0" borderId="1" xfId="0" applyNumberFormat="1" applyFont="1" applyFill="1" applyBorder="1" applyAlignment="1">
      <alignment horizontal="center" wrapText="1"/>
    </xf>
    <xf numFmtId="4" fontId="42" fillId="0" borderId="1" xfId="0" applyNumberFormat="1" applyFont="1" applyFill="1" applyBorder="1" applyAlignment="1">
      <alignment horizontal="center" wrapText="1"/>
    </xf>
    <xf numFmtId="4" fontId="29" fillId="0" borderId="7" xfId="0" applyNumberFormat="1" applyFont="1" applyFill="1" applyBorder="1" applyAlignment="1">
      <alignment horizontal="center" wrapText="1"/>
    </xf>
    <xf numFmtId="4" fontId="29" fillId="0" borderId="10" xfId="4" applyNumberFormat="1" applyFont="1" applyFill="1" applyBorder="1" applyAlignment="1">
      <alignment horizontal="center" wrapText="1"/>
    </xf>
    <xf numFmtId="4" fontId="46" fillId="0" borderId="0" xfId="0" applyNumberFormat="1" applyFont="1" applyFill="1" applyAlignment="1">
      <alignment horizontal="center"/>
    </xf>
    <xf numFmtId="4" fontId="29" fillId="0" borderId="11" xfId="0" applyNumberFormat="1" applyFont="1" applyFill="1" applyBorder="1" applyAlignment="1">
      <alignment horizontal="center" wrapText="1"/>
    </xf>
    <xf numFmtId="4" fontId="30" fillId="0" borderId="7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wrapText="1"/>
    </xf>
    <xf numFmtId="4" fontId="29" fillId="0" borderId="7" xfId="4" applyNumberFormat="1" applyFont="1" applyFill="1" applyBorder="1" applyAlignment="1">
      <alignment horizontal="center" wrapText="1"/>
    </xf>
    <xf numFmtId="4" fontId="29" fillId="0" borderId="10" xfId="0" applyNumberFormat="1" applyFont="1" applyFill="1" applyBorder="1" applyAlignment="1">
      <alignment horizontal="center" wrapText="1"/>
    </xf>
    <xf numFmtId="4" fontId="30" fillId="0" borderId="1" xfId="0" applyNumberFormat="1" applyFont="1" applyFill="1" applyBorder="1" applyAlignment="1">
      <alignment horizontal="right"/>
    </xf>
    <xf numFmtId="0" fontId="33" fillId="0" borderId="8" xfId="4" applyFont="1" applyFill="1" applyBorder="1" applyAlignment="1">
      <alignment vertical="center" wrapText="1"/>
    </xf>
    <xf numFmtId="49" fontId="29" fillId="0" borderId="1" xfId="4" applyNumberFormat="1" applyFont="1" applyFill="1" applyBorder="1" applyAlignment="1">
      <alignment horizontal="center" vertical="center" shrinkToFit="1"/>
    </xf>
    <xf numFmtId="0" fontId="29" fillId="0" borderId="1" xfId="4" applyFont="1" applyFill="1" applyBorder="1" applyAlignment="1">
      <alignment vertical="top" wrapText="1"/>
    </xf>
    <xf numFmtId="49" fontId="33" fillId="0" borderId="0" xfId="4" applyNumberFormat="1" applyFont="1" applyFill="1" applyAlignment="1">
      <alignment horizontal="center" vertical="center"/>
    </xf>
    <xf numFmtId="4" fontId="30" fillId="0" borderId="0" xfId="0" applyNumberFormat="1" applyFont="1" applyFill="1" applyAlignment="1">
      <alignment horizontal="right" vertical="top"/>
    </xf>
    <xf numFmtId="4" fontId="30" fillId="0" borderId="0" xfId="0" applyNumberFormat="1" applyFont="1" applyFill="1" applyAlignment="1">
      <alignment horizontal="center" wrapText="1"/>
    </xf>
    <xf numFmtId="4" fontId="30" fillId="0" borderId="1" xfId="0" applyNumberFormat="1" applyFont="1" applyFill="1" applyBorder="1" applyAlignment="1">
      <alignment horizontal="center" vertical="center" wrapText="1"/>
    </xf>
    <xf numFmtId="4" fontId="30" fillId="0" borderId="1" xfId="0" applyNumberFormat="1" applyFont="1" applyFill="1" applyBorder="1" applyAlignment="1">
      <alignment horizontal="right" vertical="top" wrapText="1"/>
    </xf>
    <xf numFmtId="49" fontId="31" fillId="0" borderId="1" xfId="0" applyNumberFormat="1" applyFont="1" applyFill="1" applyBorder="1" applyAlignment="1">
      <alignment horizontal="center" vertical="top" shrinkToFit="1"/>
    </xf>
    <xf numFmtId="4" fontId="31" fillId="0" borderId="1" xfId="0" applyNumberFormat="1" applyFont="1" applyFill="1" applyBorder="1" applyAlignment="1">
      <alignment horizontal="right" shrinkToFit="1"/>
    </xf>
    <xf numFmtId="4" fontId="28" fillId="0" borderId="7" xfId="2" applyNumberFormat="1" applyFont="1" applyFill="1" applyAlignment="1" applyProtection="1">
      <alignment horizontal="right" shrinkToFit="1"/>
    </xf>
    <xf numFmtId="0" fontId="31" fillId="0" borderId="0" xfId="0" applyFont="1" applyFill="1"/>
    <xf numFmtId="4" fontId="30" fillId="0" borderId="1" xfId="0" applyNumberFormat="1" applyFont="1" applyFill="1" applyBorder="1" applyAlignment="1">
      <alignment horizontal="right" shrinkToFit="1"/>
    </xf>
    <xf numFmtId="4" fontId="29" fillId="0" borderId="7" xfId="2" applyNumberFormat="1" applyFont="1" applyFill="1" applyAlignment="1" applyProtection="1">
      <alignment horizontal="right" shrinkToFit="1"/>
    </xf>
    <xf numFmtId="0" fontId="30" fillId="0" borderId="1" xfId="0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right" shrinkToFit="1"/>
    </xf>
    <xf numFmtId="0" fontId="35" fillId="0" borderId="1" xfId="0" applyFont="1" applyFill="1" applyBorder="1"/>
    <xf numFmtId="4" fontId="35" fillId="0" borderId="1" xfId="0" applyNumberFormat="1" applyFont="1" applyFill="1" applyBorder="1" applyAlignment="1">
      <alignment horizontal="right"/>
    </xf>
    <xf numFmtId="4" fontId="28" fillId="0" borderId="10" xfId="2" applyNumberFormat="1" applyFont="1" applyFill="1" applyBorder="1" applyAlignment="1" applyProtection="1">
      <alignment horizontal="right" shrinkToFit="1"/>
    </xf>
    <xf numFmtId="0" fontId="30" fillId="0" borderId="0" xfId="0" applyFont="1" applyFill="1" applyAlignment="1">
      <alignment wrapText="1"/>
    </xf>
    <xf numFmtId="49" fontId="38" fillId="0" borderId="1" xfId="0" applyNumberFormat="1" applyFont="1" applyFill="1" applyBorder="1" applyAlignment="1">
      <alignment horizontal="center" vertical="top" shrinkToFit="1"/>
    </xf>
    <xf numFmtId="4" fontId="29" fillId="0" borderId="6" xfId="4" applyNumberFormat="1" applyFont="1" applyFill="1" applyBorder="1" applyAlignment="1">
      <alignment horizontal="right" shrinkToFit="1"/>
    </xf>
    <xf numFmtId="0" fontId="35" fillId="0" borderId="1" xfId="0" applyFont="1" applyFill="1" applyBorder="1" applyAlignment="1">
      <alignment vertical="center" wrapText="1"/>
    </xf>
    <xf numFmtId="4" fontId="34" fillId="0" borderId="6" xfId="4" applyNumberFormat="1" applyFont="1" applyFill="1" applyBorder="1" applyAlignment="1">
      <alignment horizontal="right" shrinkToFit="1"/>
    </xf>
    <xf numFmtId="4" fontId="28" fillId="0" borderId="11" xfId="2" applyNumberFormat="1" applyFont="1" applyFill="1" applyBorder="1" applyAlignment="1" applyProtection="1">
      <alignment horizontal="right" shrinkToFit="1"/>
    </xf>
    <xf numFmtId="4" fontId="29" fillId="0" borderId="11" xfId="3" applyNumberFormat="1" applyFont="1" applyFill="1" applyAlignment="1" applyProtection="1">
      <alignment horizontal="right" wrapText="1"/>
    </xf>
    <xf numFmtId="4" fontId="30" fillId="0" borderId="6" xfId="4" applyNumberFormat="1" applyFont="1" applyFill="1" applyBorder="1" applyAlignment="1">
      <alignment horizontal="right"/>
    </xf>
    <xf numFmtId="4" fontId="35" fillId="0" borderId="6" xfId="4" applyNumberFormat="1" applyFont="1" applyFill="1" applyBorder="1" applyAlignment="1">
      <alignment horizontal="right"/>
    </xf>
    <xf numFmtId="4" fontId="38" fillId="0" borderId="6" xfId="4" applyNumberFormat="1" applyFont="1" applyFill="1" applyBorder="1" applyAlignment="1">
      <alignment horizontal="right" shrinkToFit="1"/>
    </xf>
    <xf numFmtId="4" fontId="38" fillId="0" borderId="11" xfId="3" applyNumberFormat="1" applyFont="1" applyFill="1" applyAlignment="1" applyProtection="1">
      <alignment horizontal="right" wrapText="1"/>
    </xf>
    <xf numFmtId="0" fontId="30" fillId="0" borderId="0" xfId="0" applyFont="1" applyFill="1" applyAlignment="1">
      <alignment horizontal="justify" vertical="top" wrapText="1"/>
    </xf>
    <xf numFmtId="4" fontId="28" fillId="0" borderId="6" xfId="4" applyNumberFormat="1" applyFont="1" applyFill="1" applyBorder="1" applyAlignment="1">
      <alignment horizontal="right" shrinkToFit="1"/>
    </xf>
    <xf numFmtId="49" fontId="30" fillId="0" borderId="1" xfId="0" applyNumberFormat="1" applyFont="1" applyFill="1" applyBorder="1" applyAlignment="1">
      <alignment horizontal="justify" vertical="top" wrapText="1"/>
    </xf>
    <xf numFmtId="49" fontId="30" fillId="0" borderId="6" xfId="0" applyNumberFormat="1" applyFont="1" applyFill="1" applyBorder="1" applyAlignment="1">
      <alignment horizontal="center" vertical="top" shrinkToFit="1"/>
    </xf>
    <xf numFmtId="4" fontId="30" fillId="0" borderId="6" xfId="0" applyNumberFormat="1" applyFont="1" applyFill="1" applyBorder="1" applyAlignment="1">
      <alignment horizontal="right" shrinkToFit="1"/>
    </xf>
    <xf numFmtId="4" fontId="35" fillId="0" borderId="1" xfId="0" quotePrefix="1" applyNumberFormat="1" applyFont="1" applyFill="1" applyBorder="1" applyAlignment="1">
      <alignment horizontal="right" shrinkToFit="1"/>
    </xf>
    <xf numFmtId="4" fontId="30" fillId="0" borderId="1" xfId="4" applyNumberFormat="1" applyFont="1" applyFill="1" applyBorder="1" applyAlignment="1">
      <alignment horizontal="right"/>
    </xf>
    <xf numFmtId="0" fontId="31" fillId="0" borderId="1" xfId="0" applyFont="1" applyFill="1" applyBorder="1" applyAlignment="1">
      <alignment vertical="center"/>
    </xf>
    <xf numFmtId="49" fontId="31" fillId="0" borderId="1" xfId="0" applyNumberFormat="1" applyFont="1" applyFill="1" applyBorder="1" applyAlignment="1">
      <alignment horizontal="center" vertical="center" shrinkToFit="1"/>
    </xf>
    <xf numFmtId="4" fontId="31" fillId="0" borderId="1" xfId="0" applyNumberFormat="1" applyFont="1" applyFill="1" applyBorder="1" applyAlignment="1">
      <alignment horizontal="right"/>
    </xf>
    <xf numFmtId="49" fontId="30" fillId="0" borderId="1" xfId="0" applyNumberFormat="1" applyFont="1" applyFill="1" applyBorder="1"/>
    <xf numFmtId="49" fontId="31" fillId="0" borderId="1" xfId="0" applyNumberFormat="1" applyFont="1" applyFill="1" applyBorder="1" applyAlignment="1">
      <alignment horizontal="center"/>
    </xf>
    <xf numFmtId="49" fontId="30" fillId="0" borderId="0" xfId="0" applyNumberFormat="1" applyFont="1" applyFill="1"/>
    <xf numFmtId="49" fontId="31" fillId="0" borderId="0" xfId="0" applyNumberFormat="1" applyFont="1" applyFill="1"/>
    <xf numFmtId="4" fontId="35" fillId="0" borderId="0" xfId="0" applyNumberFormat="1" applyFont="1" applyFill="1"/>
    <xf numFmtId="4" fontId="28" fillId="0" borderId="1" xfId="5" applyNumberFormat="1" applyFont="1" applyFill="1" applyBorder="1" applyAlignment="1">
      <alignment horizontal="right" wrapText="1"/>
    </xf>
    <xf numFmtId="4" fontId="29" fillId="0" borderId="12" xfId="3" applyNumberFormat="1" applyFont="1" applyFill="1" applyBorder="1" applyAlignment="1" applyProtection="1">
      <alignment horizontal="right" wrapText="1"/>
    </xf>
    <xf numFmtId="4" fontId="38" fillId="0" borderId="6" xfId="4" applyNumberFormat="1" applyFont="1" applyFill="1" applyBorder="1" applyAlignment="1">
      <alignment horizontal="right"/>
    </xf>
    <xf numFmtId="4" fontId="30" fillId="0" borderId="6" xfId="4" applyNumberFormat="1" applyFont="1" applyFill="1" applyBorder="1" applyAlignment="1">
      <alignment horizontal="right" shrinkToFit="1"/>
    </xf>
    <xf numFmtId="4" fontId="30" fillId="0" borderId="11" xfId="3" applyNumberFormat="1" applyFont="1" applyFill="1" applyAlignment="1" applyProtection="1">
      <alignment horizontal="right" wrapText="1"/>
    </xf>
    <xf numFmtId="4" fontId="35" fillId="0" borderId="1" xfId="4" applyNumberFormat="1" applyFont="1" applyFill="1" applyBorder="1" applyAlignment="1">
      <alignment horizontal="right"/>
    </xf>
    <xf numFmtId="4" fontId="34" fillId="0" borderId="6" xfId="4" quotePrefix="1" applyNumberFormat="1" applyFont="1" applyFill="1" applyBorder="1" applyAlignment="1">
      <alignment horizontal="right" shrinkToFit="1"/>
    </xf>
    <xf numFmtId="4" fontId="31" fillId="0" borderId="6" xfId="4" applyNumberFormat="1" applyFont="1" applyFill="1" applyBorder="1" applyAlignment="1">
      <alignment horizontal="right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4" fontId="30" fillId="0" borderId="15" xfId="0" applyNumberFormat="1" applyFont="1" applyFill="1" applyBorder="1" applyAlignment="1">
      <alignment horizontal="right" shrinkToFi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 wrapText="1"/>
    </xf>
    <xf numFmtId="4" fontId="30" fillId="3" borderId="1" xfId="0" applyNumberFormat="1" applyFont="1" applyFill="1" applyBorder="1"/>
    <xf numFmtId="4" fontId="17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left" vertical="top"/>
    </xf>
    <xf numFmtId="4" fontId="35" fillId="0" borderId="0" xfId="0" applyNumberFormat="1" applyFont="1" applyFill="1" applyBorder="1"/>
    <xf numFmtId="4" fontId="6" fillId="0" borderId="0" xfId="0" applyNumberFormat="1" applyFont="1" applyFill="1" applyBorder="1"/>
    <xf numFmtId="4" fontId="6" fillId="0" borderId="0" xfId="0" applyNumberFormat="1" applyFont="1" applyFill="1" applyBorder="1" applyAlignment="1">
      <alignment horizontal="left" vertical="top"/>
    </xf>
    <xf numFmtId="4" fontId="6" fillId="0" borderId="0" xfId="0" applyNumberFormat="1" applyFont="1" applyFill="1" applyBorder="1" applyAlignment="1">
      <alignment vertical="top"/>
    </xf>
    <xf numFmtId="164" fontId="6" fillId="0" borderId="0" xfId="0" applyNumberFormat="1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/>
    </xf>
    <xf numFmtId="4" fontId="4" fillId="0" borderId="0" xfId="0" applyNumberFormat="1" applyFont="1" applyFill="1" applyBorder="1" applyAlignment="1">
      <alignment vertical="top"/>
    </xf>
    <xf numFmtId="0" fontId="30" fillId="0" borderId="0" xfId="0" applyFont="1" applyFill="1" applyBorder="1" applyAlignment="1">
      <alignment vertical="top"/>
    </xf>
    <xf numFmtId="49" fontId="30" fillId="0" borderId="0" xfId="0" applyNumberFormat="1" applyFont="1" applyFill="1" applyBorder="1"/>
    <xf numFmtId="4" fontId="9" fillId="0" borderId="7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/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30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vertical="top"/>
    </xf>
    <xf numFmtId="164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4" fontId="2" fillId="0" borderId="0" xfId="0" applyNumberFormat="1" applyFont="1" applyFill="1" applyBorder="1" applyAlignment="1">
      <alignment vertical="top"/>
    </xf>
    <xf numFmtId="4" fontId="31" fillId="0" borderId="0" xfId="0" applyNumberFormat="1" applyFont="1" applyFill="1" applyBorder="1" applyAlignment="1">
      <alignment horizontal="center" vertical="top"/>
    </xf>
    <xf numFmtId="4" fontId="30" fillId="0" borderId="0" xfId="0" applyNumberFormat="1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 wrapText="1"/>
    </xf>
    <xf numFmtId="2" fontId="2" fillId="0" borderId="0" xfId="0" applyNumberFormat="1" applyFont="1" applyFill="1" applyBorder="1" applyAlignment="1">
      <alignment horizontal="center" vertical="top"/>
    </xf>
    <xf numFmtId="4" fontId="30" fillId="0" borderId="0" xfId="0" applyNumberFormat="1" applyFont="1" applyFill="1" applyBorder="1" applyAlignment="1">
      <alignment horizontal="right"/>
    </xf>
    <xf numFmtId="16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/>
    </xf>
    <xf numFmtId="4" fontId="6" fillId="0" borderId="10" xfId="0" applyNumberFormat="1" applyFont="1" applyFill="1" applyBorder="1" applyAlignment="1">
      <alignment horizontal="right" vertical="center" wrapText="1"/>
    </xf>
    <xf numFmtId="4" fontId="48" fillId="0" borderId="7" xfId="0" applyNumberFormat="1" applyFont="1" applyFill="1" applyBorder="1" applyAlignment="1">
      <alignment horizontal="right" vertical="center" wrapText="1"/>
    </xf>
    <xf numFmtId="4" fontId="10" fillId="0" borderId="10" xfId="4" applyNumberFormat="1" applyFont="1" applyFill="1" applyBorder="1" applyAlignment="1">
      <alignment horizontal="right" vertical="center" wrapText="1"/>
    </xf>
    <xf numFmtId="4" fontId="48" fillId="0" borderId="7" xfId="6" applyNumberFormat="1" applyFont="1" applyFill="1" applyBorder="1" applyAlignment="1">
      <alignment horizontal="right" vertical="center" wrapText="1"/>
    </xf>
    <xf numFmtId="0" fontId="29" fillId="8" borderId="0" xfId="0" applyFont="1" applyFill="1" applyAlignment="1">
      <alignment vertical="top" wrapText="1"/>
    </xf>
    <xf numFmtId="49" fontId="30" fillId="8" borderId="1" xfId="0" applyNumberFormat="1" applyFont="1" applyFill="1" applyBorder="1" applyAlignment="1">
      <alignment horizontal="center" vertical="top" shrinkToFit="1"/>
    </xf>
    <xf numFmtId="49" fontId="33" fillId="8" borderId="0" xfId="0" applyNumberFormat="1" applyFont="1" applyFill="1" applyAlignment="1">
      <alignment horizontal="center" vertical="top"/>
    </xf>
    <xf numFmtId="4" fontId="30" fillId="8" borderId="11" xfId="3" applyNumberFormat="1" applyFont="1" applyFill="1" applyAlignment="1" applyProtection="1">
      <alignment horizontal="right" wrapText="1"/>
    </xf>
    <xf numFmtId="4" fontId="30" fillId="8" borderId="1" xfId="0" applyNumberFormat="1" applyFont="1" applyFill="1" applyBorder="1" applyAlignment="1">
      <alignment horizontal="right" shrinkToFit="1"/>
    </xf>
    <xf numFmtId="4" fontId="30" fillId="8" borderId="1" xfId="0" applyNumberFormat="1" applyFont="1" applyFill="1" applyBorder="1" applyAlignment="1">
      <alignment horizontal="right"/>
    </xf>
    <xf numFmtId="4" fontId="31" fillId="8" borderId="1" xfId="0" applyNumberFormat="1" applyFont="1" applyFill="1" applyBorder="1"/>
    <xf numFmtId="0" fontId="30" fillId="8" borderId="1" xfId="0" applyFont="1" applyFill="1" applyBorder="1" applyAlignment="1">
      <alignment vertical="top" wrapText="1"/>
    </xf>
    <xf numFmtId="49" fontId="33" fillId="8" borderId="1" xfId="0" applyNumberFormat="1" applyFont="1" applyFill="1" applyBorder="1" applyAlignment="1">
      <alignment horizontal="center" vertical="top"/>
    </xf>
    <xf numFmtId="0" fontId="33" fillId="8" borderId="0" xfId="0" applyFont="1" applyFill="1" applyAlignment="1">
      <alignment vertical="top" wrapText="1"/>
    </xf>
    <xf numFmtId="0" fontId="33" fillId="0" borderId="1" xfId="0" applyFont="1" applyFill="1" applyBorder="1" applyAlignment="1">
      <alignment horizontal="center" vertical="top"/>
    </xf>
    <xf numFmtId="49" fontId="29" fillId="0" borderId="1" xfId="4" applyNumberFormat="1" applyFont="1" applyFill="1" applyBorder="1" applyAlignment="1">
      <alignment horizontal="center" vertical="top" shrinkToFit="1"/>
    </xf>
    <xf numFmtId="49" fontId="33" fillId="0" borderId="0" xfId="4" applyNumberFormat="1" applyFont="1" applyFill="1" applyAlignment="1">
      <alignment horizontal="center" vertical="top"/>
    </xf>
    <xf numFmtId="49" fontId="31" fillId="0" borderId="1" xfId="0" applyNumberFormat="1" applyFont="1" applyFill="1" applyBorder="1" applyAlignment="1">
      <alignment horizontal="center" vertical="top"/>
    </xf>
    <xf numFmtId="49" fontId="30" fillId="0" borderId="0" xfId="0" applyNumberFormat="1" applyFont="1" applyFill="1" applyAlignment="1">
      <alignment horizontal="center" vertical="top"/>
    </xf>
    <xf numFmtId="49" fontId="31" fillId="0" borderId="0" xfId="0" applyNumberFormat="1" applyFont="1" applyFill="1" applyAlignment="1">
      <alignment horizontal="center" vertical="top"/>
    </xf>
    <xf numFmtId="49" fontId="30" fillId="0" borderId="0" xfId="0" applyNumberFormat="1" applyFont="1" applyFill="1" applyBorder="1" applyAlignment="1">
      <alignment horizontal="center" vertical="top"/>
    </xf>
    <xf numFmtId="0" fontId="29" fillId="8" borderId="0" xfId="0" applyFont="1" applyFill="1" applyAlignment="1">
      <alignment wrapText="1"/>
    </xf>
    <xf numFmtId="0" fontId="33" fillId="8" borderId="0" xfId="0" applyFont="1" applyFill="1" applyAlignment="1">
      <alignment horizontal="center" vertical="top"/>
    </xf>
    <xf numFmtId="0" fontId="35" fillId="8" borderId="0" xfId="0" applyFont="1" applyFill="1"/>
    <xf numFmtId="4" fontId="28" fillId="8" borderId="7" xfId="2" applyNumberFormat="1" applyFont="1" applyFill="1" applyAlignment="1" applyProtection="1">
      <alignment horizontal="right" shrinkToFit="1"/>
    </xf>
    <xf numFmtId="0" fontId="33" fillId="8" borderId="1" xfId="0" applyFont="1" applyFill="1" applyBorder="1" applyAlignment="1">
      <alignment horizontal="center" vertical="top"/>
    </xf>
    <xf numFmtId="4" fontId="35" fillId="8" borderId="1" xfId="0" applyNumberFormat="1" applyFont="1" applyFill="1" applyBorder="1" applyAlignment="1">
      <alignment horizontal="right"/>
    </xf>
    <xf numFmtId="4" fontId="30" fillId="8" borderId="6" xfId="0" applyNumberFormat="1" applyFont="1" applyFill="1" applyBorder="1" applyAlignment="1">
      <alignment horizontal="right" shrinkToFit="1"/>
    </xf>
    <xf numFmtId="4" fontId="30" fillId="8" borderId="0" xfId="0" applyNumberFormat="1" applyFont="1" applyFill="1" applyBorder="1" applyAlignment="1">
      <alignment horizontal="right"/>
    </xf>
    <xf numFmtId="164" fontId="30" fillId="0" borderId="0" xfId="0" applyNumberFormat="1" applyFont="1" applyFill="1" applyAlignment="1">
      <alignment horizontal="right" wrapText="1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4" fontId="32" fillId="0" borderId="1" xfId="0" applyNumberFormat="1" applyFont="1" applyFill="1" applyBorder="1" applyAlignment="1">
      <alignment horizontal="right"/>
    </xf>
    <xf numFmtId="0" fontId="33" fillId="0" borderId="5" xfId="0" applyFont="1" applyFill="1" applyBorder="1" applyAlignment="1">
      <alignment wrapText="1"/>
    </xf>
    <xf numFmtId="0" fontId="33" fillId="0" borderId="5" xfId="0" applyFont="1" applyFill="1" applyBorder="1" applyAlignment="1">
      <alignment horizontal="left" wrapText="1"/>
    </xf>
    <xf numFmtId="164" fontId="30" fillId="2" borderId="1" xfId="0" applyNumberFormat="1" applyFont="1" applyFill="1" applyBorder="1"/>
    <xf numFmtId="0" fontId="30" fillId="0" borderId="1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wrapText="1"/>
    </xf>
    <xf numFmtId="0" fontId="33" fillId="0" borderId="1" xfId="0" applyFont="1" applyFill="1" applyBorder="1" applyAlignment="1">
      <alignment horizontal="left" wrapText="1"/>
    </xf>
    <xf numFmtId="0" fontId="33" fillId="0" borderId="1" xfId="0" applyFont="1" applyFill="1" applyBorder="1" applyAlignment="1">
      <alignment horizontal="justify" wrapText="1"/>
    </xf>
    <xf numFmtId="0" fontId="33" fillId="0" borderId="1" xfId="0" applyFont="1" applyFill="1" applyBorder="1" applyAlignment="1">
      <alignment horizontal="justify" vertical="top" wrapText="1"/>
    </xf>
    <xf numFmtId="4" fontId="31" fillId="0" borderId="0" xfId="0" applyNumberFormat="1" applyFont="1" applyFill="1"/>
    <xf numFmtId="0" fontId="30" fillId="0" borderId="1" xfId="0" applyFont="1" applyFill="1" applyBorder="1" applyAlignment="1"/>
    <xf numFmtId="4" fontId="30" fillId="0" borderId="10" xfId="0" applyNumberFormat="1" applyFont="1" applyFill="1" applyBorder="1" applyAlignment="1">
      <alignment horizontal="right" vertical="center" wrapText="1"/>
    </xf>
    <xf numFmtId="4" fontId="29" fillId="0" borderId="1" xfId="0" applyNumberFormat="1" applyFont="1" applyFill="1" applyBorder="1" applyAlignment="1">
      <alignment horizontal="right" vertical="center" wrapText="1"/>
    </xf>
    <xf numFmtId="4" fontId="29" fillId="0" borderId="7" xfId="6" applyNumberFormat="1" applyFont="1" applyFill="1" applyBorder="1" applyAlignment="1">
      <alignment horizontal="right" vertical="center" wrapText="1"/>
    </xf>
    <xf numFmtId="4" fontId="30" fillId="0" borderId="7" xfId="4" applyNumberFormat="1" applyFont="1" applyFill="1" applyBorder="1" applyAlignment="1">
      <alignment horizontal="right" vertical="center" wrapText="1"/>
    </xf>
    <xf numFmtId="4" fontId="29" fillId="0" borderId="7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 applyAlignment="1"/>
    <xf numFmtId="4" fontId="30" fillId="0" borderId="7" xfId="0" applyNumberFormat="1" applyFont="1" applyFill="1" applyBorder="1" applyAlignment="1">
      <alignment horizontal="right" vertical="center" wrapText="1"/>
    </xf>
    <xf numFmtId="4" fontId="30" fillId="0" borderId="1" xfId="0" applyNumberFormat="1" applyFont="1" applyFill="1" applyBorder="1" applyAlignment="1">
      <alignment horizontal="right" vertical="center" wrapText="1"/>
    </xf>
    <xf numFmtId="0" fontId="31" fillId="0" borderId="1" xfId="0" applyFont="1" applyFill="1" applyBorder="1"/>
    <xf numFmtId="49" fontId="30" fillId="0" borderId="0" xfId="0" applyNumberFormat="1" applyFont="1" applyFill="1" applyBorder="1" applyAlignment="1">
      <alignment wrapText="1"/>
    </xf>
    <xf numFmtId="0" fontId="30" fillId="0" borderId="0" xfId="0" applyFont="1" applyFill="1" applyBorder="1" applyAlignment="1">
      <alignment wrapText="1"/>
    </xf>
    <xf numFmtId="4" fontId="30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  <xf numFmtId="0" fontId="22" fillId="0" borderId="0" xfId="0" applyFont="1" applyFill="1" applyAlignment="1">
      <alignment vertical="top"/>
    </xf>
    <xf numFmtId="4" fontId="6" fillId="0" borderId="1" xfId="0" applyNumberFormat="1" applyFont="1" applyFill="1" applyBorder="1" applyAlignment="1">
      <alignment horizontal="center" vertical="top" shrinkToFit="1"/>
    </xf>
    <xf numFmtId="4" fontId="2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30" fillId="0" borderId="0" xfId="0" applyFont="1" applyFill="1" applyAlignment="1">
      <alignment horizontal="center"/>
    </xf>
    <xf numFmtId="4" fontId="30" fillId="0" borderId="0" xfId="0" applyNumberFormat="1" applyFont="1" applyFill="1" applyAlignment="1">
      <alignment horizontal="center" vertical="center"/>
    </xf>
    <xf numFmtId="4" fontId="35" fillId="0" borderId="1" xfId="0" applyNumberFormat="1" applyFont="1" applyFill="1" applyBorder="1" applyAlignment="1">
      <alignment horizontal="center" vertical="center" shrinkToFit="1"/>
    </xf>
    <xf numFmtId="4" fontId="30" fillId="0" borderId="1" xfId="0" applyNumberFormat="1" applyFont="1" applyFill="1" applyBorder="1" applyAlignment="1">
      <alignment horizontal="center" vertical="center" shrinkToFit="1"/>
    </xf>
    <xf numFmtId="4" fontId="35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Alignment="1">
      <alignment horizontal="center" vertical="center"/>
    </xf>
    <xf numFmtId="164" fontId="30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shrinkToFit="1"/>
    </xf>
    <xf numFmtId="49" fontId="17" fillId="0" borderId="1" xfId="0" applyNumberFormat="1" applyFont="1" applyFill="1" applyBorder="1" applyAlignment="1">
      <alignment horizontal="center" vertical="center" shrinkToFit="1"/>
    </xf>
    <xf numFmtId="49" fontId="6" fillId="0" borderId="6" xfId="0" applyNumberFormat="1" applyFont="1" applyFill="1" applyBorder="1" applyAlignment="1">
      <alignment horizontal="center" vertical="center" shrinkToFit="1"/>
    </xf>
    <xf numFmtId="49" fontId="30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/>
    </xf>
    <xf numFmtId="49" fontId="35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2" fontId="6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horizontal="right" vertical="center"/>
    </xf>
    <xf numFmtId="0" fontId="10" fillId="0" borderId="1" xfId="0" applyFont="1" applyFill="1" applyBorder="1" applyAlignment="1">
      <alignment horizontal="justify" vertical="top" wrapText="1"/>
    </xf>
    <xf numFmtId="0" fontId="14" fillId="0" borderId="1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33" fillId="0" borderId="1" xfId="0" applyFont="1" applyFill="1" applyBorder="1" applyAlignment="1">
      <alignment horizontal="center" vertical="center"/>
    </xf>
    <xf numFmtId="49" fontId="33" fillId="0" borderId="1" xfId="0" applyNumberFormat="1" applyFont="1" applyFill="1" applyBorder="1" applyAlignment="1">
      <alignment horizontal="center" vertical="center"/>
    </xf>
    <xf numFmtId="49" fontId="33" fillId="0" borderId="0" xfId="0" applyNumberFormat="1" applyFont="1" applyFill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center" vertical="top" wrapText="1"/>
    </xf>
    <xf numFmtId="0" fontId="30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right"/>
    </xf>
    <xf numFmtId="4" fontId="24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10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0" fontId="9" fillId="0" borderId="0" xfId="0" applyFont="1" applyFill="1" applyAlignment="1">
      <alignment horizontal="left" wrapText="1"/>
    </xf>
    <xf numFmtId="0" fontId="7" fillId="0" borderId="0" xfId="0" applyFont="1" applyFill="1" applyAlignment="1"/>
    <xf numFmtId="0" fontId="7" fillId="0" borderId="0" xfId="0" applyFont="1" applyFill="1" applyBorder="1" applyAlignment="1"/>
    <xf numFmtId="0" fontId="33" fillId="0" borderId="0" xfId="0" applyFont="1" applyFill="1" applyAlignment="1">
      <alignment horizontal="center"/>
    </xf>
    <xf numFmtId="0" fontId="30" fillId="0" borderId="0" xfId="0" applyFont="1" applyFill="1" applyAlignment="1">
      <alignment horizontal="center" vertical="top"/>
    </xf>
    <xf numFmtId="0" fontId="30" fillId="0" borderId="0" xfId="0" applyFont="1" applyFill="1" applyAlignment="1">
      <alignment horizontal="center" vertical="top" wrapText="1"/>
    </xf>
    <xf numFmtId="0" fontId="6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</cellXfs>
  <cellStyles count="7">
    <cellStyle name="xl22 2" xfId="5"/>
    <cellStyle name="xl38" xfId="2"/>
    <cellStyle name="xl39" xfId="1"/>
    <cellStyle name="xl83" xfId="3"/>
    <cellStyle name="Обычный" xfId="0" builtinId="0"/>
    <cellStyle name="Обычный 2" xfId="4"/>
    <cellStyle name="Обычный 3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54;&#1089;&#1090;&#1072;&#1087;&#1077;&#1085;&#1082;&#1086;/&#1056;&#1077;&#1096;&#1077;&#1085;&#1080;&#1103;%20&#1044;&#1091;&#1084;&#1099;/2020/&#1056;&#1077;&#1096;&#1077;&#1085;&#1080;&#1077;%20539%20&#1086;&#1090;%2017.12.2019/&#1055;&#1088;&#1086;&#1077;&#1082;&#1090;%20&#1088;&#1077;&#1096;&#1077;&#1085;&#1080;&#1103;/&#1055;&#1088;&#1080;&#1083;&#1086;&#1078;&#1077;&#1085;&#1080;&#1103;%201,2,6-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3/&#1088;&#1077;&#1096;&#1077;&#1085;&#1080;&#1077;%20&#8470;521%20&#1086;&#1090;%2028.02.2023/&#1055;&#1088;&#1080;&#1083;&#1086;&#1078;&#1077;&#1085;&#1080;&#1077;%20&#1082;%20&#1088;&#1077;&#1096;&#1077;&#1085;&#1080;&#1102;%201,2,6-16_&#1087;&#1086;&#1090;&#1088;&#1077;&#1073;&#1085;&#1086;&#1089;&#1090;&#1100;%201_&#1074;&#1072;&#1088;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"/>
      <sheetName val="прил 6"/>
      <sheetName val="прил 7 "/>
      <sheetName val="прил 8 "/>
      <sheetName val="прил 9   "/>
      <sheetName val="прил 10 "/>
      <sheetName val="прил 11"/>
      <sheetName val="прил 12"/>
      <sheetName val="прил 13"/>
      <sheetName val="прил 14"/>
      <sheetName val="прил 15"/>
      <sheetName val="прил 16"/>
      <sheetName val="прил 17"/>
      <sheetName val="прил 18"/>
    </sheetNames>
    <sheetDataSet>
      <sheetData sheetId="0"/>
      <sheetData sheetId="1"/>
      <sheetData sheetId="2"/>
      <sheetData sheetId="3"/>
      <sheetData sheetId="4">
        <row r="9">
          <cell r="C9">
            <v>251618500</v>
          </cell>
        </row>
      </sheetData>
      <sheetData sheetId="5"/>
      <sheetData sheetId="6"/>
      <sheetData sheetId="7"/>
      <sheetData sheetId="8">
        <row r="468">
          <cell r="F468">
            <v>615194524.40999997</v>
          </cell>
        </row>
        <row r="478">
          <cell r="G478">
            <v>72206241.75999999</v>
          </cell>
        </row>
      </sheetData>
      <sheetData sheetId="9"/>
      <sheetData sheetId="10">
        <row r="438">
          <cell r="E438">
            <v>615194524.40999997</v>
          </cell>
        </row>
      </sheetData>
      <sheetData sheetId="11"/>
      <sheetData sheetId="12">
        <row r="60">
          <cell r="F60">
            <v>615194524.41000009</v>
          </cell>
        </row>
      </sheetData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"/>
      <sheetName val="потребность 2023"/>
      <sheetName val="прил 7 динамика2023"/>
    </sheetNames>
    <sheetDataSet>
      <sheetData sheetId="0"/>
      <sheetData sheetId="1"/>
      <sheetData sheetId="2"/>
      <sheetData sheetId="3">
        <row r="14">
          <cell r="C14">
            <v>422970631.79000002</v>
          </cell>
        </row>
        <row r="43">
          <cell r="C43" t="e">
            <v>#REF!</v>
          </cell>
        </row>
        <row r="73">
          <cell r="C73" t="e">
            <v>#REF!</v>
          </cell>
        </row>
      </sheetData>
      <sheetData sheetId="4"/>
      <sheetData sheetId="5"/>
      <sheetData sheetId="6"/>
      <sheetData sheetId="7"/>
      <sheetData sheetId="8"/>
      <sheetData sheetId="9">
        <row r="20">
          <cell r="I20">
            <v>6985405.0300000003</v>
          </cell>
        </row>
        <row r="47">
          <cell r="I47">
            <v>21569336</v>
          </cell>
        </row>
        <row r="78">
          <cell r="I78">
            <v>11000000</v>
          </cell>
        </row>
        <row r="80">
          <cell r="I80">
            <v>9000000</v>
          </cell>
        </row>
        <row r="99">
          <cell r="I99">
            <v>1292340.5</v>
          </cell>
        </row>
        <row r="113">
          <cell r="I113">
            <v>34985140.490000002</v>
          </cell>
        </row>
        <row r="166">
          <cell r="I166">
            <v>243000</v>
          </cell>
        </row>
        <row r="172">
          <cell r="I172">
            <v>406747.04000000004</v>
          </cell>
        </row>
        <row r="201">
          <cell r="L201">
            <v>36241150</v>
          </cell>
        </row>
        <row r="207">
          <cell r="I207">
            <v>310000</v>
          </cell>
        </row>
        <row r="222">
          <cell r="I222">
            <v>213600</v>
          </cell>
        </row>
        <row r="244">
          <cell r="L244">
            <v>4910000</v>
          </cell>
        </row>
        <row r="248">
          <cell r="L248">
            <v>10000000</v>
          </cell>
        </row>
        <row r="251">
          <cell r="L251">
            <v>4000000</v>
          </cell>
        </row>
        <row r="254">
          <cell r="L254">
            <v>10778000</v>
          </cell>
        </row>
        <row r="287">
          <cell r="L287">
            <v>1500000</v>
          </cell>
        </row>
        <row r="293">
          <cell r="L293">
            <v>5676000</v>
          </cell>
        </row>
        <row r="313">
          <cell r="L313">
            <v>8479463.8399999999</v>
          </cell>
        </row>
        <row r="348">
          <cell r="I348">
            <v>18193102.579999998</v>
          </cell>
        </row>
        <row r="362">
          <cell r="I362">
            <v>9329030.4600000009</v>
          </cell>
        </row>
        <row r="366">
          <cell r="L366">
            <v>24239342.940000001</v>
          </cell>
        </row>
        <row r="407">
          <cell r="I407">
            <v>100000</v>
          </cell>
        </row>
        <row r="432">
          <cell r="L432">
            <v>831000</v>
          </cell>
        </row>
        <row r="441">
          <cell r="I441">
            <v>703249</v>
          </cell>
        </row>
        <row r="456">
          <cell r="I456">
            <v>2500000</v>
          </cell>
        </row>
        <row r="463">
          <cell r="I463">
            <v>2517857.96</v>
          </cell>
        </row>
        <row r="466">
          <cell r="I466">
            <v>2517432.33</v>
          </cell>
        </row>
        <row r="504">
          <cell r="I504">
            <v>46802848</v>
          </cell>
        </row>
        <row r="520">
          <cell r="I520">
            <v>100000</v>
          </cell>
        </row>
        <row r="521">
          <cell r="L521">
            <v>2400000</v>
          </cell>
        </row>
        <row r="543">
          <cell r="I543">
            <v>97603413</v>
          </cell>
        </row>
        <row r="559">
          <cell r="I559">
            <v>100000</v>
          </cell>
        </row>
        <row r="580">
          <cell r="I580">
            <v>24996964</v>
          </cell>
        </row>
        <row r="621">
          <cell r="I621">
            <v>5089242</v>
          </cell>
        </row>
        <row r="623">
          <cell r="I623">
            <v>100000</v>
          </cell>
        </row>
        <row r="630">
          <cell r="I630">
            <v>2843521</v>
          </cell>
        </row>
        <row r="659">
          <cell r="I659">
            <v>0</v>
          </cell>
        </row>
        <row r="672">
          <cell r="I672">
            <v>1140000</v>
          </cell>
        </row>
        <row r="675">
          <cell r="I675">
            <v>200000</v>
          </cell>
        </row>
        <row r="677">
          <cell r="I677">
            <v>80000</v>
          </cell>
        </row>
      </sheetData>
      <sheetData sheetId="10">
        <row r="20">
          <cell r="F20">
            <v>7264821.2300000004</v>
          </cell>
        </row>
        <row r="22">
          <cell r="F22">
            <v>250200</v>
          </cell>
        </row>
        <row r="30">
          <cell r="F30">
            <v>58240</v>
          </cell>
        </row>
        <row r="35">
          <cell r="F35">
            <v>477216</v>
          </cell>
        </row>
        <row r="42">
          <cell r="F42">
            <v>2846266</v>
          </cell>
        </row>
        <row r="47">
          <cell r="F47">
            <v>22432109.440000001</v>
          </cell>
        </row>
        <row r="49">
          <cell r="F49">
            <v>92000</v>
          </cell>
        </row>
        <row r="60">
          <cell r="F60">
            <v>825175</v>
          </cell>
        </row>
        <row r="71">
          <cell r="F71">
            <v>745385</v>
          </cell>
        </row>
        <row r="74">
          <cell r="F74">
            <v>50000</v>
          </cell>
        </row>
        <row r="78">
          <cell r="F78">
            <v>11334046.030000001</v>
          </cell>
        </row>
        <row r="80">
          <cell r="F80">
            <v>10000000</v>
          </cell>
        </row>
        <row r="82">
          <cell r="F82">
            <v>801450</v>
          </cell>
        </row>
        <row r="86">
          <cell r="F86">
            <v>500000</v>
          </cell>
        </row>
        <row r="89">
          <cell r="F89">
            <v>1600000</v>
          </cell>
        </row>
        <row r="94">
          <cell r="F94">
            <v>50000</v>
          </cell>
          <cell r="G94">
            <v>50000</v>
          </cell>
        </row>
        <row r="99">
          <cell r="F99">
            <v>1500000</v>
          </cell>
        </row>
        <row r="102">
          <cell r="F102">
            <v>44157.5</v>
          </cell>
        </row>
        <row r="107">
          <cell r="F107">
            <v>1460000</v>
          </cell>
        </row>
        <row r="109">
          <cell r="F109">
            <v>140000</v>
          </cell>
          <cell r="G109">
            <v>140000</v>
          </cell>
        </row>
        <row r="113">
          <cell r="F113">
            <v>36358471</v>
          </cell>
        </row>
        <row r="115">
          <cell r="F115">
            <v>20000</v>
          </cell>
          <cell r="G115">
            <v>20000</v>
          </cell>
        </row>
        <row r="118">
          <cell r="F118">
            <v>0</v>
          </cell>
          <cell r="G118">
            <v>0</v>
          </cell>
        </row>
        <row r="119">
          <cell r="F119">
            <v>150000</v>
          </cell>
        </row>
        <row r="127">
          <cell r="G127">
            <v>200000</v>
          </cell>
        </row>
        <row r="131">
          <cell r="F131">
            <v>1427603</v>
          </cell>
        </row>
        <row r="133">
          <cell r="F133">
            <v>15000</v>
          </cell>
        </row>
        <row r="136">
          <cell r="F136">
            <v>353579</v>
          </cell>
        </row>
        <row r="139">
          <cell r="F139">
            <v>2159817</v>
          </cell>
        </row>
        <row r="141">
          <cell r="F141">
            <v>15000</v>
          </cell>
        </row>
        <row r="144">
          <cell r="F144">
            <v>816546</v>
          </cell>
        </row>
        <row r="146">
          <cell r="F146">
            <v>45000</v>
          </cell>
        </row>
        <row r="149">
          <cell r="F149">
            <v>1864324</v>
          </cell>
        </row>
        <row r="151">
          <cell r="F151">
            <v>157600</v>
          </cell>
        </row>
        <row r="154">
          <cell r="F154">
            <v>654000</v>
          </cell>
        </row>
        <row r="156">
          <cell r="F156">
            <v>60000</v>
          </cell>
        </row>
        <row r="163">
          <cell r="F163">
            <v>1430240</v>
          </cell>
        </row>
        <row r="166">
          <cell r="F166">
            <v>270000</v>
          </cell>
        </row>
        <row r="172">
          <cell r="F172">
            <v>200000</v>
          </cell>
        </row>
        <row r="177">
          <cell r="F177">
            <v>200000</v>
          </cell>
        </row>
        <row r="184">
          <cell r="F184">
            <v>324127.09000000003</v>
          </cell>
        </row>
        <row r="190">
          <cell r="F190">
            <v>3387.08</v>
          </cell>
        </row>
        <row r="195">
          <cell r="F195">
            <v>100000</v>
          </cell>
        </row>
        <row r="201">
          <cell r="F201">
            <v>13057000</v>
          </cell>
        </row>
        <row r="207">
          <cell r="F207">
            <v>100000</v>
          </cell>
        </row>
        <row r="213">
          <cell r="F213">
            <v>100000</v>
          </cell>
        </row>
        <row r="218">
          <cell r="F218">
            <v>300000</v>
          </cell>
        </row>
        <row r="222">
          <cell r="F222">
            <v>130000</v>
          </cell>
        </row>
        <row r="229">
          <cell r="F229">
            <v>2500000</v>
          </cell>
        </row>
        <row r="240">
          <cell r="F240">
            <v>2110000</v>
          </cell>
        </row>
        <row r="242">
          <cell r="F242">
            <v>0</v>
          </cell>
          <cell r="G242">
            <v>0</v>
          </cell>
        </row>
        <row r="244">
          <cell r="F244">
            <v>5000000</v>
          </cell>
        </row>
        <row r="247">
          <cell r="F247">
            <v>5000000</v>
          </cell>
        </row>
        <row r="250">
          <cell r="F250">
            <v>2500000</v>
          </cell>
        </row>
        <row r="253">
          <cell r="F253">
            <v>521657.94</v>
          </cell>
        </row>
        <row r="256">
          <cell r="F256">
            <v>200000</v>
          </cell>
        </row>
        <row r="272">
          <cell r="F272">
            <v>400000</v>
          </cell>
        </row>
        <row r="278">
          <cell r="F278">
            <v>761631</v>
          </cell>
        </row>
        <row r="281">
          <cell r="F281">
            <v>500000</v>
          </cell>
        </row>
        <row r="286">
          <cell r="F286">
            <v>2738369</v>
          </cell>
        </row>
        <row r="289">
          <cell r="F289">
            <v>3700000</v>
          </cell>
        </row>
        <row r="292">
          <cell r="F292">
            <v>2500000</v>
          </cell>
        </row>
        <row r="298">
          <cell r="F298">
            <v>6616389.0700000003</v>
          </cell>
        </row>
        <row r="306">
          <cell r="F306">
            <v>12956956.59</v>
          </cell>
        </row>
        <row r="309">
          <cell r="F309">
            <v>400730.61</v>
          </cell>
        </row>
        <row r="331">
          <cell r="F331">
            <v>440000</v>
          </cell>
        </row>
        <row r="335">
          <cell r="F335">
            <v>30000</v>
          </cell>
        </row>
        <row r="340">
          <cell r="F340">
            <v>45000</v>
          </cell>
        </row>
        <row r="347">
          <cell r="F347">
            <v>18953228.359999999</v>
          </cell>
        </row>
        <row r="361">
          <cell r="F361">
            <v>9805789.5800000001</v>
          </cell>
        </row>
        <row r="365">
          <cell r="F365">
            <v>25737149.199999999</v>
          </cell>
        </row>
        <row r="476">
          <cell r="F476">
            <v>2618572.2799999998</v>
          </cell>
        </row>
        <row r="479">
          <cell r="F479">
            <v>2618129.36</v>
          </cell>
        </row>
        <row r="481">
          <cell r="F481">
            <v>246000</v>
          </cell>
        </row>
        <row r="483">
          <cell r="F483">
            <v>5500</v>
          </cell>
        </row>
        <row r="486">
          <cell r="F486">
            <v>180000</v>
          </cell>
        </row>
        <row r="497">
          <cell r="F497">
            <v>33280</v>
          </cell>
        </row>
        <row r="501">
          <cell r="F501">
            <v>104000</v>
          </cell>
        </row>
        <row r="678">
          <cell r="F678">
            <v>1220000</v>
          </cell>
        </row>
        <row r="681">
          <cell r="F681">
            <v>210000</v>
          </cell>
        </row>
        <row r="683">
          <cell r="F683">
            <v>80000</v>
          </cell>
        </row>
        <row r="685">
          <cell r="F685">
            <v>426818000</v>
          </cell>
        </row>
        <row r="686">
          <cell r="F686">
            <v>482120951.43599993</v>
          </cell>
        </row>
        <row r="687">
          <cell r="F687">
            <v>10670450</v>
          </cell>
        </row>
      </sheetData>
      <sheetData sheetId="11"/>
      <sheetData sheetId="12"/>
      <sheetData sheetId="13"/>
      <sheetData sheetId="14"/>
      <sheetData sheetId="15"/>
      <sheetData sheetId="16">
        <row r="58">
          <cell r="C58">
            <v>37531191.450000003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view="pageBreakPreview" zoomScale="106" zoomScaleNormal="100" zoomScaleSheetLayoutView="106" workbookViewId="0">
      <selection activeCell="B12" sqref="B12"/>
    </sheetView>
  </sheetViews>
  <sheetFormatPr defaultRowHeight="18.350000000000001" x14ac:dyDescent="0.3"/>
  <cols>
    <col min="1" max="1" width="30.875" style="3" customWidth="1"/>
    <col min="2" max="2" width="48.625" style="3" customWidth="1"/>
    <col min="3" max="3" width="21.375" style="3" customWidth="1"/>
    <col min="4" max="256" width="9.125" style="1"/>
    <col min="257" max="257" width="26.875" style="1" customWidth="1"/>
    <col min="258" max="258" width="40.375" style="1" customWidth="1"/>
    <col min="259" max="259" width="13.375" style="1" customWidth="1"/>
    <col min="260" max="512" width="9.125" style="1"/>
    <col min="513" max="513" width="26.875" style="1" customWidth="1"/>
    <col min="514" max="514" width="40.375" style="1" customWidth="1"/>
    <col min="515" max="515" width="13.375" style="1" customWidth="1"/>
    <col min="516" max="768" width="9.125" style="1"/>
    <col min="769" max="769" width="26.875" style="1" customWidth="1"/>
    <col min="770" max="770" width="40.375" style="1" customWidth="1"/>
    <col min="771" max="771" width="13.375" style="1" customWidth="1"/>
    <col min="772" max="1024" width="9.125" style="1"/>
    <col min="1025" max="1025" width="26.875" style="1" customWidth="1"/>
    <col min="1026" max="1026" width="40.375" style="1" customWidth="1"/>
    <col min="1027" max="1027" width="13.375" style="1" customWidth="1"/>
    <col min="1028" max="1280" width="9.125" style="1"/>
    <col min="1281" max="1281" width="26.875" style="1" customWidth="1"/>
    <col min="1282" max="1282" width="40.375" style="1" customWidth="1"/>
    <col min="1283" max="1283" width="13.375" style="1" customWidth="1"/>
    <col min="1284" max="1536" width="9.125" style="1"/>
    <col min="1537" max="1537" width="26.875" style="1" customWidth="1"/>
    <col min="1538" max="1538" width="40.375" style="1" customWidth="1"/>
    <col min="1539" max="1539" width="13.375" style="1" customWidth="1"/>
    <col min="1540" max="1792" width="9.125" style="1"/>
    <col min="1793" max="1793" width="26.875" style="1" customWidth="1"/>
    <col min="1794" max="1794" width="40.375" style="1" customWidth="1"/>
    <col min="1795" max="1795" width="13.375" style="1" customWidth="1"/>
    <col min="1796" max="2048" width="9.125" style="1"/>
    <col min="2049" max="2049" width="26.875" style="1" customWidth="1"/>
    <col min="2050" max="2050" width="40.375" style="1" customWidth="1"/>
    <col min="2051" max="2051" width="13.375" style="1" customWidth="1"/>
    <col min="2052" max="2304" width="9.125" style="1"/>
    <col min="2305" max="2305" width="26.875" style="1" customWidth="1"/>
    <col min="2306" max="2306" width="40.375" style="1" customWidth="1"/>
    <col min="2307" max="2307" width="13.375" style="1" customWidth="1"/>
    <col min="2308" max="2560" width="9.125" style="1"/>
    <col min="2561" max="2561" width="26.875" style="1" customWidth="1"/>
    <col min="2562" max="2562" width="40.375" style="1" customWidth="1"/>
    <col min="2563" max="2563" width="13.375" style="1" customWidth="1"/>
    <col min="2564" max="2816" width="9.125" style="1"/>
    <col min="2817" max="2817" width="26.875" style="1" customWidth="1"/>
    <col min="2818" max="2818" width="40.375" style="1" customWidth="1"/>
    <col min="2819" max="2819" width="13.375" style="1" customWidth="1"/>
    <col min="2820" max="3072" width="9.125" style="1"/>
    <col min="3073" max="3073" width="26.875" style="1" customWidth="1"/>
    <col min="3074" max="3074" width="40.375" style="1" customWidth="1"/>
    <col min="3075" max="3075" width="13.375" style="1" customWidth="1"/>
    <col min="3076" max="3328" width="9.125" style="1"/>
    <col min="3329" max="3329" width="26.875" style="1" customWidth="1"/>
    <col min="3330" max="3330" width="40.375" style="1" customWidth="1"/>
    <col min="3331" max="3331" width="13.375" style="1" customWidth="1"/>
    <col min="3332" max="3584" width="9.125" style="1"/>
    <col min="3585" max="3585" width="26.875" style="1" customWidth="1"/>
    <col min="3586" max="3586" width="40.375" style="1" customWidth="1"/>
    <col min="3587" max="3587" width="13.375" style="1" customWidth="1"/>
    <col min="3588" max="3840" width="9.125" style="1"/>
    <col min="3841" max="3841" width="26.875" style="1" customWidth="1"/>
    <col min="3842" max="3842" width="40.375" style="1" customWidth="1"/>
    <col min="3843" max="3843" width="13.375" style="1" customWidth="1"/>
    <col min="3844" max="4096" width="9.125" style="1"/>
    <col min="4097" max="4097" width="26.875" style="1" customWidth="1"/>
    <col min="4098" max="4098" width="40.375" style="1" customWidth="1"/>
    <col min="4099" max="4099" width="13.375" style="1" customWidth="1"/>
    <col min="4100" max="4352" width="9.125" style="1"/>
    <col min="4353" max="4353" width="26.875" style="1" customWidth="1"/>
    <col min="4354" max="4354" width="40.375" style="1" customWidth="1"/>
    <col min="4355" max="4355" width="13.375" style="1" customWidth="1"/>
    <col min="4356" max="4608" width="9.125" style="1"/>
    <col min="4609" max="4609" width="26.875" style="1" customWidth="1"/>
    <col min="4610" max="4610" width="40.375" style="1" customWidth="1"/>
    <col min="4611" max="4611" width="13.375" style="1" customWidth="1"/>
    <col min="4612" max="4864" width="9.125" style="1"/>
    <col min="4865" max="4865" width="26.875" style="1" customWidth="1"/>
    <col min="4866" max="4866" width="40.375" style="1" customWidth="1"/>
    <col min="4867" max="4867" width="13.375" style="1" customWidth="1"/>
    <col min="4868" max="5120" width="9.125" style="1"/>
    <col min="5121" max="5121" width="26.875" style="1" customWidth="1"/>
    <col min="5122" max="5122" width="40.375" style="1" customWidth="1"/>
    <col min="5123" max="5123" width="13.375" style="1" customWidth="1"/>
    <col min="5124" max="5376" width="9.125" style="1"/>
    <col min="5377" max="5377" width="26.875" style="1" customWidth="1"/>
    <col min="5378" max="5378" width="40.375" style="1" customWidth="1"/>
    <col min="5379" max="5379" width="13.375" style="1" customWidth="1"/>
    <col min="5380" max="5632" width="9.125" style="1"/>
    <col min="5633" max="5633" width="26.875" style="1" customWidth="1"/>
    <col min="5634" max="5634" width="40.375" style="1" customWidth="1"/>
    <col min="5635" max="5635" width="13.375" style="1" customWidth="1"/>
    <col min="5636" max="5888" width="9.125" style="1"/>
    <col min="5889" max="5889" width="26.875" style="1" customWidth="1"/>
    <col min="5890" max="5890" width="40.375" style="1" customWidth="1"/>
    <col min="5891" max="5891" width="13.375" style="1" customWidth="1"/>
    <col min="5892" max="6144" width="9.125" style="1"/>
    <col min="6145" max="6145" width="26.875" style="1" customWidth="1"/>
    <col min="6146" max="6146" width="40.375" style="1" customWidth="1"/>
    <col min="6147" max="6147" width="13.375" style="1" customWidth="1"/>
    <col min="6148" max="6400" width="9.125" style="1"/>
    <col min="6401" max="6401" width="26.875" style="1" customWidth="1"/>
    <col min="6402" max="6402" width="40.375" style="1" customWidth="1"/>
    <col min="6403" max="6403" width="13.375" style="1" customWidth="1"/>
    <col min="6404" max="6656" width="9.125" style="1"/>
    <col min="6657" max="6657" width="26.875" style="1" customWidth="1"/>
    <col min="6658" max="6658" width="40.375" style="1" customWidth="1"/>
    <col min="6659" max="6659" width="13.375" style="1" customWidth="1"/>
    <col min="6660" max="6912" width="9.125" style="1"/>
    <col min="6913" max="6913" width="26.875" style="1" customWidth="1"/>
    <col min="6914" max="6914" width="40.375" style="1" customWidth="1"/>
    <col min="6915" max="6915" width="13.375" style="1" customWidth="1"/>
    <col min="6916" max="7168" width="9.125" style="1"/>
    <col min="7169" max="7169" width="26.875" style="1" customWidth="1"/>
    <col min="7170" max="7170" width="40.375" style="1" customWidth="1"/>
    <col min="7171" max="7171" width="13.375" style="1" customWidth="1"/>
    <col min="7172" max="7424" width="9.125" style="1"/>
    <col min="7425" max="7425" width="26.875" style="1" customWidth="1"/>
    <col min="7426" max="7426" width="40.375" style="1" customWidth="1"/>
    <col min="7427" max="7427" width="13.375" style="1" customWidth="1"/>
    <col min="7428" max="7680" width="9.125" style="1"/>
    <col min="7681" max="7681" width="26.875" style="1" customWidth="1"/>
    <col min="7682" max="7682" width="40.375" style="1" customWidth="1"/>
    <col min="7683" max="7683" width="13.375" style="1" customWidth="1"/>
    <col min="7684" max="7936" width="9.125" style="1"/>
    <col min="7937" max="7937" width="26.875" style="1" customWidth="1"/>
    <col min="7938" max="7938" width="40.375" style="1" customWidth="1"/>
    <col min="7939" max="7939" width="13.375" style="1" customWidth="1"/>
    <col min="7940" max="8192" width="9.125" style="1"/>
    <col min="8193" max="8193" width="26.875" style="1" customWidth="1"/>
    <col min="8194" max="8194" width="40.375" style="1" customWidth="1"/>
    <col min="8195" max="8195" width="13.375" style="1" customWidth="1"/>
    <col min="8196" max="8448" width="9.125" style="1"/>
    <col min="8449" max="8449" width="26.875" style="1" customWidth="1"/>
    <col min="8450" max="8450" width="40.375" style="1" customWidth="1"/>
    <col min="8451" max="8451" width="13.375" style="1" customWidth="1"/>
    <col min="8452" max="8704" width="9.125" style="1"/>
    <col min="8705" max="8705" width="26.875" style="1" customWidth="1"/>
    <col min="8706" max="8706" width="40.375" style="1" customWidth="1"/>
    <col min="8707" max="8707" width="13.375" style="1" customWidth="1"/>
    <col min="8708" max="8960" width="9.125" style="1"/>
    <col min="8961" max="8961" width="26.875" style="1" customWidth="1"/>
    <col min="8962" max="8962" width="40.375" style="1" customWidth="1"/>
    <col min="8963" max="8963" width="13.375" style="1" customWidth="1"/>
    <col min="8964" max="9216" width="9.125" style="1"/>
    <col min="9217" max="9217" width="26.875" style="1" customWidth="1"/>
    <col min="9218" max="9218" width="40.375" style="1" customWidth="1"/>
    <col min="9219" max="9219" width="13.375" style="1" customWidth="1"/>
    <col min="9220" max="9472" width="9.125" style="1"/>
    <col min="9473" max="9473" width="26.875" style="1" customWidth="1"/>
    <col min="9474" max="9474" width="40.375" style="1" customWidth="1"/>
    <col min="9475" max="9475" width="13.375" style="1" customWidth="1"/>
    <col min="9476" max="9728" width="9.125" style="1"/>
    <col min="9729" max="9729" width="26.875" style="1" customWidth="1"/>
    <col min="9730" max="9730" width="40.375" style="1" customWidth="1"/>
    <col min="9731" max="9731" width="13.375" style="1" customWidth="1"/>
    <col min="9732" max="9984" width="9.125" style="1"/>
    <col min="9985" max="9985" width="26.875" style="1" customWidth="1"/>
    <col min="9986" max="9986" width="40.375" style="1" customWidth="1"/>
    <col min="9987" max="9987" width="13.375" style="1" customWidth="1"/>
    <col min="9988" max="10240" width="9.125" style="1"/>
    <col min="10241" max="10241" width="26.875" style="1" customWidth="1"/>
    <col min="10242" max="10242" width="40.375" style="1" customWidth="1"/>
    <col min="10243" max="10243" width="13.375" style="1" customWidth="1"/>
    <col min="10244" max="10496" width="9.125" style="1"/>
    <col min="10497" max="10497" width="26.875" style="1" customWidth="1"/>
    <col min="10498" max="10498" width="40.375" style="1" customWidth="1"/>
    <col min="10499" max="10499" width="13.375" style="1" customWidth="1"/>
    <col min="10500" max="10752" width="9.125" style="1"/>
    <col min="10753" max="10753" width="26.875" style="1" customWidth="1"/>
    <col min="10754" max="10754" width="40.375" style="1" customWidth="1"/>
    <col min="10755" max="10755" width="13.375" style="1" customWidth="1"/>
    <col min="10756" max="11008" width="9.125" style="1"/>
    <col min="11009" max="11009" width="26.875" style="1" customWidth="1"/>
    <col min="11010" max="11010" width="40.375" style="1" customWidth="1"/>
    <col min="11011" max="11011" width="13.375" style="1" customWidth="1"/>
    <col min="11012" max="11264" width="9.125" style="1"/>
    <col min="11265" max="11265" width="26.875" style="1" customWidth="1"/>
    <col min="11266" max="11266" width="40.375" style="1" customWidth="1"/>
    <col min="11267" max="11267" width="13.375" style="1" customWidth="1"/>
    <col min="11268" max="11520" width="9.125" style="1"/>
    <col min="11521" max="11521" width="26.875" style="1" customWidth="1"/>
    <col min="11522" max="11522" width="40.375" style="1" customWidth="1"/>
    <col min="11523" max="11523" width="13.375" style="1" customWidth="1"/>
    <col min="11524" max="11776" width="9.125" style="1"/>
    <col min="11777" max="11777" width="26.875" style="1" customWidth="1"/>
    <col min="11778" max="11778" width="40.375" style="1" customWidth="1"/>
    <col min="11779" max="11779" width="13.375" style="1" customWidth="1"/>
    <col min="11780" max="12032" width="9.125" style="1"/>
    <col min="12033" max="12033" width="26.875" style="1" customWidth="1"/>
    <col min="12034" max="12034" width="40.375" style="1" customWidth="1"/>
    <col min="12035" max="12035" width="13.375" style="1" customWidth="1"/>
    <col min="12036" max="12288" width="9.125" style="1"/>
    <col min="12289" max="12289" width="26.875" style="1" customWidth="1"/>
    <col min="12290" max="12290" width="40.375" style="1" customWidth="1"/>
    <col min="12291" max="12291" width="13.375" style="1" customWidth="1"/>
    <col min="12292" max="12544" width="9.125" style="1"/>
    <col min="12545" max="12545" width="26.875" style="1" customWidth="1"/>
    <col min="12546" max="12546" width="40.375" style="1" customWidth="1"/>
    <col min="12547" max="12547" width="13.375" style="1" customWidth="1"/>
    <col min="12548" max="12800" width="9.125" style="1"/>
    <col min="12801" max="12801" width="26.875" style="1" customWidth="1"/>
    <col min="12802" max="12802" width="40.375" style="1" customWidth="1"/>
    <col min="12803" max="12803" width="13.375" style="1" customWidth="1"/>
    <col min="12804" max="13056" width="9.125" style="1"/>
    <col min="13057" max="13057" width="26.875" style="1" customWidth="1"/>
    <col min="13058" max="13058" width="40.375" style="1" customWidth="1"/>
    <col min="13059" max="13059" width="13.375" style="1" customWidth="1"/>
    <col min="13060" max="13312" width="9.125" style="1"/>
    <col min="13313" max="13313" width="26.875" style="1" customWidth="1"/>
    <col min="13314" max="13314" width="40.375" style="1" customWidth="1"/>
    <col min="13315" max="13315" width="13.375" style="1" customWidth="1"/>
    <col min="13316" max="13568" width="9.125" style="1"/>
    <col min="13569" max="13569" width="26.875" style="1" customWidth="1"/>
    <col min="13570" max="13570" width="40.375" style="1" customWidth="1"/>
    <col min="13571" max="13571" width="13.375" style="1" customWidth="1"/>
    <col min="13572" max="13824" width="9.125" style="1"/>
    <col min="13825" max="13825" width="26.875" style="1" customWidth="1"/>
    <col min="13826" max="13826" width="40.375" style="1" customWidth="1"/>
    <col min="13827" max="13827" width="13.375" style="1" customWidth="1"/>
    <col min="13828" max="14080" width="9.125" style="1"/>
    <col min="14081" max="14081" width="26.875" style="1" customWidth="1"/>
    <col min="14082" max="14082" width="40.375" style="1" customWidth="1"/>
    <col min="14083" max="14083" width="13.375" style="1" customWidth="1"/>
    <col min="14084" max="14336" width="9.125" style="1"/>
    <col min="14337" max="14337" width="26.875" style="1" customWidth="1"/>
    <col min="14338" max="14338" width="40.375" style="1" customWidth="1"/>
    <col min="14339" max="14339" width="13.375" style="1" customWidth="1"/>
    <col min="14340" max="14592" width="9.125" style="1"/>
    <col min="14593" max="14593" width="26.875" style="1" customWidth="1"/>
    <col min="14594" max="14594" width="40.375" style="1" customWidth="1"/>
    <col min="14595" max="14595" width="13.375" style="1" customWidth="1"/>
    <col min="14596" max="14848" width="9.125" style="1"/>
    <col min="14849" max="14849" width="26.875" style="1" customWidth="1"/>
    <col min="14850" max="14850" width="40.375" style="1" customWidth="1"/>
    <col min="14851" max="14851" width="13.375" style="1" customWidth="1"/>
    <col min="14852" max="15104" width="9.125" style="1"/>
    <col min="15105" max="15105" width="26.875" style="1" customWidth="1"/>
    <col min="15106" max="15106" width="40.375" style="1" customWidth="1"/>
    <col min="15107" max="15107" width="13.375" style="1" customWidth="1"/>
    <col min="15108" max="15360" width="9.125" style="1"/>
    <col min="15361" max="15361" width="26.875" style="1" customWidth="1"/>
    <col min="15362" max="15362" width="40.375" style="1" customWidth="1"/>
    <col min="15363" max="15363" width="13.375" style="1" customWidth="1"/>
    <col min="15364" max="15616" width="9.125" style="1"/>
    <col min="15617" max="15617" width="26.875" style="1" customWidth="1"/>
    <col min="15618" max="15618" width="40.375" style="1" customWidth="1"/>
    <col min="15619" max="15619" width="13.375" style="1" customWidth="1"/>
    <col min="15620" max="15872" width="9.125" style="1"/>
    <col min="15873" max="15873" width="26.875" style="1" customWidth="1"/>
    <col min="15874" max="15874" width="40.375" style="1" customWidth="1"/>
    <col min="15875" max="15875" width="13.375" style="1" customWidth="1"/>
    <col min="15876" max="16128" width="9.125" style="1"/>
    <col min="16129" max="16129" width="26.875" style="1" customWidth="1"/>
    <col min="16130" max="16130" width="40.375" style="1" customWidth="1"/>
    <col min="16131" max="16131" width="13.375" style="1" customWidth="1"/>
    <col min="16132" max="16384" width="9.125" style="1"/>
  </cols>
  <sheetData>
    <row r="1" spans="1:3" x14ac:dyDescent="0.3">
      <c r="C1" s="414" t="s">
        <v>1194</v>
      </c>
    </row>
    <row r="2" spans="1:3" x14ac:dyDescent="0.3">
      <c r="C2" s="414" t="s">
        <v>800</v>
      </c>
    </row>
    <row r="3" spans="1:3" x14ac:dyDescent="0.3">
      <c r="C3" s="414" t="s">
        <v>591</v>
      </c>
    </row>
    <row r="4" spans="1:3" x14ac:dyDescent="0.3">
      <c r="C4" s="414" t="s">
        <v>887</v>
      </c>
    </row>
    <row r="5" spans="1:3" x14ac:dyDescent="0.3">
      <c r="C5" s="13"/>
    </row>
    <row r="6" spans="1:3" s="2" customFormat="1" x14ac:dyDescent="0.25">
      <c r="A6" s="643" t="s">
        <v>157</v>
      </c>
      <c r="B6" s="643"/>
      <c r="C6" s="643"/>
    </row>
    <row r="7" spans="1:3" ht="37.549999999999997" customHeight="1" x14ac:dyDescent="0.25">
      <c r="A7" s="642" t="s">
        <v>1134</v>
      </c>
      <c r="B7" s="642"/>
      <c r="C7" s="642"/>
    </row>
    <row r="8" spans="1:3" x14ac:dyDescent="0.25">
      <c r="A8" s="4"/>
      <c r="B8" s="4"/>
      <c r="C8" s="4"/>
    </row>
    <row r="9" spans="1:3" x14ac:dyDescent="0.3">
      <c r="A9" s="13" t="s">
        <v>158</v>
      </c>
      <c r="B9" s="20"/>
      <c r="C9" s="5"/>
    </row>
    <row r="10" spans="1:3" x14ac:dyDescent="0.3">
      <c r="A10" s="13"/>
      <c r="C10" s="13" t="s">
        <v>382</v>
      </c>
    </row>
    <row r="11" spans="1:3" ht="55.05" x14ac:dyDescent="0.25">
      <c r="A11" s="21" t="s">
        <v>159</v>
      </c>
      <c r="B11" s="21" t="s">
        <v>160</v>
      </c>
      <c r="C11" s="21" t="s">
        <v>235</v>
      </c>
    </row>
    <row r="12" spans="1:3" ht="36.700000000000003" x14ac:dyDescent="0.3">
      <c r="A12" s="6" t="s">
        <v>161</v>
      </c>
      <c r="B12" s="7" t="s">
        <v>162</v>
      </c>
      <c r="C12" s="15">
        <f>C13+C14</f>
        <v>0</v>
      </c>
    </row>
    <row r="13" spans="1:3" ht="55.05" x14ac:dyDescent="0.3">
      <c r="A13" s="6" t="s">
        <v>599</v>
      </c>
      <c r="B13" s="7" t="s">
        <v>644</v>
      </c>
      <c r="C13" s="15">
        <f>-'прил 3 '!C78</f>
        <v>-1153434529.25</v>
      </c>
    </row>
    <row r="14" spans="1:3" ht="55.05" x14ac:dyDescent="0.3">
      <c r="A14" s="6" t="s">
        <v>600</v>
      </c>
      <c r="B14" s="7" t="s">
        <v>645</v>
      </c>
      <c r="C14" s="15">
        <f>'прил 7 '!F693</f>
        <v>1153434529.2499998</v>
      </c>
    </row>
    <row r="15" spans="1:3" x14ac:dyDescent="0.3">
      <c r="A15" s="6"/>
      <c r="B15" s="8" t="s">
        <v>163</v>
      </c>
      <c r="C15" s="18">
        <f>C12</f>
        <v>0</v>
      </c>
    </row>
    <row r="16" spans="1:3" x14ac:dyDescent="0.3">
      <c r="A16" s="9"/>
      <c r="B16" s="9"/>
      <c r="C16" s="9"/>
    </row>
    <row r="17" spans="1:3" x14ac:dyDescent="0.3">
      <c r="A17" s="9"/>
      <c r="B17" s="9"/>
      <c r="C17" s="9"/>
    </row>
    <row r="18" spans="1:3" x14ac:dyDescent="0.3">
      <c r="A18" s="9"/>
      <c r="B18" s="9"/>
      <c r="C18" s="9"/>
    </row>
    <row r="19" spans="1:3" x14ac:dyDescent="0.3">
      <c r="A19" s="9"/>
      <c r="B19" s="9"/>
      <c r="C19" s="9"/>
    </row>
    <row r="20" spans="1:3" x14ac:dyDescent="0.3">
      <c r="A20" s="9"/>
      <c r="B20" s="9"/>
      <c r="C20" s="9"/>
    </row>
    <row r="21" spans="1:3" x14ac:dyDescent="0.3">
      <c r="A21" s="9"/>
      <c r="B21" s="9"/>
      <c r="C21" s="9"/>
    </row>
    <row r="22" spans="1:3" x14ac:dyDescent="0.3">
      <c r="A22" s="9"/>
      <c r="B22" s="9"/>
      <c r="C22" s="9"/>
    </row>
    <row r="23" spans="1:3" x14ac:dyDescent="0.3">
      <c r="A23" s="9"/>
      <c r="B23" s="9"/>
      <c r="C23" s="9"/>
    </row>
    <row r="24" spans="1:3" x14ac:dyDescent="0.3">
      <c r="A24" s="9"/>
      <c r="B24" s="9"/>
      <c r="C24" s="9"/>
    </row>
    <row r="25" spans="1:3" x14ac:dyDescent="0.3">
      <c r="A25" s="9"/>
      <c r="B25" s="9"/>
      <c r="C25" s="9"/>
    </row>
    <row r="26" spans="1:3" x14ac:dyDescent="0.3">
      <c r="A26" s="9"/>
      <c r="B26" s="9"/>
      <c r="C26" s="9"/>
    </row>
    <row r="27" spans="1:3" x14ac:dyDescent="0.3">
      <c r="A27" s="9"/>
      <c r="B27" s="9"/>
      <c r="C27" s="9"/>
    </row>
    <row r="28" spans="1:3" x14ac:dyDescent="0.3">
      <c r="A28" s="9"/>
      <c r="B28" s="9"/>
      <c r="C28" s="9"/>
    </row>
    <row r="29" spans="1:3" x14ac:dyDescent="0.3">
      <c r="A29" s="9"/>
      <c r="B29" s="9"/>
      <c r="C29" s="9"/>
    </row>
    <row r="30" spans="1:3" x14ac:dyDescent="0.3">
      <c r="A30" s="9"/>
      <c r="B30" s="9"/>
      <c r="C30" s="9"/>
    </row>
    <row r="31" spans="1:3" x14ac:dyDescent="0.3">
      <c r="A31" s="9"/>
      <c r="B31" s="9"/>
      <c r="C31" s="9"/>
    </row>
    <row r="32" spans="1:3" x14ac:dyDescent="0.3">
      <c r="A32" s="9"/>
      <c r="B32" s="9"/>
      <c r="C32" s="9"/>
    </row>
    <row r="33" spans="1:3" x14ac:dyDescent="0.3">
      <c r="A33" s="9"/>
      <c r="B33" s="9"/>
      <c r="C33" s="9"/>
    </row>
    <row r="34" spans="1:3" x14ac:dyDescent="0.3">
      <c r="A34" s="9"/>
      <c r="B34" s="9"/>
      <c r="C34" s="9"/>
    </row>
    <row r="35" spans="1:3" x14ac:dyDescent="0.3">
      <c r="A35" s="9"/>
      <c r="B35" s="9"/>
      <c r="C35" s="9"/>
    </row>
    <row r="36" spans="1:3" x14ac:dyDescent="0.3">
      <c r="A36" s="9"/>
      <c r="B36" s="9"/>
      <c r="C36" s="9"/>
    </row>
    <row r="37" spans="1:3" x14ac:dyDescent="0.3">
      <c r="A37" s="9"/>
      <c r="B37" s="9"/>
      <c r="C37" s="9"/>
    </row>
    <row r="38" spans="1:3" x14ac:dyDescent="0.3">
      <c r="A38" s="9"/>
      <c r="B38" s="9"/>
      <c r="C38" s="9"/>
    </row>
    <row r="39" spans="1:3" x14ac:dyDescent="0.3">
      <c r="A39" s="9"/>
      <c r="B39" s="9"/>
      <c r="C39" s="9"/>
    </row>
    <row r="40" spans="1:3" x14ac:dyDescent="0.3">
      <c r="A40" s="9"/>
      <c r="B40" s="9"/>
      <c r="C40" s="9"/>
    </row>
    <row r="41" spans="1:3" x14ac:dyDescent="0.3">
      <c r="A41" s="9"/>
      <c r="B41" s="9"/>
      <c r="C41" s="9"/>
    </row>
    <row r="42" spans="1:3" x14ac:dyDescent="0.3">
      <c r="A42" s="9"/>
      <c r="B42" s="9"/>
      <c r="C42" s="9"/>
    </row>
    <row r="43" spans="1:3" x14ac:dyDescent="0.3">
      <c r="A43" s="9"/>
      <c r="B43" s="9"/>
      <c r="C43" s="9"/>
    </row>
    <row r="44" spans="1:3" x14ac:dyDescent="0.3">
      <c r="A44" s="9"/>
      <c r="B44" s="9"/>
      <c r="C44" s="9"/>
    </row>
    <row r="45" spans="1:3" x14ac:dyDescent="0.3">
      <c r="A45" s="9"/>
      <c r="B45" s="9"/>
      <c r="C45" s="9"/>
    </row>
    <row r="46" spans="1:3" x14ac:dyDescent="0.3">
      <c r="A46" s="9"/>
      <c r="B46" s="9"/>
      <c r="C46" s="9"/>
    </row>
    <row r="47" spans="1:3" x14ac:dyDescent="0.3">
      <c r="A47" s="9"/>
      <c r="B47" s="9"/>
      <c r="C47" s="9"/>
    </row>
    <row r="48" spans="1:3" x14ac:dyDescent="0.3">
      <c r="A48" s="9"/>
      <c r="B48" s="9"/>
      <c r="C48" s="9"/>
    </row>
    <row r="49" spans="1:3" x14ac:dyDescent="0.3">
      <c r="A49" s="9"/>
      <c r="B49" s="9"/>
      <c r="C49" s="9"/>
    </row>
    <row r="50" spans="1:3" x14ac:dyDescent="0.3">
      <c r="A50" s="9"/>
      <c r="B50" s="9"/>
      <c r="C50" s="9"/>
    </row>
    <row r="51" spans="1:3" x14ac:dyDescent="0.3">
      <c r="A51" s="9"/>
      <c r="B51" s="9"/>
      <c r="C51" s="9"/>
    </row>
    <row r="52" spans="1:3" x14ac:dyDescent="0.3">
      <c r="A52" s="9"/>
      <c r="B52" s="9"/>
      <c r="C52" s="9"/>
    </row>
    <row r="53" spans="1:3" x14ac:dyDescent="0.3">
      <c r="A53" s="9"/>
      <c r="B53" s="9"/>
      <c r="C53" s="9"/>
    </row>
    <row r="54" spans="1:3" x14ac:dyDescent="0.3">
      <c r="A54" s="9"/>
      <c r="B54" s="9"/>
      <c r="C54" s="9"/>
    </row>
    <row r="55" spans="1:3" x14ac:dyDescent="0.3">
      <c r="A55" s="9"/>
      <c r="B55" s="9"/>
      <c r="C55" s="9"/>
    </row>
    <row r="56" spans="1:3" x14ac:dyDescent="0.3">
      <c r="A56" s="9"/>
      <c r="B56" s="9"/>
      <c r="C56" s="9"/>
    </row>
    <row r="57" spans="1:3" x14ac:dyDescent="0.3">
      <c r="A57" s="9"/>
      <c r="B57" s="9"/>
      <c r="C57" s="9"/>
    </row>
    <row r="58" spans="1:3" x14ac:dyDescent="0.3">
      <c r="A58" s="9"/>
      <c r="B58" s="9"/>
      <c r="C58" s="9"/>
    </row>
    <row r="59" spans="1:3" x14ac:dyDescent="0.3">
      <c r="A59" s="9"/>
      <c r="B59" s="9"/>
      <c r="C59" s="9"/>
    </row>
    <row r="60" spans="1:3" x14ac:dyDescent="0.3">
      <c r="A60" s="9"/>
      <c r="B60" s="9"/>
      <c r="C60" s="9"/>
    </row>
    <row r="61" spans="1:3" x14ac:dyDescent="0.3">
      <c r="A61" s="9"/>
      <c r="B61" s="9"/>
      <c r="C61" s="9"/>
    </row>
    <row r="62" spans="1:3" x14ac:dyDescent="0.3">
      <c r="A62" s="9"/>
      <c r="B62" s="9"/>
      <c r="C62" s="9"/>
    </row>
    <row r="63" spans="1:3" x14ac:dyDescent="0.3">
      <c r="A63" s="9"/>
      <c r="B63" s="9"/>
      <c r="C63" s="9"/>
    </row>
    <row r="64" spans="1:3" x14ac:dyDescent="0.3">
      <c r="A64" s="9"/>
      <c r="B64" s="9"/>
      <c r="C64" s="9"/>
    </row>
    <row r="65" spans="1:3" x14ac:dyDescent="0.3">
      <c r="A65" s="9"/>
      <c r="B65" s="9"/>
      <c r="C65" s="9"/>
    </row>
    <row r="66" spans="1:3" x14ac:dyDescent="0.3">
      <c r="A66" s="9"/>
      <c r="B66" s="9"/>
      <c r="C66" s="9"/>
    </row>
    <row r="67" spans="1:3" x14ac:dyDescent="0.3">
      <c r="A67" s="9"/>
      <c r="B67" s="9"/>
      <c r="C67" s="9"/>
    </row>
    <row r="68" spans="1:3" x14ac:dyDescent="0.3">
      <c r="A68" s="9"/>
      <c r="B68" s="9"/>
      <c r="C68" s="9"/>
    </row>
    <row r="69" spans="1:3" x14ac:dyDescent="0.3">
      <c r="A69" s="9"/>
      <c r="B69" s="9"/>
      <c r="C69" s="9"/>
    </row>
    <row r="70" spans="1:3" x14ac:dyDescent="0.3">
      <c r="A70" s="9"/>
      <c r="B70" s="9"/>
      <c r="C70" s="9"/>
    </row>
    <row r="71" spans="1:3" x14ac:dyDescent="0.3">
      <c r="A71" s="9"/>
      <c r="B71" s="9"/>
      <c r="C71" s="9"/>
    </row>
    <row r="72" spans="1:3" x14ac:dyDescent="0.3">
      <c r="A72" s="9"/>
      <c r="B72" s="9"/>
      <c r="C72" s="9"/>
    </row>
    <row r="73" spans="1:3" x14ac:dyDescent="0.3">
      <c r="A73" s="9"/>
      <c r="B73" s="9"/>
      <c r="C73" s="9"/>
    </row>
    <row r="74" spans="1:3" x14ac:dyDescent="0.3">
      <c r="A74" s="9"/>
      <c r="B74" s="9"/>
      <c r="C74" s="9"/>
    </row>
    <row r="75" spans="1:3" x14ac:dyDescent="0.3">
      <c r="A75" s="9"/>
      <c r="B75" s="9"/>
      <c r="C75" s="9"/>
    </row>
    <row r="76" spans="1:3" x14ac:dyDescent="0.3">
      <c r="A76" s="9"/>
      <c r="B76" s="9"/>
      <c r="C76" s="9"/>
    </row>
    <row r="77" spans="1:3" x14ac:dyDescent="0.3">
      <c r="A77" s="9"/>
      <c r="B77" s="9"/>
      <c r="C77" s="9"/>
    </row>
    <row r="78" spans="1:3" x14ac:dyDescent="0.3">
      <c r="A78" s="9"/>
      <c r="B78" s="9"/>
      <c r="C78" s="9"/>
    </row>
    <row r="79" spans="1:3" x14ac:dyDescent="0.3">
      <c r="A79" s="9"/>
      <c r="B79" s="9"/>
      <c r="C79" s="9"/>
    </row>
    <row r="80" spans="1:3" x14ac:dyDescent="0.3">
      <c r="A80" s="9"/>
      <c r="B80" s="9"/>
      <c r="C80" s="9"/>
    </row>
    <row r="81" spans="1:3" x14ac:dyDescent="0.3">
      <c r="A81" s="9"/>
      <c r="B81" s="9"/>
      <c r="C81" s="9"/>
    </row>
    <row r="82" spans="1:3" x14ac:dyDescent="0.3">
      <c r="A82" s="9"/>
      <c r="B82" s="9"/>
      <c r="C82" s="9"/>
    </row>
    <row r="83" spans="1:3" x14ac:dyDescent="0.3">
      <c r="A83" s="9"/>
      <c r="B83" s="9"/>
      <c r="C83" s="9"/>
    </row>
    <row r="84" spans="1:3" x14ac:dyDescent="0.3">
      <c r="A84" s="9"/>
      <c r="B84" s="9"/>
      <c r="C84" s="9"/>
    </row>
    <row r="85" spans="1:3" x14ac:dyDescent="0.3">
      <c r="A85" s="9"/>
      <c r="B85" s="9"/>
      <c r="C85" s="9"/>
    </row>
    <row r="86" spans="1:3" x14ac:dyDescent="0.3">
      <c r="A86" s="9"/>
      <c r="B86" s="9"/>
      <c r="C86" s="9"/>
    </row>
    <row r="87" spans="1:3" x14ac:dyDescent="0.3">
      <c r="A87" s="9"/>
      <c r="B87" s="9"/>
      <c r="C87" s="9"/>
    </row>
    <row r="88" spans="1:3" x14ac:dyDescent="0.3">
      <c r="A88" s="9"/>
      <c r="B88" s="9"/>
      <c r="C88" s="9"/>
    </row>
    <row r="89" spans="1:3" x14ac:dyDescent="0.3">
      <c r="A89" s="9"/>
      <c r="B89" s="9"/>
      <c r="C89" s="9"/>
    </row>
    <row r="90" spans="1:3" x14ac:dyDescent="0.3">
      <c r="A90" s="9"/>
      <c r="B90" s="9"/>
      <c r="C90" s="9"/>
    </row>
    <row r="91" spans="1:3" x14ac:dyDescent="0.3">
      <c r="A91" s="9"/>
      <c r="B91" s="9"/>
      <c r="C91" s="9"/>
    </row>
    <row r="92" spans="1:3" x14ac:dyDescent="0.3">
      <c r="A92" s="9"/>
      <c r="B92" s="9"/>
      <c r="C92" s="9"/>
    </row>
    <row r="93" spans="1:3" x14ac:dyDescent="0.3">
      <c r="A93" s="9"/>
      <c r="B93" s="9"/>
      <c r="C93" s="9"/>
    </row>
    <row r="94" spans="1:3" x14ac:dyDescent="0.3">
      <c r="A94" s="9"/>
      <c r="B94" s="9"/>
      <c r="C94" s="9"/>
    </row>
    <row r="95" spans="1:3" x14ac:dyDescent="0.3">
      <c r="A95" s="9"/>
      <c r="B95" s="9"/>
      <c r="C95" s="9"/>
    </row>
    <row r="96" spans="1:3" x14ac:dyDescent="0.3">
      <c r="A96" s="9"/>
      <c r="B96" s="9"/>
      <c r="C96" s="9"/>
    </row>
    <row r="97" spans="1:3" x14ac:dyDescent="0.3">
      <c r="A97" s="9"/>
      <c r="B97" s="9"/>
      <c r="C97" s="9"/>
    </row>
    <row r="98" spans="1:3" x14ac:dyDescent="0.3">
      <c r="A98" s="9"/>
      <c r="B98" s="9"/>
      <c r="C98" s="9"/>
    </row>
    <row r="99" spans="1:3" x14ac:dyDescent="0.3">
      <c r="A99" s="9"/>
      <c r="B99" s="9"/>
      <c r="C99" s="9"/>
    </row>
    <row r="100" spans="1:3" x14ac:dyDescent="0.3">
      <c r="A100" s="9"/>
      <c r="B100" s="9"/>
      <c r="C100" s="9"/>
    </row>
    <row r="101" spans="1:3" x14ac:dyDescent="0.3">
      <c r="A101" s="9"/>
      <c r="B101" s="9"/>
      <c r="C101" s="9"/>
    </row>
    <row r="102" spans="1:3" x14ac:dyDescent="0.3">
      <c r="A102" s="9"/>
      <c r="B102" s="9"/>
      <c r="C102" s="9"/>
    </row>
    <row r="103" spans="1:3" x14ac:dyDescent="0.3">
      <c r="A103" s="9"/>
      <c r="B103" s="9"/>
      <c r="C103" s="9"/>
    </row>
    <row r="104" spans="1:3" x14ac:dyDescent="0.3">
      <c r="A104" s="9"/>
      <c r="B104" s="9"/>
      <c r="C104" s="9"/>
    </row>
    <row r="105" spans="1:3" x14ac:dyDescent="0.3">
      <c r="A105" s="9"/>
      <c r="B105" s="9"/>
      <c r="C105" s="9"/>
    </row>
    <row r="106" spans="1:3" x14ac:dyDescent="0.3">
      <c r="A106" s="9"/>
      <c r="B106" s="9"/>
      <c r="C106" s="9"/>
    </row>
    <row r="107" spans="1:3" x14ac:dyDescent="0.3">
      <c r="A107" s="9"/>
      <c r="B107" s="9"/>
      <c r="C107" s="9"/>
    </row>
    <row r="108" spans="1:3" x14ac:dyDescent="0.3">
      <c r="A108" s="9"/>
      <c r="B108" s="9"/>
      <c r="C108" s="9"/>
    </row>
    <row r="109" spans="1:3" x14ac:dyDescent="0.3">
      <c r="A109" s="9"/>
      <c r="B109" s="9"/>
      <c r="C109" s="9"/>
    </row>
    <row r="110" spans="1:3" x14ac:dyDescent="0.3">
      <c r="A110" s="9"/>
      <c r="B110" s="9"/>
      <c r="C110" s="9"/>
    </row>
    <row r="111" spans="1:3" x14ac:dyDescent="0.3">
      <c r="A111" s="9"/>
      <c r="B111" s="9"/>
      <c r="C111" s="9"/>
    </row>
    <row r="112" spans="1:3" x14ac:dyDescent="0.3">
      <c r="A112" s="9"/>
      <c r="B112" s="9"/>
      <c r="C112" s="9"/>
    </row>
    <row r="113" spans="1:3" x14ac:dyDescent="0.3">
      <c r="A113" s="9"/>
      <c r="B113" s="9"/>
      <c r="C113" s="9"/>
    </row>
    <row r="114" spans="1:3" x14ac:dyDescent="0.3">
      <c r="A114" s="9"/>
      <c r="B114" s="9"/>
      <c r="C114" s="9"/>
    </row>
    <row r="115" spans="1:3" x14ac:dyDescent="0.3">
      <c r="A115" s="9"/>
      <c r="B115" s="9"/>
      <c r="C115" s="9"/>
    </row>
    <row r="116" spans="1:3" x14ac:dyDescent="0.3">
      <c r="A116" s="9"/>
      <c r="B116" s="9"/>
      <c r="C116" s="9"/>
    </row>
    <row r="117" spans="1:3" x14ac:dyDescent="0.3">
      <c r="A117" s="9"/>
      <c r="B117" s="9"/>
      <c r="C117" s="9"/>
    </row>
    <row r="118" spans="1:3" x14ac:dyDescent="0.3">
      <c r="A118" s="9"/>
      <c r="B118" s="9"/>
      <c r="C118" s="9"/>
    </row>
    <row r="119" spans="1:3" x14ac:dyDescent="0.3">
      <c r="A119" s="9"/>
      <c r="B119" s="9"/>
      <c r="C119" s="9"/>
    </row>
    <row r="120" spans="1:3" x14ac:dyDescent="0.3">
      <c r="A120" s="9"/>
      <c r="B120" s="9"/>
      <c r="C120" s="9"/>
    </row>
    <row r="121" spans="1:3" x14ac:dyDescent="0.3">
      <c r="A121" s="9"/>
      <c r="B121" s="9"/>
      <c r="C121" s="9"/>
    </row>
    <row r="122" spans="1:3" x14ac:dyDescent="0.3">
      <c r="A122" s="9"/>
      <c r="B122" s="9"/>
      <c r="C122" s="9"/>
    </row>
    <row r="123" spans="1:3" x14ac:dyDescent="0.3">
      <c r="A123" s="9"/>
      <c r="B123" s="9"/>
      <c r="C123" s="9"/>
    </row>
    <row r="124" spans="1:3" x14ac:dyDescent="0.3">
      <c r="A124" s="9"/>
      <c r="B124" s="9"/>
      <c r="C124" s="9"/>
    </row>
    <row r="125" spans="1:3" x14ac:dyDescent="0.3">
      <c r="A125" s="9"/>
      <c r="B125" s="9"/>
      <c r="C125" s="9"/>
    </row>
    <row r="126" spans="1:3" x14ac:dyDescent="0.3">
      <c r="A126" s="9"/>
      <c r="B126" s="9"/>
      <c r="C126" s="9"/>
    </row>
    <row r="127" spans="1:3" x14ac:dyDescent="0.3">
      <c r="A127" s="9"/>
      <c r="B127" s="9"/>
      <c r="C127" s="9"/>
    </row>
    <row r="128" spans="1:3" x14ac:dyDescent="0.3">
      <c r="A128" s="9"/>
      <c r="B128" s="9"/>
      <c r="C128" s="9"/>
    </row>
    <row r="129" spans="1:3" x14ac:dyDescent="0.3">
      <c r="A129" s="9"/>
      <c r="B129" s="9"/>
      <c r="C129" s="9"/>
    </row>
    <row r="130" spans="1:3" x14ac:dyDescent="0.3">
      <c r="A130" s="9"/>
      <c r="B130" s="9"/>
      <c r="C130" s="9"/>
    </row>
    <row r="131" spans="1:3" x14ac:dyDescent="0.3">
      <c r="A131" s="9"/>
      <c r="B131" s="9"/>
      <c r="C131" s="9"/>
    </row>
    <row r="132" spans="1:3" x14ac:dyDescent="0.3">
      <c r="A132" s="9"/>
      <c r="B132" s="9"/>
      <c r="C132" s="9"/>
    </row>
    <row r="133" spans="1:3" x14ac:dyDescent="0.3">
      <c r="A133" s="9"/>
      <c r="B133" s="9"/>
      <c r="C133" s="9"/>
    </row>
    <row r="134" spans="1:3" x14ac:dyDescent="0.3">
      <c r="A134" s="9"/>
      <c r="B134" s="9"/>
      <c r="C134" s="9"/>
    </row>
    <row r="135" spans="1:3" x14ac:dyDescent="0.3">
      <c r="A135" s="9"/>
      <c r="B135" s="9"/>
      <c r="C135" s="9"/>
    </row>
    <row r="136" spans="1:3" x14ac:dyDescent="0.3">
      <c r="A136" s="9"/>
      <c r="B136" s="9"/>
      <c r="C136" s="9"/>
    </row>
    <row r="137" spans="1:3" x14ac:dyDescent="0.3">
      <c r="A137" s="9"/>
      <c r="B137" s="9"/>
      <c r="C137" s="9"/>
    </row>
    <row r="138" spans="1:3" x14ac:dyDescent="0.3">
      <c r="A138" s="9"/>
      <c r="B138" s="9"/>
      <c r="C138" s="9"/>
    </row>
    <row r="139" spans="1:3" x14ac:dyDescent="0.3">
      <c r="A139" s="9"/>
      <c r="B139" s="9"/>
      <c r="C139" s="9"/>
    </row>
    <row r="140" spans="1:3" x14ac:dyDescent="0.3">
      <c r="A140" s="9"/>
      <c r="B140" s="9"/>
      <c r="C140" s="9"/>
    </row>
    <row r="141" spans="1:3" x14ac:dyDescent="0.3">
      <c r="A141" s="9"/>
      <c r="B141" s="9"/>
      <c r="C141" s="9"/>
    </row>
    <row r="142" spans="1:3" x14ac:dyDescent="0.3">
      <c r="A142" s="9"/>
      <c r="B142" s="9"/>
      <c r="C142" s="9"/>
    </row>
    <row r="143" spans="1:3" x14ac:dyDescent="0.3">
      <c r="A143" s="9"/>
      <c r="B143" s="9"/>
      <c r="C143" s="9"/>
    </row>
    <row r="144" spans="1:3" x14ac:dyDescent="0.3">
      <c r="A144" s="9"/>
      <c r="B144" s="9"/>
      <c r="C144" s="9"/>
    </row>
    <row r="145" spans="1:3" x14ac:dyDescent="0.3">
      <c r="A145" s="9"/>
      <c r="B145" s="9"/>
      <c r="C145" s="9"/>
    </row>
    <row r="146" spans="1:3" x14ac:dyDescent="0.3">
      <c r="A146" s="9"/>
      <c r="B146" s="9"/>
      <c r="C146" s="9"/>
    </row>
    <row r="147" spans="1:3" x14ac:dyDescent="0.3">
      <c r="A147" s="9"/>
      <c r="B147" s="9"/>
      <c r="C147" s="9"/>
    </row>
    <row r="148" spans="1:3" x14ac:dyDescent="0.3">
      <c r="A148" s="9"/>
      <c r="B148" s="9"/>
      <c r="C148" s="9"/>
    </row>
    <row r="149" spans="1:3" x14ac:dyDescent="0.3">
      <c r="A149" s="9"/>
      <c r="B149" s="9"/>
      <c r="C149" s="9"/>
    </row>
    <row r="150" spans="1:3" x14ac:dyDescent="0.3">
      <c r="A150" s="9"/>
      <c r="B150" s="9"/>
      <c r="C150" s="9"/>
    </row>
    <row r="151" spans="1:3" x14ac:dyDescent="0.3">
      <c r="A151" s="9"/>
      <c r="B151" s="9"/>
      <c r="C151" s="9"/>
    </row>
    <row r="152" spans="1:3" x14ac:dyDescent="0.3">
      <c r="A152" s="9"/>
      <c r="B152" s="9"/>
      <c r="C152" s="9"/>
    </row>
    <row r="153" spans="1:3" x14ac:dyDescent="0.3">
      <c r="A153" s="9"/>
      <c r="B153" s="9"/>
      <c r="C153" s="9"/>
    </row>
    <row r="154" spans="1:3" x14ac:dyDescent="0.3">
      <c r="A154" s="9"/>
      <c r="B154" s="9"/>
      <c r="C154" s="9"/>
    </row>
    <row r="155" spans="1:3" x14ac:dyDescent="0.3">
      <c r="A155" s="9"/>
      <c r="B155" s="9"/>
      <c r="C155" s="9"/>
    </row>
    <row r="156" spans="1:3" x14ac:dyDescent="0.3">
      <c r="A156" s="9"/>
      <c r="B156" s="9"/>
      <c r="C156" s="9"/>
    </row>
    <row r="157" spans="1:3" x14ac:dyDescent="0.3">
      <c r="A157" s="9"/>
      <c r="B157" s="9"/>
      <c r="C157" s="9"/>
    </row>
    <row r="158" spans="1:3" x14ac:dyDescent="0.3">
      <c r="A158" s="9"/>
      <c r="B158" s="9"/>
      <c r="C158" s="9"/>
    </row>
    <row r="159" spans="1:3" x14ac:dyDescent="0.3">
      <c r="A159" s="9"/>
      <c r="B159" s="9"/>
      <c r="C159" s="9"/>
    </row>
    <row r="160" spans="1:3" x14ac:dyDescent="0.3">
      <c r="A160" s="9"/>
      <c r="B160" s="9"/>
      <c r="C160" s="9"/>
    </row>
    <row r="161" spans="1:3" x14ac:dyDescent="0.3">
      <c r="A161" s="9"/>
      <c r="B161" s="9"/>
      <c r="C161" s="9"/>
    </row>
    <row r="162" spans="1:3" x14ac:dyDescent="0.3">
      <c r="A162" s="9"/>
      <c r="B162" s="9"/>
      <c r="C162" s="9"/>
    </row>
    <row r="163" spans="1:3" x14ac:dyDescent="0.3">
      <c r="A163" s="9"/>
      <c r="B163" s="9"/>
      <c r="C163" s="9"/>
    </row>
    <row r="164" spans="1:3" x14ac:dyDescent="0.3">
      <c r="A164" s="9"/>
      <c r="B164" s="9"/>
      <c r="C164" s="9"/>
    </row>
    <row r="165" spans="1:3" x14ac:dyDescent="0.3">
      <c r="A165" s="9"/>
      <c r="B165" s="9"/>
      <c r="C165" s="9"/>
    </row>
    <row r="166" spans="1:3" x14ac:dyDescent="0.3">
      <c r="A166" s="9"/>
      <c r="B166" s="9"/>
      <c r="C166" s="9"/>
    </row>
    <row r="167" spans="1:3" x14ac:dyDescent="0.3">
      <c r="A167" s="9"/>
      <c r="B167" s="9"/>
      <c r="C167" s="9"/>
    </row>
    <row r="168" spans="1:3" x14ac:dyDescent="0.3">
      <c r="A168" s="9"/>
      <c r="B168" s="9"/>
      <c r="C168" s="9"/>
    </row>
    <row r="169" spans="1:3" x14ac:dyDescent="0.3">
      <c r="A169" s="9"/>
      <c r="B169" s="9"/>
      <c r="C169" s="9"/>
    </row>
    <row r="170" spans="1:3" x14ac:dyDescent="0.3">
      <c r="A170" s="9"/>
      <c r="B170" s="9"/>
      <c r="C170" s="9"/>
    </row>
    <row r="171" spans="1:3" x14ac:dyDescent="0.3">
      <c r="A171" s="9"/>
      <c r="B171" s="9"/>
      <c r="C171" s="9"/>
    </row>
    <row r="172" spans="1:3" x14ac:dyDescent="0.3">
      <c r="A172" s="9"/>
      <c r="B172" s="9"/>
      <c r="C172" s="9"/>
    </row>
    <row r="173" spans="1:3" x14ac:dyDescent="0.3">
      <c r="A173" s="9"/>
      <c r="B173" s="9"/>
      <c r="C173" s="9"/>
    </row>
    <row r="174" spans="1:3" x14ac:dyDescent="0.3">
      <c r="A174" s="9"/>
      <c r="B174" s="9"/>
      <c r="C174" s="9"/>
    </row>
    <row r="175" spans="1:3" x14ac:dyDescent="0.3">
      <c r="A175" s="9"/>
      <c r="B175" s="9"/>
      <c r="C175" s="9"/>
    </row>
    <row r="176" spans="1:3" x14ac:dyDescent="0.3">
      <c r="A176" s="9"/>
      <c r="B176" s="9"/>
      <c r="C176" s="9"/>
    </row>
    <row r="177" spans="1:3" x14ac:dyDescent="0.3">
      <c r="A177" s="9"/>
      <c r="B177" s="9"/>
      <c r="C177" s="9"/>
    </row>
    <row r="178" spans="1:3" x14ac:dyDescent="0.3">
      <c r="A178" s="9"/>
      <c r="B178" s="9"/>
      <c r="C178" s="9"/>
    </row>
    <row r="179" spans="1:3" x14ac:dyDescent="0.3">
      <c r="A179" s="9"/>
      <c r="B179" s="9"/>
      <c r="C179" s="9"/>
    </row>
    <row r="180" spans="1:3" x14ac:dyDescent="0.3">
      <c r="A180" s="9"/>
      <c r="B180" s="9"/>
      <c r="C180" s="9"/>
    </row>
    <row r="181" spans="1:3" x14ac:dyDescent="0.3">
      <c r="A181" s="9"/>
      <c r="B181" s="9"/>
      <c r="C181" s="9"/>
    </row>
    <row r="182" spans="1:3" x14ac:dyDescent="0.3">
      <c r="A182" s="9"/>
      <c r="B182" s="9"/>
      <c r="C182" s="9"/>
    </row>
    <row r="183" spans="1:3" x14ac:dyDescent="0.3">
      <c r="A183" s="9"/>
      <c r="B183" s="9"/>
      <c r="C183" s="9"/>
    </row>
    <row r="184" spans="1:3" x14ac:dyDescent="0.3">
      <c r="A184" s="9"/>
      <c r="B184" s="9"/>
      <c r="C184" s="9"/>
    </row>
    <row r="185" spans="1:3" x14ac:dyDescent="0.3">
      <c r="A185" s="9"/>
      <c r="B185" s="9"/>
      <c r="C185" s="9"/>
    </row>
    <row r="186" spans="1:3" x14ac:dyDescent="0.3">
      <c r="A186" s="9"/>
      <c r="B186" s="9"/>
      <c r="C186" s="9"/>
    </row>
    <row r="187" spans="1:3" x14ac:dyDescent="0.3">
      <c r="A187" s="9"/>
      <c r="B187" s="9"/>
      <c r="C187" s="9"/>
    </row>
    <row r="188" spans="1:3" x14ac:dyDescent="0.3">
      <c r="A188" s="9"/>
      <c r="B188" s="9"/>
      <c r="C188" s="9"/>
    </row>
    <row r="189" spans="1:3" x14ac:dyDescent="0.3">
      <c r="A189" s="9"/>
      <c r="B189" s="9"/>
      <c r="C189" s="9"/>
    </row>
    <row r="190" spans="1:3" x14ac:dyDescent="0.3">
      <c r="A190" s="9"/>
      <c r="B190" s="9"/>
      <c r="C190" s="9"/>
    </row>
    <row r="191" spans="1:3" x14ac:dyDescent="0.3">
      <c r="A191" s="9"/>
      <c r="B191" s="9"/>
      <c r="C191" s="9"/>
    </row>
    <row r="192" spans="1:3" x14ac:dyDescent="0.3">
      <c r="A192" s="9"/>
      <c r="B192" s="9"/>
      <c r="C192" s="9"/>
    </row>
    <row r="193" spans="1:3" x14ac:dyDescent="0.3">
      <c r="A193" s="9"/>
      <c r="B193" s="9"/>
      <c r="C193" s="9"/>
    </row>
    <row r="194" spans="1:3" x14ac:dyDescent="0.3">
      <c r="A194" s="9"/>
      <c r="B194" s="9"/>
      <c r="C194" s="9"/>
    </row>
    <row r="195" spans="1:3" x14ac:dyDescent="0.3">
      <c r="A195" s="9"/>
      <c r="B195" s="9"/>
      <c r="C195" s="9"/>
    </row>
    <row r="196" spans="1:3" x14ac:dyDescent="0.3">
      <c r="A196" s="9"/>
      <c r="B196" s="9"/>
      <c r="C196" s="9"/>
    </row>
    <row r="197" spans="1:3" x14ac:dyDescent="0.3">
      <c r="A197" s="9"/>
      <c r="B197" s="9"/>
      <c r="C197" s="9"/>
    </row>
    <row r="198" spans="1:3" x14ac:dyDescent="0.3">
      <c r="A198" s="9"/>
      <c r="B198" s="9"/>
      <c r="C198" s="9"/>
    </row>
    <row r="199" spans="1:3" x14ac:dyDescent="0.3">
      <c r="A199" s="9"/>
      <c r="B199" s="9"/>
      <c r="C199" s="9"/>
    </row>
    <row r="200" spans="1:3" x14ac:dyDescent="0.3">
      <c r="A200" s="9"/>
      <c r="B200" s="9"/>
      <c r="C200" s="9"/>
    </row>
    <row r="201" spans="1:3" x14ac:dyDescent="0.3">
      <c r="A201" s="9"/>
      <c r="B201" s="9"/>
      <c r="C201" s="9"/>
    </row>
    <row r="202" spans="1:3" x14ac:dyDescent="0.3">
      <c r="A202" s="9"/>
      <c r="B202" s="9"/>
      <c r="C202" s="9"/>
    </row>
    <row r="203" spans="1:3" x14ac:dyDescent="0.3">
      <c r="A203" s="9"/>
      <c r="B203" s="9"/>
      <c r="C203" s="9"/>
    </row>
    <row r="204" spans="1:3" x14ac:dyDescent="0.3">
      <c r="A204" s="9"/>
      <c r="B204" s="9"/>
      <c r="C204" s="9"/>
    </row>
    <row r="205" spans="1:3" x14ac:dyDescent="0.3">
      <c r="A205" s="9"/>
      <c r="B205" s="9"/>
      <c r="C205" s="9"/>
    </row>
    <row r="206" spans="1:3" x14ac:dyDescent="0.3">
      <c r="A206" s="9"/>
      <c r="B206" s="9"/>
      <c r="C206" s="9"/>
    </row>
    <row r="207" spans="1:3" x14ac:dyDescent="0.3">
      <c r="A207" s="9"/>
      <c r="B207" s="9"/>
      <c r="C207" s="9"/>
    </row>
    <row r="208" spans="1:3" x14ac:dyDescent="0.3">
      <c r="A208" s="9"/>
      <c r="B208" s="9"/>
      <c r="C208" s="9"/>
    </row>
    <row r="209" spans="1:3" x14ac:dyDescent="0.3">
      <c r="A209" s="9"/>
      <c r="B209" s="9"/>
      <c r="C209" s="9"/>
    </row>
    <row r="210" spans="1:3" x14ac:dyDescent="0.3">
      <c r="A210" s="9"/>
      <c r="B210" s="9"/>
      <c r="C210" s="9"/>
    </row>
    <row r="211" spans="1:3" x14ac:dyDescent="0.3">
      <c r="A211" s="9"/>
      <c r="B211" s="9"/>
      <c r="C211" s="9"/>
    </row>
    <row r="212" spans="1:3" x14ac:dyDescent="0.3">
      <c r="A212" s="9"/>
      <c r="B212" s="9"/>
      <c r="C212" s="9"/>
    </row>
    <row r="213" spans="1:3" x14ac:dyDescent="0.3">
      <c r="A213" s="9"/>
      <c r="B213" s="9"/>
      <c r="C213" s="9"/>
    </row>
    <row r="214" spans="1:3" x14ac:dyDescent="0.3">
      <c r="A214" s="9"/>
      <c r="B214" s="9"/>
      <c r="C214" s="9"/>
    </row>
    <row r="215" spans="1:3" x14ac:dyDescent="0.3">
      <c r="A215" s="9"/>
      <c r="B215" s="9"/>
      <c r="C215" s="9"/>
    </row>
    <row r="216" spans="1:3" x14ac:dyDescent="0.3">
      <c r="A216" s="9"/>
      <c r="B216" s="9"/>
      <c r="C216" s="9"/>
    </row>
    <row r="217" spans="1:3" x14ac:dyDescent="0.3">
      <c r="A217" s="9"/>
      <c r="B217" s="9"/>
      <c r="C217" s="9"/>
    </row>
    <row r="218" spans="1:3" x14ac:dyDescent="0.3">
      <c r="A218" s="9"/>
      <c r="B218" s="9"/>
      <c r="C218" s="9"/>
    </row>
    <row r="219" spans="1:3" x14ac:dyDescent="0.3">
      <c r="A219" s="9"/>
      <c r="B219" s="9"/>
      <c r="C219" s="9"/>
    </row>
    <row r="220" spans="1:3" x14ac:dyDescent="0.3">
      <c r="A220" s="9"/>
      <c r="B220" s="9"/>
      <c r="C220" s="9"/>
    </row>
    <row r="221" spans="1:3" x14ac:dyDescent="0.3">
      <c r="A221" s="9"/>
      <c r="B221" s="9"/>
      <c r="C221" s="9"/>
    </row>
    <row r="222" spans="1:3" x14ac:dyDescent="0.3">
      <c r="A222" s="9"/>
      <c r="B222" s="9"/>
      <c r="C222" s="9"/>
    </row>
    <row r="223" spans="1:3" x14ac:dyDescent="0.3">
      <c r="A223" s="9"/>
      <c r="B223" s="9"/>
      <c r="C223" s="9"/>
    </row>
    <row r="224" spans="1:3" x14ac:dyDescent="0.3">
      <c r="A224" s="9"/>
      <c r="B224" s="9"/>
      <c r="C224" s="9"/>
    </row>
    <row r="225" spans="1:3" x14ac:dyDescent="0.3">
      <c r="A225" s="9"/>
      <c r="B225" s="9"/>
      <c r="C225" s="9"/>
    </row>
    <row r="226" spans="1:3" x14ac:dyDescent="0.3">
      <c r="A226" s="9"/>
      <c r="B226" s="9"/>
      <c r="C226" s="9"/>
    </row>
    <row r="227" spans="1:3" x14ac:dyDescent="0.3">
      <c r="A227" s="9"/>
      <c r="B227" s="9"/>
      <c r="C227" s="9"/>
    </row>
    <row r="228" spans="1:3" x14ac:dyDescent="0.3">
      <c r="A228" s="9"/>
      <c r="B228" s="9"/>
      <c r="C228" s="9"/>
    </row>
    <row r="229" spans="1:3" x14ac:dyDescent="0.3">
      <c r="A229" s="9"/>
      <c r="B229" s="9"/>
      <c r="C229" s="9"/>
    </row>
    <row r="230" spans="1:3" x14ac:dyDescent="0.3">
      <c r="A230" s="9"/>
      <c r="B230" s="9"/>
      <c r="C230" s="9"/>
    </row>
    <row r="231" spans="1:3" x14ac:dyDescent="0.3">
      <c r="A231" s="9"/>
      <c r="B231" s="9"/>
      <c r="C231" s="9"/>
    </row>
    <row r="232" spans="1:3" x14ac:dyDescent="0.3">
      <c r="A232" s="9"/>
      <c r="B232" s="9"/>
      <c r="C232" s="9"/>
    </row>
    <row r="233" spans="1:3" x14ac:dyDescent="0.3">
      <c r="A233" s="9"/>
      <c r="B233" s="9"/>
      <c r="C233" s="9"/>
    </row>
    <row r="234" spans="1:3" x14ac:dyDescent="0.3">
      <c r="A234" s="9"/>
      <c r="B234" s="9"/>
      <c r="C234" s="9"/>
    </row>
    <row r="235" spans="1:3" x14ac:dyDescent="0.3">
      <c r="A235" s="9"/>
      <c r="B235" s="9"/>
      <c r="C235" s="9"/>
    </row>
    <row r="236" spans="1:3" x14ac:dyDescent="0.3">
      <c r="A236" s="9"/>
      <c r="B236" s="9"/>
      <c r="C236" s="9"/>
    </row>
    <row r="237" spans="1:3" x14ac:dyDescent="0.3">
      <c r="A237" s="9"/>
      <c r="B237" s="9"/>
      <c r="C237" s="9"/>
    </row>
    <row r="238" spans="1:3" x14ac:dyDescent="0.3">
      <c r="A238" s="9"/>
      <c r="B238" s="9"/>
      <c r="C238" s="9"/>
    </row>
    <row r="239" spans="1:3" x14ac:dyDescent="0.3">
      <c r="A239" s="9"/>
      <c r="B239" s="9"/>
      <c r="C239" s="9"/>
    </row>
    <row r="240" spans="1:3" x14ac:dyDescent="0.3">
      <c r="A240" s="9"/>
      <c r="B240" s="9"/>
      <c r="C240" s="9"/>
    </row>
    <row r="241" spans="1:3" x14ac:dyDescent="0.3">
      <c r="A241" s="9"/>
      <c r="B241" s="9"/>
      <c r="C241" s="9"/>
    </row>
    <row r="242" spans="1:3" x14ac:dyDescent="0.3">
      <c r="A242" s="9"/>
      <c r="B242" s="9"/>
      <c r="C242" s="9"/>
    </row>
    <row r="243" spans="1:3" x14ac:dyDescent="0.3">
      <c r="A243" s="9"/>
      <c r="B243" s="9"/>
      <c r="C243" s="9"/>
    </row>
    <row r="244" spans="1:3" x14ac:dyDescent="0.3">
      <c r="A244" s="9"/>
      <c r="B244" s="9"/>
      <c r="C244" s="9"/>
    </row>
    <row r="245" spans="1:3" x14ac:dyDescent="0.3">
      <c r="A245" s="9"/>
      <c r="B245" s="9"/>
      <c r="C245" s="9"/>
    </row>
    <row r="246" spans="1:3" x14ac:dyDescent="0.3">
      <c r="A246" s="9"/>
      <c r="B246" s="9"/>
      <c r="C246" s="9"/>
    </row>
    <row r="247" spans="1:3" x14ac:dyDescent="0.3">
      <c r="A247" s="9"/>
      <c r="B247" s="9"/>
      <c r="C247" s="9"/>
    </row>
    <row r="248" spans="1:3" x14ac:dyDescent="0.3">
      <c r="A248" s="9"/>
      <c r="B248" s="9"/>
      <c r="C248" s="9"/>
    </row>
    <row r="249" spans="1:3" x14ac:dyDescent="0.3">
      <c r="A249" s="9"/>
      <c r="B249" s="9"/>
      <c r="C249" s="9"/>
    </row>
    <row r="250" spans="1:3" x14ac:dyDescent="0.3">
      <c r="A250" s="9"/>
      <c r="B250" s="9"/>
      <c r="C250" s="9"/>
    </row>
    <row r="251" spans="1:3" x14ac:dyDescent="0.3">
      <c r="A251" s="9"/>
      <c r="B251" s="9"/>
      <c r="C251" s="9"/>
    </row>
    <row r="252" spans="1:3" x14ac:dyDescent="0.3">
      <c r="A252" s="9"/>
      <c r="B252" s="9"/>
      <c r="C252" s="9"/>
    </row>
    <row r="253" spans="1:3" x14ac:dyDescent="0.3">
      <c r="A253" s="9"/>
      <c r="B253" s="9"/>
      <c r="C253" s="9"/>
    </row>
    <row r="254" spans="1:3" x14ac:dyDescent="0.3">
      <c r="A254" s="9"/>
      <c r="B254" s="9"/>
      <c r="C254" s="9"/>
    </row>
    <row r="255" spans="1:3" x14ac:dyDescent="0.3">
      <c r="A255" s="9"/>
      <c r="B255" s="9"/>
      <c r="C255" s="9"/>
    </row>
    <row r="256" spans="1:3" x14ac:dyDescent="0.3">
      <c r="A256" s="9"/>
      <c r="B256" s="9"/>
      <c r="C256" s="9"/>
    </row>
    <row r="257" spans="1:3" x14ac:dyDescent="0.3">
      <c r="A257" s="9"/>
      <c r="B257" s="9"/>
      <c r="C257" s="9"/>
    </row>
    <row r="258" spans="1:3" x14ac:dyDescent="0.3">
      <c r="A258" s="9"/>
      <c r="B258" s="9"/>
      <c r="C258" s="9"/>
    </row>
    <row r="259" spans="1:3" x14ac:dyDescent="0.3">
      <c r="A259" s="9"/>
      <c r="B259" s="9"/>
      <c r="C259" s="9"/>
    </row>
    <row r="260" spans="1:3" x14ac:dyDescent="0.3">
      <c r="A260" s="9"/>
      <c r="B260" s="9"/>
      <c r="C260" s="9"/>
    </row>
    <row r="261" spans="1:3" x14ac:dyDescent="0.3">
      <c r="A261" s="9"/>
      <c r="B261" s="9"/>
      <c r="C261" s="9"/>
    </row>
    <row r="262" spans="1:3" x14ac:dyDescent="0.3">
      <c r="A262" s="9"/>
      <c r="B262" s="9"/>
      <c r="C262" s="9"/>
    </row>
    <row r="263" spans="1:3" x14ac:dyDescent="0.3">
      <c r="A263" s="9"/>
      <c r="B263" s="9"/>
      <c r="C263" s="9"/>
    </row>
    <row r="264" spans="1:3" x14ac:dyDescent="0.3">
      <c r="A264" s="9"/>
      <c r="B264" s="9"/>
      <c r="C264" s="9"/>
    </row>
    <row r="265" spans="1:3" x14ac:dyDescent="0.3">
      <c r="A265" s="9"/>
      <c r="B265" s="9"/>
      <c r="C265" s="9"/>
    </row>
    <row r="266" spans="1:3" x14ac:dyDescent="0.3">
      <c r="A266" s="9"/>
      <c r="B266" s="9"/>
      <c r="C266" s="9"/>
    </row>
    <row r="267" spans="1:3" x14ac:dyDescent="0.3">
      <c r="A267" s="9"/>
      <c r="B267" s="9"/>
      <c r="C267" s="9"/>
    </row>
    <row r="268" spans="1:3" x14ac:dyDescent="0.3">
      <c r="A268" s="9"/>
      <c r="B268" s="9"/>
      <c r="C268" s="9"/>
    </row>
    <row r="269" spans="1:3" x14ac:dyDescent="0.3">
      <c r="A269" s="9"/>
      <c r="B269" s="9"/>
      <c r="C269" s="9"/>
    </row>
    <row r="270" spans="1:3" x14ac:dyDescent="0.3">
      <c r="A270" s="9"/>
      <c r="B270" s="9"/>
      <c r="C270" s="9"/>
    </row>
    <row r="271" spans="1:3" x14ac:dyDescent="0.3">
      <c r="A271" s="9"/>
      <c r="B271" s="9"/>
      <c r="C271" s="9"/>
    </row>
    <row r="272" spans="1:3" x14ac:dyDescent="0.3">
      <c r="A272" s="9"/>
      <c r="B272" s="9"/>
      <c r="C272" s="9"/>
    </row>
    <row r="273" spans="1:3" x14ac:dyDescent="0.3">
      <c r="A273" s="9"/>
      <c r="B273" s="9"/>
      <c r="C273" s="9"/>
    </row>
    <row r="274" spans="1:3" x14ac:dyDescent="0.3">
      <c r="A274" s="9"/>
      <c r="B274" s="9"/>
      <c r="C274" s="9"/>
    </row>
    <row r="275" spans="1:3" x14ac:dyDescent="0.3">
      <c r="A275" s="9"/>
      <c r="B275" s="9"/>
      <c r="C275" s="9"/>
    </row>
    <row r="276" spans="1:3" x14ac:dyDescent="0.3">
      <c r="A276" s="9"/>
      <c r="B276" s="9"/>
      <c r="C276" s="9"/>
    </row>
    <row r="277" spans="1:3" x14ac:dyDescent="0.3">
      <c r="A277" s="9"/>
      <c r="B277" s="9"/>
      <c r="C277" s="9"/>
    </row>
    <row r="278" spans="1:3" x14ac:dyDescent="0.3">
      <c r="A278" s="9"/>
      <c r="B278" s="9"/>
      <c r="C278" s="9"/>
    </row>
    <row r="279" spans="1:3" x14ac:dyDescent="0.3">
      <c r="A279" s="9"/>
      <c r="B279" s="9"/>
      <c r="C279" s="9"/>
    </row>
    <row r="280" spans="1:3" x14ac:dyDescent="0.3">
      <c r="A280" s="9"/>
      <c r="B280" s="9"/>
      <c r="C280" s="9"/>
    </row>
    <row r="281" spans="1:3" x14ac:dyDescent="0.3">
      <c r="A281" s="9"/>
      <c r="B281" s="9"/>
      <c r="C281" s="9"/>
    </row>
    <row r="282" spans="1:3" x14ac:dyDescent="0.3">
      <c r="A282" s="9"/>
      <c r="B282" s="9"/>
      <c r="C282" s="9"/>
    </row>
    <row r="283" spans="1:3" x14ac:dyDescent="0.3">
      <c r="A283" s="9"/>
      <c r="B283" s="9"/>
      <c r="C283" s="9"/>
    </row>
    <row r="284" spans="1:3" x14ac:dyDescent="0.3">
      <c r="A284" s="9"/>
      <c r="B284" s="9"/>
      <c r="C284" s="9"/>
    </row>
    <row r="285" spans="1:3" x14ac:dyDescent="0.3">
      <c r="A285" s="9"/>
      <c r="B285" s="9"/>
      <c r="C285" s="9"/>
    </row>
    <row r="286" spans="1:3" x14ac:dyDescent="0.3">
      <c r="A286" s="9"/>
      <c r="B286" s="9"/>
      <c r="C286" s="9"/>
    </row>
    <row r="287" spans="1:3" x14ac:dyDescent="0.3">
      <c r="A287" s="9"/>
      <c r="B287" s="9"/>
      <c r="C287" s="9"/>
    </row>
    <row r="288" spans="1:3" x14ac:dyDescent="0.3">
      <c r="A288" s="9"/>
      <c r="B288" s="9"/>
      <c r="C288" s="9"/>
    </row>
    <row r="289" spans="1:3" x14ac:dyDescent="0.3">
      <c r="A289" s="9"/>
      <c r="B289" s="9"/>
      <c r="C289" s="9"/>
    </row>
    <row r="290" spans="1:3" x14ac:dyDescent="0.3">
      <c r="A290" s="9"/>
      <c r="B290" s="9"/>
      <c r="C290" s="9"/>
    </row>
    <row r="291" spans="1:3" x14ac:dyDescent="0.3">
      <c r="A291" s="9"/>
      <c r="B291" s="9"/>
      <c r="C291" s="9"/>
    </row>
    <row r="292" spans="1:3" x14ac:dyDescent="0.3">
      <c r="A292" s="9"/>
      <c r="B292" s="9"/>
      <c r="C292" s="9"/>
    </row>
    <row r="293" spans="1:3" x14ac:dyDescent="0.3">
      <c r="A293" s="9"/>
      <c r="B293" s="9"/>
      <c r="C293" s="9"/>
    </row>
    <row r="294" spans="1:3" x14ac:dyDescent="0.3">
      <c r="A294" s="9"/>
      <c r="B294" s="9"/>
      <c r="C294" s="9"/>
    </row>
    <row r="295" spans="1:3" x14ac:dyDescent="0.3">
      <c r="A295" s="9"/>
      <c r="B295" s="9"/>
      <c r="C295" s="9"/>
    </row>
    <row r="296" spans="1:3" x14ac:dyDescent="0.3">
      <c r="A296" s="9"/>
      <c r="B296" s="9"/>
      <c r="C296" s="9"/>
    </row>
    <row r="297" spans="1:3" x14ac:dyDescent="0.3">
      <c r="A297" s="9"/>
      <c r="B297" s="9"/>
      <c r="C297" s="9"/>
    </row>
    <row r="298" spans="1:3" x14ac:dyDescent="0.3">
      <c r="A298" s="9"/>
      <c r="B298" s="9"/>
      <c r="C298" s="9"/>
    </row>
    <row r="299" spans="1:3" x14ac:dyDescent="0.3">
      <c r="A299" s="9"/>
      <c r="B299" s="9"/>
      <c r="C299" s="9"/>
    </row>
    <row r="300" spans="1:3" x14ac:dyDescent="0.3">
      <c r="A300" s="9"/>
      <c r="B300" s="9"/>
      <c r="C300" s="9"/>
    </row>
    <row r="301" spans="1:3" x14ac:dyDescent="0.3">
      <c r="A301" s="9"/>
      <c r="B301" s="9"/>
      <c r="C301" s="9"/>
    </row>
    <row r="302" spans="1:3" x14ac:dyDescent="0.3">
      <c r="A302" s="9"/>
      <c r="B302" s="9"/>
      <c r="C302" s="9"/>
    </row>
    <row r="303" spans="1:3" x14ac:dyDescent="0.3">
      <c r="A303" s="9"/>
      <c r="B303" s="9"/>
      <c r="C303" s="9"/>
    </row>
    <row r="304" spans="1:3" x14ac:dyDescent="0.3">
      <c r="A304" s="9"/>
      <c r="B304" s="9"/>
      <c r="C304" s="9"/>
    </row>
    <row r="305" spans="1:3" x14ac:dyDescent="0.3">
      <c r="A305" s="9"/>
      <c r="B305" s="9"/>
      <c r="C305" s="9"/>
    </row>
    <row r="306" spans="1:3" x14ac:dyDescent="0.3">
      <c r="A306" s="9"/>
      <c r="B306" s="9"/>
      <c r="C306" s="9"/>
    </row>
    <row r="307" spans="1:3" x14ac:dyDescent="0.3">
      <c r="A307" s="9"/>
      <c r="B307" s="9"/>
      <c r="C307" s="9"/>
    </row>
    <row r="308" spans="1:3" x14ac:dyDescent="0.3">
      <c r="A308" s="9"/>
      <c r="B308" s="9"/>
      <c r="C308" s="9"/>
    </row>
    <row r="309" spans="1:3" x14ac:dyDescent="0.3">
      <c r="A309" s="9"/>
      <c r="B309" s="9"/>
      <c r="C309" s="9"/>
    </row>
    <row r="310" spans="1:3" x14ac:dyDescent="0.3">
      <c r="A310" s="9"/>
      <c r="B310" s="9"/>
      <c r="C310" s="9"/>
    </row>
    <row r="311" spans="1:3" x14ac:dyDescent="0.3">
      <c r="A311" s="9"/>
      <c r="B311" s="9"/>
      <c r="C311" s="9"/>
    </row>
    <row r="312" spans="1:3" x14ac:dyDescent="0.3">
      <c r="A312" s="9"/>
      <c r="B312" s="9"/>
      <c r="C312" s="9"/>
    </row>
    <row r="313" spans="1:3" x14ac:dyDescent="0.3">
      <c r="A313" s="9"/>
      <c r="B313" s="9"/>
      <c r="C313" s="9"/>
    </row>
    <row r="314" spans="1:3" x14ac:dyDescent="0.3">
      <c r="A314" s="9"/>
      <c r="B314" s="9"/>
      <c r="C314" s="9"/>
    </row>
    <row r="315" spans="1:3" x14ac:dyDescent="0.3">
      <c r="A315" s="9"/>
      <c r="B315" s="9"/>
      <c r="C315" s="9"/>
    </row>
    <row r="316" spans="1:3" x14ac:dyDescent="0.3">
      <c r="A316" s="9"/>
      <c r="B316" s="9"/>
      <c r="C316" s="9"/>
    </row>
    <row r="317" spans="1:3" x14ac:dyDescent="0.3">
      <c r="A317" s="9"/>
      <c r="B317" s="9"/>
      <c r="C317" s="9"/>
    </row>
    <row r="318" spans="1:3" x14ac:dyDescent="0.3">
      <c r="A318" s="9"/>
      <c r="B318" s="9"/>
      <c r="C318" s="9"/>
    </row>
    <row r="319" spans="1:3" x14ac:dyDescent="0.3">
      <c r="A319" s="9"/>
      <c r="B319" s="9"/>
      <c r="C319" s="9"/>
    </row>
    <row r="320" spans="1:3" x14ac:dyDescent="0.3">
      <c r="A320" s="9"/>
      <c r="B320" s="9"/>
      <c r="C320" s="9"/>
    </row>
    <row r="321" spans="1:3" x14ac:dyDescent="0.3">
      <c r="A321" s="9"/>
      <c r="B321" s="9"/>
      <c r="C321" s="9"/>
    </row>
    <row r="322" spans="1:3" x14ac:dyDescent="0.3">
      <c r="A322" s="9"/>
      <c r="B322" s="9"/>
      <c r="C322" s="9"/>
    </row>
    <row r="323" spans="1:3" x14ac:dyDescent="0.3">
      <c r="A323" s="9"/>
      <c r="B323" s="9"/>
      <c r="C323" s="9"/>
    </row>
    <row r="324" spans="1:3" x14ac:dyDescent="0.3">
      <c r="A324" s="9"/>
      <c r="B324" s="9"/>
      <c r="C324" s="9"/>
    </row>
    <row r="325" spans="1:3" x14ac:dyDescent="0.3">
      <c r="A325" s="9"/>
      <c r="B325" s="9"/>
      <c r="C325" s="9"/>
    </row>
    <row r="326" spans="1:3" x14ac:dyDescent="0.3">
      <c r="A326" s="9"/>
      <c r="B326" s="9"/>
      <c r="C326" s="9"/>
    </row>
    <row r="327" spans="1:3" x14ac:dyDescent="0.3">
      <c r="A327" s="9"/>
      <c r="B327" s="9"/>
      <c r="C327" s="9"/>
    </row>
    <row r="328" spans="1:3" x14ac:dyDescent="0.3">
      <c r="A328" s="9"/>
      <c r="B328" s="9"/>
      <c r="C328" s="9"/>
    </row>
    <row r="329" spans="1:3" x14ac:dyDescent="0.3">
      <c r="A329" s="9"/>
      <c r="B329" s="9"/>
      <c r="C329" s="9"/>
    </row>
    <row r="330" spans="1:3" x14ac:dyDescent="0.3">
      <c r="A330" s="9"/>
      <c r="B330" s="9"/>
      <c r="C330" s="9"/>
    </row>
    <row r="331" spans="1:3" x14ac:dyDescent="0.3">
      <c r="A331" s="9"/>
      <c r="B331" s="9"/>
      <c r="C331" s="9"/>
    </row>
    <row r="332" spans="1:3" x14ac:dyDescent="0.3">
      <c r="A332" s="9"/>
      <c r="B332" s="9"/>
      <c r="C332" s="9"/>
    </row>
    <row r="333" spans="1:3" x14ac:dyDescent="0.3">
      <c r="A333" s="9"/>
      <c r="B333" s="9"/>
      <c r="C333" s="9"/>
    </row>
    <row r="334" spans="1:3" x14ac:dyDescent="0.3">
      <c r="A334" s="9"/>
      <c r="B334" s="9"/>
      <c r="C334" s="9"/>
    </row>
    <row r="335" spans="1:3" x14ac:dyDescent="0.3">
      <c r="A335" s="9"/>
      <c r="B335" s="9"/>
      <c r="C335" s="9"/>
    </row>
    <row r="336" spans="1:3" x14ac:dyDescent="0.3">
      <c r="A336" s="9"/>
      <c r="B336" s="9"/>
      <c r="C336" s="9"/>
    </row>
    <row r="337" spans="1:3" x14ac:dyDescent="0.3">
      <c r="A337" s="9"/>
      <c r="B337" s="9"/>
      <c r="C337" s="9"/>
    </row>
    <row r="338" spans="1:3" x14ac:dyDescent="0.3">
      <c r="A338" s="9"/>
      <c r="B338" s="9"/>
      <c r="C338" s="9"/>
    </row>
    <row r="339" spans="1:3" x14ac:dyDescent="0.3">
      <c r="A339" s="9"/>
      <c r="B339" s="9"/>
      <c r="C339" s="9"/>
    </row>
    <row r="340" spans="1:3" x14ac:dyDescent="0.3">
      <c r="A340" s="9"/>
      <c r="B340" s="9"/>
      <c r="C340" s="9"/>
    </row>
    <row r="341" spans="1:3" x14ac:dyDescent="0.3">
      <c r="A341" s="9"/>
      <c r="B341" s="9"/>
      <c r="C341" s="9"/>
    </row>
    <row r="342" spans="1:3" x14ac:dyDescent="0.3">
      <c r="A342" s="9"/>
      <c r="B342" s="9"/>
      <c r="C342" s="9"/>
    </row>
    <row r="343" spans="1:3" x14ac:dyDescent="0.3">
      <c r="A343" s="9"/>
      <c r="B343" s="9"/>
      <c r="C343" s="9"/>
    </row>
    <row r="344" spans="1:3" x14ac:dyDescent="0.3">
      <c r="A344" s="9"/>
      <c r="B344" s="9"/>
      <c r="C344" s="9"/>
    </row>
    <row r="345" spans="1:3" x14ac:dyDescent="0.3">
      <c r="A345" s="9"/>
      <c r="B345" s="9"/>
      <c r="C345" s="9"/>
    </row>
    <row r="346" spans="1:3" x14ac:dyDescent="0.3">
      <c r="A346" s="9"/>
      <c r="B346" s="9"/>
      <c r="C346" s="9"/>
    </row>
    <row r="347" spans="1:3" x14ac:dyDescent="0.3">
      <c r="A347" s="9"/>
      <c r="B347" s="9"/>
      <c r="C347" s="9"/>
    </row>
    <row r="348" spans="1:3" x14ac:dyDescent="0.3">
      <c r="A348" s="9"/>
      <c r="B348" s="9"/>
      <c r="C348" s="9"/>
    </row>
    <row r="349" spans="1:3" x14ac:dyDescent="0.3">
      <c r="A349" s="9"/>
      <c r="B349" s="9"/>
      <c r="C349" s="9"/>
    </row>
    <row r="350" spans="1:3" x14ac:dyDescent="0.3">
      <c r="A350" s="9"/>
      <c r="B350" s="9"/>
      <c r="C350" s="9"/>
    </row>
    <row r="351" spans="1:3" x14ac:dyDescent="0.3">
      <c r="A351" s="9"/>
      <c r="B351" s="9"/>
      <c r="C351" s="9"/>
    </row>
    <row r="352" spans="1:3" x14ac:dyDescent="0.3">
      <c r="A352" s="9"/>
      <c r="B352" s="9"/>
      <c r="C352" s="9"/>
    </row>
    <row r="353" spans="1:3" x14ac:dyDescent="0.3">
      <c r="A353" s="9"/>
      <c r="B353" s="9"/>
      <c r="C353" s="9"/>
    </row>
    <row r="354" spans="1:3" x14ac:dyDescent="0.3">
      <c r="A354" s="9"/>
      <c r="B354" s="9"/>
      <c r="C354" s="9"/>
    </row>
    <row r="355" spans="1:3" x14ac:dyDescent="0.3">
      <c r="A355" s="9"/>
      <c r="B355" s="9"/>
      <c r="C355" s="9"/>
    </row>
    <row r="356" spans="1:3" x14ac:dyDescent="0.3">
      <c r="A356" s="9"/>
      <c r="B356" s="9"/>
      <c r="C356" s="9"/>
    </row>
    <row r="357" spans="1:3" x14ac:dyDescent="0.3">
      <c r="A357" s="9"/>
      <c r="B357" s="9"/>
      <c r="C357" s="9"/>
    </row>
    <row r="358" spans="1:3" x14ac:dyDescent="0.3">
      <c r="A358" s="9"/>
      <c r="B358" s="9"/>
      <c r="C358" s="9"/>
    </row>
    <row r="359" spans="1:3" x14ac:dyDescent="0.3">
      <c r="A359" s="9"/>
      <c r="B359" s="9"/>
      <c r="C359" s="9"/>
    </row>
    <row r="360" spans="1:3" x14ac:dyDescent="0.3">
      <c r="A360" s="9"/>
      <c r="B360" s="9"/>
      <c r="C360" s="9"/>
    </row>
    <row r="361" spans="1:3" x14ac:dyDescent="0.3">
      <c r="A361" s="9"/>
      <c r="B361" s="9"/>
      <c r="C361" s="9"/>
    </row>
    <row r="362" spans="1:3" x14ac:dyDescent="0.3">
      <c r="A362" s="9"/>
      <c r="B362" s="9"/>
      <c r="C362" s="9"/>
    </row>
    <row r="363" spans="1:3" x14ac:dyDescent="0.3">
      <c r="A363" s="9"/>
      <c r="B363" s="9"/>
      <c r="C363" s="9"/>
    </row>
    <row r="364" spans="1:3" x14ac:dyDescent="0.3">
      <c r="A364" s="9"/>
      <c r="B364" s="9"/>
      <c r="C364" s="9"/>
    </row>
    <row r="365" spans="1:3" x14ac:dyDescent="0.3">
      <c r="A365" s="9"/>
      <c r="B365" s="9"/>
      <c r="C365" s="9"/>
    </row>
    <row r="366" spans="1:3" x14ac:dyDescent="0.3">
      <c r="A366" s="9"/>
      <c r="B366" s="9"/>
      <c r="C366" s="9"/>
    </row>
    <row r="367" spans="1:3" x14ac:dyDescent="0.3">
      <c r="A367" s="9"/>
      <c r="B367" s="9"/>
      <c r="C367" s="9"/>
    </row>
    <row r="368" spans="1:3" x14ac:dyDescent="0.3">
      <c r="A368" s="9"/>
      <c r="B368" s="9"/>
      <c r="C368" s="9"/>
    </row>
    <row r="369" spans="1:3" x14ac:dyDescent="0.3">
      <c r="A369" s="9"/>
      <c r="B369" s="9"/>
      <c r="C369" s="9"/>
    </row>
    <row r="370" spans="1:3" x14ac:dyDescent="0.3">
      <c r="A370" s="9"/>
      <c r="B370" s="9"/>
      <c r="C370" s="9"/>
    </row>
    <row r="371" spans="1:3" x14ac:dyDescent="0.3">
      <c r="A371" s="9"/>
      <c r="B371" s="9"/>
      <c r="C371" s="9"/>
    </row>
    <row r="372" spans="1:3" x14ac:dyDescent="0.3">
      <c r="A372" s="9"/>
      <c r="B372" s="9"/>
      <c r="C372" s="9"/>
    </row>
    <row r="373" spans="1:3" x14ac:dyDescent="0.3">
      <c r="A373" s="9"/>
      <c r="B373" s="9"/>
      <c r="C373" s="9"/>
    </row>
    <row r="374" spans="1:3" x14ac:dyDescent="0.3">
      <c r="A374" s="9"/>
      <c r="B374" s="9"/>
      <c r="C374" s="9"/>
    </row>
    <row r="375" spans="1:3" x14ac:dyDescent="0.3">
      <c r="A375" s="9"/>
      <c r="B375" s="9"/>
      <c r="C375" s="9"/>
    </row>
    <row r="376" spans="1:3" x14ac:dyDescent="0.3">
      <c r="A376" s="9"/>
      <c r="B376" s="9"/>
      <c r="C376" s="9"/>
    </row>
    <row r="377" spans="1:3" x14ac:dyDescent="0.3">
      <c r="A377" s="9"/>
      <c r="B377" s="9"/>
      <c r="C377" s="9"/>
    </row>
    <row r="378" spans="1:3" x14ac:dyDescent="0.3">
      <c r="A378" s="9"/>
      <c r="B378" s="9"/>
      <c r="C378" s="9"/>
    </row>
    <row r="379" spans="1:3" x14ac:dyDescent="0.3">
      <c r="A379" s="9"/>
      <c r="B379" s="9"/>
      <c r="C379" s="9"/>
    </row>
    <row r="380" spans="1:3" x14ac:dyDescent="0.3">
      <c r="A380" s="9"/>
      <c r="B380" s="9"/>
      <c r="C380" s="9"/>
    </row>
    <row r="381" spans="1:3" x14ac:dyDescent="0.3">
      <c r="A381" s="9"/>
      <c r="B381" s="9"/>
      <c r="C381" s="9"/>
    </row>
    <row r="382" spans="1:3" x14ac:dyDescent="0.3">
      <c r="A382" s="9"/>
      <c r="B382" s="9"/>
      <c r="C382" s="9"/>
    </row>
    <row r="383" spans="1:3" x14ac:dyDescent="0.3">
      <c r="A383" s="9"/>
      <c r="B383" s="9"/>
      <c r="C383" s="9"/>
    </row>
    <row r="384" spans="1:3" x14ac:dyDescent="0.3">
      <c r="A384" s="9"/>
      <c r="B384" s="9"/>
      <c r="C384" s="9"/>
    </row>
    <row r="385" spans="1:3" x14ac:dyDescent="0.3">
      <c r="A385" s="9"/>
      <c r="B385" s="9"/>
      <c r="C385" s="9"/>
    </row>
    <row r="386" spans="1:3" x14ac:dyDescent="0.3">
      <c r="A386" s="9"/>
      <c r="B386" s="9"/>
      <c r="C386" s="9"/>
    </row>
    <row r="387" spans="1:3" x14ac:dyDescent="0.3">
      <c r="A387" s="9"/>
      <c r="B387" s="9"/>
      <c r="C387" s="9"/>
    </row>
    <row r="388" spans="1:3" x14ac:dyDescent="0.3">
      <c r="A388" s="9"/>
      <c r="B388" s="9"/>
      <c r="C388" s="9"/>
    </row>
    <row r="389" spans="1:3" x14ac:dyDescent="0.3">
      <c r="A389" s="9"/>
      <c r="B389" s="9"/>
      <c r="C389" s="9"/>
    </row>
    <row r="390" spans="1:3" x14ac:dyDescent="0.3">
      <c r="A390" s="9"/>
      <c r="B390" s="9"/>
      <c r="C390" s="9"/>
    </row>
    <row r="391" spans="1:3" x14ac:dyDescent="0.3">
      <c r="A391" s="9"/>
      <c r="B391" s="9"/>
      <c r="C391" s="9"/>
    </row>
    <row r="392" spans="1:3" x14ac:dyDescent="0.3">
      <c r="A392" s="9"/>
      <c r="B392" s="9"/>
      <c r="C392" s="9"/>
    </row>
    <row r="393" spans="1:3" x14ac:dyDescent="0.3">
      <c r="A393" s="9"/>
      <c r="B393" s="9"/>
      <c r="C393" s="9"/>
    </row>
    <row r="394" spans="1:3" x14ac:dyDescent="0.3">
      <c r="A394" s="9"/>
      <c r="B394" s="9"/>
      <c r="C394" s="9"/>
    </row>
    <row r="395" spans="1:3" x14ac:dyDescent="0.3">
      <c r="A395" s="9"/>
      <c r="B395" s="9"/>
      <c r="C395" s="9"/>
    </row>
    <row r="396" spans="1:3" x14ac:dyDescent="0.3">
      <c r="A396" s="9"/>
      <c r="B396" s="9"/>
      <c r="C396" s="9"/>
    </row>
    <row r="397" spans="1:3" x14ac:dyDescent="0.3">
      <c r="A397" s="9"/>
      <c r="B397" s="9"/>
      <c r="C397" s="9"/>
    </row>
    <row r="398" spans="1:3" x14ac:dyDescent="0.3">
      <c r="A398" s="9"/>
      <c r="B398" s="9"/>
      <c r="C398" s="9"/>
    </row>
    <row r="399" spans="1:3" x14ac:dyDescent="0.3">
      <c r="A399" s="9"/>
      <c r="B399" s="9"/>
      <c r="C399" s="9"/>
    </row>
    <row r="400" spans="1:3" x14ac:dyDescent="0.3">
      <c r="A400" s="9"/>
      <c r="B400" s="9"/>
      <c r="C400" s="9"/>
    </row>
    <row r="401" spans="1:3" x14ac:dyDescent="0.3">
      <c r="A401" s="9"/>
      <c r="B401" s="9"/>
      <c r="C401" s="9"/>
    </row>
    <row r="402" spans="1:3" x14ac:dyDescent="0.3">
      <c r="A402" s="9"/>
      <c r="B402" s="9"/>
      <c r="C402" s="9"/>
    </row>
    <row r="403" spans="1:3" x14ac:dyDescent="0.3">
      <c r="A403" s="9"/>
      <c r="B403" s="9"/>
      <c r="C403" s="9"/>
    </row>
    <row r="404" spans="1:3" x14ac:dyDescent="0.3">
      <c r="A404" s="9"/>
      <c r="B404" s="9"/>
      <c r="C404" s="9"/>
    </row>
    <row r="405" spans="1:3" x14ac:dyDescent="0.3">
      <c r="A405" s="9"/>
      <c r="B405" s="9"/>
      <c r="C405" s="9"/>
    </row>
    <row r="406" spans="1:3" x14ac:dyDescent="0.3">
      <c r="A406" s="9"/>
      <c r="B406" s="9"/>
      <c r="C406" s="9"/>
    </row>
    <row r="407" spans="1:3" x14ac:dyDescent="0.3">
      <c r="A407" s="9"/>
      <c r="B407" s="9"/>
      <c r="C407" s="9"/>
    </row>
    <row r="408" spans="1:3" x14ac:dyDescent="0.3">
      <c r="A408" s="9"/>
      <c r="B408" s="9"/>
      <c r="C408" s="9"/>
    </row>
    <row r="409" spans="1:3" x14ac:dyDescent="0.3">
      <c r="A409" s="9"/>
      <c r="B409" s="9"/>
      <c r="C409" s="9"/>
    </row>
    <row r="410" spans="1:3" x14ac:dyDescent="0.3">
      <c r="A410" s="9"/>
      <c r="B410" s="9"/>
      <c r="C410" s="9"/>
    </row>
    <row r="411" spans="1:3" x14ac:dyDescent="0.3">
      <c r="A411" s="9"/>
      <c r="B411" s="9"/>
      <c r="C411" s="9"/>
    </row>
    <row r="412" spans="1:3" x14ac:dyDescent="0.3">
      <c r="A412" s="9"/>
      <c r="B412" s="9"/>
      <c r="C412" s="9"/>
    </row>
    <row r="413" spans="1:3" x14ac:dyDescent="0.3">
      <c r="A413" s="9"/>
      <c r="B413" s="9"/>
      <c r="C413" s="9"/>
    </row>
    <row r="414" spans="1:3" x14ac:dyDescent="0.3">
      <c r="A414" s="9"/>
      <c r="B414" s="9"/>
      <c r="C414" s="9"/>
    </row>
    <row r="415" spans="1:3" x14ac:dyDescent="0.3">
      <c r="A415" s="9"/>
      <c r="B415" s="9"/>
      <c r="C415" s="9"/>
    </row>
    <row r="416" spans="1:3" x14ac:dyDescent="0.3">
      <c r="A416" s="9"/>
      <c r="B416" s="9"/>
      <c r="C416" s="9"/>
    </row>
    <row r="417" spans="1:3" x14ac:dyDescent="0.3">
      <c r="A417" s="9"/>
      <c r="B417" s="9"/>
      <c r="C417" s="9"/>
    </row>
    <row r="418" spans="1:3" x14ac:dyDescent="0.3">
      <c r="A418" s="9"/>
      <c r="B418" s="9"/>
      <c r="C418" s="9"/>
    </row>
    <row r="419" spans="1:3" x14ac:dyDescent="0.3">
      <c r="A419" s="9"/>
      <c r="B419" s="9"/>
      <c r="C419" s="9"/>
    </row>
    <row r="420" spans="1:3" x14ac:dyDescent="0.3">
      <c r="A420" s="9"/>
      <c r="B420" s="9"/>
      <c r="C420" s="9"/>
    </row>
    <row r="421" spans="1:3" x14ac:dyDescent="0.3">
      <c r="A421" s="9"/>
      <c r="B421" s="9"/>
      <c r="C421" s="9"/>
    </row>
    <row r="422" spans="1:3" x14ac:dyDescent="0.3">
      <c r="A422" s="9"/>
      <c r="B422" s="9"/>
      <c r="C422" s="9"/>
    </row>
    <row r="423" spans="1:3" x14ac:dyDescent="0.3">
      <c r="A423" s="9"/>
      <c r="B423" s="9"/>
      <c r="C423" s="9"/>
    </row>
    <row r="424" spans="1:3" x14ac:dyDescent="0.3">
      <c r="A424" s="9"/>
      <c r="B424" s="9"/>
      <c r="C424" s="9"/>
    </row>
    <row r="425" spans="1:3" x14ac:dyDescent="0.3">
      <c r="A425" s="9"/>
      <c r="B425" s="9"/>
      <c r="C425" s="9"/>
    </row>
    <row r="426" spans="1:3" x14ac:dyDescent="0.3">
      <c r="A426" s="9"/>
      <c r="B426" s="9"/>
      <c r="C426" s="9"/>
    </row>
    <row r="427" spans="1:3" x14ac:dyDescent="0.3">
      <c r="A427" s="9"/>
      <c r="B427" s="9"/>
      <c r="C427" s="9"/>
    </row>
    <row r="428" spans="1:3" x14ac:dyDescent="0.3">
      <c r="A428" s="9"/>
      <c r="B428" s="9"/>
      <c r="C428" s="9"/>
    </row>
    <row r="429" spans="1:3" x14ac:dyDescent="0.3">
      <c r="A429" s="9"/>
      <c r="B429" s="9"/>
      <c r="C429" s="9"/>
    </row>
    <row r="430" spans="1:3" x14ac:dyDescent="0.3">
      <c r="A430" s="9"/>
      <c r="B430" s="9"/>
      <c r="C430" s="9"/>
    </row>
    <row r="431" spans="1:3" x14ac:dyDescent="0.3">
      <c r="A431" s="9"/>
      <c r="B431" s="9"/>
      <c r="C431" s="9"/>
    </row>
    <row r="432" spans="1:3" x14ac:dyDescent="0.3">
      <c r="A432" s="9"/>
      <c r="B432" s="9"/>
      <c r="C432" s="9"/>
    </row>
    <row r="433" spans="1:3" x14ac:dyDescent="0.3">
      <c r="A433" s="9"/>
      <c r="B433" s="9"/>
      <c r="C433" s="9"/>
    </row>
    <row r="434" spans="1:3" x14ac:dyDescent="0.3">
      <c r="A434" s="9"/>
      <c r="B434" s="9"/>
      <c r="C434" s="9"/>
    </row>
    <row r="435" spans="1:3" x14ac:dyDescent="0.3">
      <c r="A435" s="9"/>
      <c r="B435" s="9"/>
      <c r="C435" s="9"/>
    </row>
    <row r="436" spans="1:3" x14ac:dyDescent="0.3">
      <c r="A436" s="9"/>
      <c r="B436" s="9"/>
      <c r="C436" s="9"/>
    </row>
    <row r="437" spans="1:3" x14ac:dyDescent="0.3">
      <c r="A437" s="9"/>
      <c r="B437" s="9"/>
      <c r="C437" s="9"/>
    </row>
    <row r="438" spans="1:3" x14ac:dyDescent="0.3">
      <c r="A438" s="9"/>
      <c r="B438" s="9"/>
      <c r="C438" s="9"/>
    </row>
    <row r="439" spans="1:3" x14ac:dyDescent="0.3">
      <c r="A439" s="9"/>
      <c r="B439" s="9"/>
      <c r="C439" s="9"/>
    </row>
    <row r="440" spans="1:3" x14ac:dyDescent="0.3">
      <c r="A440" s="9"/>
      <c r="B440" s="9"/>
      <c r="C440" s="9"/>
    </row>
    <row r="441" spans="1:3" x14ac:dyDescent="0.3">
      <c r="A441" s="9"/>
      <c r="B441" s="9"/>
      <c r="C441" s="9"/>
    </row>
    <row r="442" spans="1:3" x14ac:dyDescent="0.3">
      <c r="A442" s="9"/>
      <c r="B442" s="9"/>
      <c r="C442" s="9"/>
    </row>
    <row r="443" spans="1:3" x14ac:dyDescent="0.3">
      <c r="A443" s="9"/>
      <c r="B443" s="9"/>
      <c r="C443" s="9"/>
    </row>
    <row r="444" spans="1:3" x14ac:dyDescent="0.3">
      <c r="A444" s="9"/>
      <c r="B444" s="9"/>
      <c r="C444" s="9"/>
    </row>
    <row r="445" spans="1:3" x14ac:dyDescent="0.3">
      <c r="A445" s="9"/>
      <c r="B445" s="9"/>
      <c r="C445" s="9"/>
    </row>
    <row r="446" spans="1:3" x14ac:dyDescent="0.3">
      <c r="A446" s="9"/>
      <c r="B446" s="9"/>
      <c r="C446" s="9"/>
    </row>
    <row r="447" spans="1:3" x14ac:dyDescent="0.3">
      <c r="A447" s="9"/>
      <c r="B447" s="9"/>
      <c r="C447" s="9"/>
    </row>
    <row r="448" spans="1:3" x14ac:dyDescent="0.3">
      <c r="A448" s="9"/>
      <c r="B448" s="9"/>
      <c r="C448" s="9"/>
    </row>
    <row r="449" spans="1:3" x14ac:dyDescent="0.3">
      <c r="A449" s="9"/>
      <c r="B449" s="9"/>
      <c r="C449" s="9"/>
    </row>
    <row r="450" spans="1:3" x14ac:dyDescent="0.3">
      <c r="A450" s="9"/>
      <c r="B450" s="9"/>
      <c r="C450" s="9"/>
    </row>
    <row r="451" spans="1:3" x14ac:dyDescent="0.3">
      <c r="A451" s="9"/>
      <c r="B451" s="9"/>
      <c r="C451" s="9"/>
    </row>
    <row r="452" spans="1:3" x14ac:dyDescent="0.3">
      <c r="A452" s="9"/>
      <c r="B452" s="9"/>
      <c r="C452" s="9"/>
    </row>
    <row r="453" spans="1:3" x14ac:dyDescent="0.3">
      <c r="A453" s="9"/>
      <c r="B453" s="9"/>
      <c r="C453" s="9"/>
    </row>
    <row r="454" spans="1:3" x14ac:dyDescent="0.3">
      <c r="A454" s="9"/>
      <c r="B454" s="9"/>
      <c r="C454" s="9"/>
    </row>
    <row r="455" spans="1:3" x14ac:dyDescent="0.3">
      <c r="A455" s="9"/>
      <c r="B455" s="9"/>
      <c r="C455" s="9"/>
    </row>
    <row r="456" spans="1:3" x14ac:dyDescent="0.3">
      <c r="A456" s="9"/>
      <c r="B456" s="9"/>
      <c r="C456" s="9"/>
    </row>
    <row r="457" spans="1:3" x14ac:dyDescent="0.3">
      <c r="A457" s="9"/>
      <c r="B457" s="9"/>
      <c r="C457" s="9"/>
    </row>
    <row r="458" spans="1:3" x14ac:dyDescent="0.3">
      <c r="A458" s="9"/>
      <c r="B458" s="9"/>
      <c r="C458" s="9"/>
    </row>
    <row r="459" spans="1:3" x14ac:dyDescent="0.3">
      <c r="A459" s="9"/>
      <c r="B459" s="9"/>
      <c r="C459" s="9"/>
    </row>
    <row r="460" spans="1:3" x14ac:dyDescent="0.3">
      <c r="A460" s="9"/>
      <c r="B460" s="9"/>
      <c r="C460" s="9"/>
    </row>
    <row r="461" spans="1:3" x14ac:dyDescent="0.3">
      <c r="A461" s="9"/>
      <c r="B461" s="9"/>
      <c r="C461" s="9"/>
    </row>
    <row r="462" spans="1:3" x14ac:dyDescent="0.3">
      <c r="A462" s="9"/>
      <c r="B462" s="9"/>
      <c r="C462" s="9"/>
    </row>
    <row r="463" spans="1:3" x14ac:dyDescent="0.3">
      <c r="A463" s="9"/>
      <c r="B463" s="9"/>
      <c r="C463" s="9"/>
    </row>
    <row r="464" spans="1:3" x14ac:dyDescent="0.3">
      <c r="A464" s="9"/>
      <c r="B464" s="9"/>
      <c r="C464" s="9"/>
    </row>
    <row r="465" spans="1:3" x14ac:dyDescent="0.3">
      <c r="A465" s="9"/>
      <c r="B465" s="9"/>
      <c r="C465" s="9"/>
    </row>
    <row r="466" spans="1:3" x14ac:dyDescent="0.3">
      <c r="A466" s="9"/>
      <c r="B466" s="9"/>
      <c r="C466" s="9"/>
    </row>
    <row r="467" spans="1:3" x14ac:dyDescent="0.3">
      <c r="A467" s="9"/>
      <c r="B467" s="9"/>
      <c r="C467" s="9"/>
    </row>
    <row r="468" spans="1:3" x14ac:dyDescent="0.3">
      <c r="A468" s="9"/>
      <c r="B468" s="9"/>
      <c r="C468" s="9"/>
    </row>
    <row r="469" spans="1:3" x14ac:dyDescent="0.3">
      <c r="A469" s="9"/>
      <c r="B469" s="9"/>
      <c r="C469" s="9"/>
    </row>
    <row r="470" spans="1:3" x14ac:dyDescent="0.3">
      <c r="A470" s="9"/>
      <c r="B470" s="9"/>
      <c r="C470" s="9"/>
    </row>
    <row r="471" spans="1:3" x14ac:dyDescent="0.3">
      <c r="A471" s="9"/>
      <c r="B471" s="9"/>
      <c r="C471" s="9"/>
    </row>
    <row r="472" spans="1:3" x14ac:dyDescent="0.3">
      <c r="A472" s="9"/>
      <c r="B472" s="9"/>
      <c r="C472" s="9"/>
    </row>
    <row r="473" spans="1:3" x14ac:dyDescent="0.3">
      <c r="A473" s="9"/>
      <c r="B473" s="9"/>
      <c r="C473" s="9"/>
    </row>
    <row r="474" spans="1:3" x14ac:dyDescent="0.3">
      <c r="A474" s="9"/>
      <c r="B474" s="9"/>
      <c r="C474" s="9"/>
    </row>
    <row r="475" spans="1:3" x14ac:dyDescent="0.3">
      <c r="A475" s="9"/>
      <c r="B475" s="9"/>
      <c r="C475" s="9"/>
    </row>
    <row r="476" spans="1:3" x14ac:dyDescent="0.3">
      <c r="A476" s="9"/>
      <c r="B476" s="9"/>
      <c r="C476" s="9"/>
    </row>
    <row r="477" spans="1:3" x14ac:dyDescent="0.3">
      <c r="A477" s="9"/>
      <c r="B477" s="9"/>
      <c r="C477" s="9"/>
    </row>
    <row r="478" spans="1:3" x14ac:dyDescent="0.3">
      <c r="A478" s="9"/>
      <c r="B478" s="9"/>
      <c r="C478" s="9"/>
    </row>
    <row r="479" spans="1:3" x14ac:dyDescent="0.3">
      <c r="A479" s="9"/>
      <c r="B479" s="9"/>
      <c r="C479" s="9"/>
    </row>
    <row r="480" spans="1:3" x14ac:dyDescent="0.3">
      <c r="A480" s="9"/>
      <c r="B480" s="9"/>
      <c r="C480" s="9"/>
    </row>
    <row r="481" spans="1:3" x14ac:dyDescent="0.3">
      <c r="A481" s="9"/>
      <c r="B481" s="9"/>
      <c r="C481" s="9"/>
    </row>
    <row r="482" spans="1:3" x14ac:dyDescent="0.3">
      <c r="A482" s="9"/>
      <c r="B482" s="9"/>
      <c r="C482" s="9"/>
    </row>
    <row r="483" spans="1:3" x14ac:dyDescent="0.3">
      <c r="A483" s="9"/>
      <c r="B483" s="9"/>
      <c r="C483" s="9"/>
    </row>
    <row r="484" spans="1:3" x14ac:dyDescent="0.3">
      <c r="A484" s="9"/>
      <c r="B484" s="9"/>
      <c r="C484" s="9"/>
    </row>
    <row r="485" spans="1:3" x14ac:dyDescent="0.3">
      <c r="A485" s="9"/>
      <c r="B485" s="9"/>
      <c r="C485" s="9"/>
    </row>
    <row r="486" spans="1:3" x14ac:dyDescent="0.3">
      <c r="A486" s="9"/>
      <c r="B486" s="9"/>
      <c r="C486" s="9"/>
    </row>
    <row r="487" spans="1:3" x14ac:dyDescent="0.3">
      <c r="A487" s="9"/>
      <c r="B487" s="9"/>
      <c r="C487" s="9"/>
    </row>
    <row r="488" spans="1:3" x14ac:dyDescent="0.3">
      <c r="A488" s="9"/>
      <c r="B488" s="9"/>
      <c r="C488" s="9"/>
    </row>
    <row r="489" spans="1:3" x14ac:dyDescent="0.3">
      <c r="A489" s="9"/>
      <c r="B489" s="9"/>
      <c r="C489" s="9"/>
    </row>
    <row r="490" spans="1:3" x14ac:dyDescent="0.3">
      <c r="A490" s="9"/>
      <c r="B490" s="9"/>
      <c r="C490" s="9"/>
    </row>
    <row r="491" spans="1:3" x14ac:dyDescent="0.3">
      <c r="A491" s="9"/>
      <c r="B491" s="9"/>
      <c r="C491" s="9"/>
    </row>
    <row r="492" spans="1:3" x14ac:dyDescent="0.3">
      <c r="A492" s="9"/>
      <c r="B492" s="9"/>
      <c r="C492" s="9"/>
    </row>
    <row r="493" spans="1:3" x14ac:dyDescent="0.3">
      <c r="A493" s="9"/>
      <c r="B493" s="9"/>
      <c r="C493" s="9"/>
    </row>
    <row r="494" spans="1:3" x14ac:dyDescent="0.3">
      <c r="A494" s="9"/>
      <c r="B494" s="9"/>
      <c r="C494" s="9"/>
    </row>
    <row r="495" spans="1:3" x14ac:dyDescent="0.3">
      <c r="A495" s="9"/>
      <c r="B495" s="9"/>
      <c r="C495" s="9"/>
    </row>
    <row r="496" spans="1:3" x14ac:dyDescent="0.3">
      <c r="A496" s="9"/>
      <c r="B496" s="9"/>
      <c r="C496" s="9"/>
    </row>
    <row r="497" spans="1:3" x14ac:dyDescent="0.3">
      <c r="A497" s="9"/>
      <c r="B497" s="9"/>
      <c r="C497" s="9"/>
    </row>
    <row r="498" spans="1:3" x14ac:dyDescent="0.3">
      <c r="A498" s="9"/>
      <c r="B498" s="9"/>
      <c r="C498" s="9"/>
    </row>
    <row r="499" spans="1:3" x14ac:dyDescent="0.3">
      <c r="A499" s="9"/>
      <c r="B499" s="9"/>
      <c r="C499" s="9"/>
    </row>
    <row r="500" spans="1:3" x14ac:dyDescent="0.3">
      <c r="A500" s="9"/>
      <c r="B500" s="9"/>
      <c r="C500" s="9"/>
    </row>
    <row r="501" spans="1:3" x14ac:dyDescent="0.3">
      <c r="A501" s="9"/>
      <c r="B501" s="9"/>
      <c r="C501" s="9"/>
    </row>
    <row r="502" spans="1:3" x14ac:dyDescent="0.3">
      <c r="A502" s="9"/>
      <c r="B502" s="9"/>
      <c r="C502" s="9"/>
    </row>
    <row r="503" spans="1:3" x14ac:dyDescent="0.3">
      <c r="A503" s="9"/>
      <c r="B503" s="9"/>
      <c r="C503" s="9"/>
    </row>
    <row r="504" spans="1:3" x14ac:dyDescent="0.3">
      <c r="A504" s="9"/>
      <c r="B504" s="9"/>
      <c r="C504" s="9"/>
    </row>
    <row r="505" spans="1:3" x14ac:dyDescent="0.3">
      <c r="A505" s="9"/>
      <c r="B505" s="9"/>
      <c r="C505" s="9"/>
    </row>
    <row r="506" spans="1:3" x14ac:dyDescent="0.3">
      <c r="A506" s="9"/>
      <c r="B506" s="9"/>
      <c r="C506" s="9"/>
    </row>
    <row r="507" spans="1:3" x14ac:dyDescent="0.3">
      <c r="A507" s="9"/>
      <c r="B507" s="9"/>
      <c r="C507" s="9"/>
    </row>
    <row r="508" spans="1:3" x14ac:dyDescent="0.3">
      <c r="A508" s="9"/>
      <c r="B508" s="9"/>
      <c r="C508" s="9"/>
    </row>
    <row r="509" spans="1:3" x14ac:dyDescent="0.3">
      <c r="A509" s="9"/>
      <c r="B509" s="9"/>
      <c r="C509" s="9"/>
    </row>
    <row r="510" spans="1:3" x14ac:dyDescent="0.3">
      <c r="A510" s="9"/>
      <c r="B510" s="9"/>
      <c r="C510" s="9"/>
    </row>
    <row r="511" spans="1:3" x14ac:dyDescent="0.3">
      <c r="A511" s="9"/>
      <c r="B511" s="9"/>
      <c r="C511" s="9"/>
    </row>
    <row r="512" spans="1:3" x14ac:dyDescent="0.3">
      <c r="A512" s="9"/>
      <c r="B512" s="9"/>
      <c r="C512" s="9"/>
    </row>
    <row r="513" spans="1:3" x14ac:dyDescent="0.3">
      <c r="A513" s="9"/>
      <c r="B513" s="9"/>
      <c r="C513" s="9"/>
    </row>
    <row r="514" spans="1:3" x14ac:dyDescent="0.3">
      <c r="A514" s="9"/>
      <c r="B514" s="9"/>
      <c r="C514" s="9"/>
    </row>
    <row r="515" spans="1:3" x14ac:dyDescent="0.3">
      <c r="A515" s="9"/>
      <c r="B515" s="9"/>
      <c r="C515" s="9"/>
    </row>
    <row r="516" spans="1:3" x14ac:dyDescent="0.3">
      <c r="A516" s="9"/>
      <c r="B516" s="9"/>
      <c r="C516" s="9"/>
    </row>
    <row r="517" spans="1:3" x14ac:dyDescent="0.3">
      <c r="A517" s="9"/>
      <c r="B517" s="9"/>
      <c r="C517" s="9"/>
    </row>
    <row r="518" spans="1:3" x14ac:dyDescent="0.3">
      <c r="A518" s="9"/>
      <c r="B518" s="9"/>
      <c r="C518" s="9"/>
    </row>
    <row r="519" spans="1:3" x14ac:dyDescent="0.3">
      <c r="A519" s="9"/>
      <c r="B519" s="9"/>
      <c r="C519" s="9"/>
    </row>
    <row r="520" spans="1:3" x14ac:dyDescent="0.3">
      <c r="A520" s="9"/>
      <c r="B520" s="9"/>
      <c r="C520" s="9"/>
    </row>
    <row r="521" spans="1:3" x14ac:dyDescent="0.3">
      <c r="A521" s="9"/>
      <c r="B521" s="9"/>
      <c r="C521" s="9"/>
    </row>
    <row r="522" spans="1:3" x14ac:dyDescent="0.3">
      <c r="A522" s="9"/>
      <c r="B522" s="9"/>
      <c r="C522" s="9"/>
    </row>
    <row r="523" spans="1:3" x14ac:dyDescent="0.3">
      <c r="A523" s="9"/>
      <c r="B523" s="9"/>
      <c r="C523" s="9"/>
    </row>
    <row r="524" spans="1:3" x14ac:dyDescent="0.3">
      <c r="A524" s="9"/>
      <c r="B524" s="9"/>
      <c r="C524" s="9"/>
    </row>
    <row r="525" spans="1:3" x14ac:dyDescent="0.3">
      <c r="A525" s="9"/>
      <c r="B525" s="9"/>
      <c r="C525" s="9"/>
    </row>
    <row r="526" spans="1:3" x14ac:dyDescent="0.3">
      <c r="A526" s="9"/>
      <c r="B526" s="9"/>
      <c r="C526" s="9"/>
    </row>
    <row r="527" spans="1:3" x14ac:dyDescent="0.3">
      <c r="A527" s="9"/>
      <c r="B527" s="9"/>
      <c r="C527" s="9"/>
    </row>
    <row r="528" spans="1:3" x14ac:dyDescent="0.3">
      <c r="A528" s="9"/>
      <c r="B528" s="9"/>
      <c r="C528" s="9"/>
    </row>
    <row r="529" spans="1:3" x14ac:dyDescent="0.3">
      <c r="A529" s="9"/>
      <c r="B529" s="9"/>
      <c r="C529" s="9"/>
    </row>
    <row r="530" spans="1:3" x14ac:dyDescent="0.3">
      <c r="A530" s="9"/>
      <c r="B530" s="9"/>
      <c r="C530" s="9"/>
    </row>
    <row r="531" spans="1:3" x14ac:dyDescent="0.3">
      <c r="A531" s="9"/>
      <c r="B531" s="9"/>
      <c r="C531" s="9"/>
    </row>
    <row r="532" spans="1:3" x14ac:dyDescent="0.3">
      <c r="A532" s="9"/>
      <c r="B532" s="9"/>
      <c r="C532" s="9"/>
    </row>
    <row r="533" spans="1:3" x14ac:dyDescent="0.3">
      <c r="A533" s="9"/>
      <c r="B533" s="9"/>
      <c r="C533" s="9"/>
    </row>
    <row r="534" spans="1:3" x14ac:dyDescent="0.3">
      <c r="A534" s="9"/>
      <c r="B534" s="9"/>
      <c r="C534" s="9"/>
    </row>
    <row r="535" spans="1:3" x14ac:dyDescent="0.3">
      <c r="A535" s="9"/>
      <c r="B535" s="9"/>
      <c r="C535" s="9"/>
    </row>
    <row r="536" spans="1:3" x14ac:dyDescent="0.3">
      <c r="A536" s="9"/>
      <c r="B536" s="9"/>
      <c r="C536" s="9"/>
    </row>
    <row r="537" spans="1:3" x14ac:dyDescent="0.3">
      <c r="A537" s="9"/>
      <c r="B537" s="9"/>
      <c r="C537" s="9"/>
    </row>
    <row r="538" spans="1:3" x14ac:dyDescent="0.3">
      <c r="A538" s="9"/>
      <c r="B538" s="9"/>
      <c r="C538" s="9"/>
    </row>
    <row r="539" spans="1:3" x14ac:dyDescent="0.3">
      <c r="A539" s="9"/>
      <c r="B539" s="9"/>
      <c r="C539" s="9"/>
    </row>
    <row r="540" spans="1:3" x14ac:dyDescent="0.3">
      <c r="A540" s="9"/>
      <c r="B540" s="9"/>
      <c r="C540" s="9"/>
    </row>
    <row r="541" spans="1:3" x14ac:dyDescent="0.3">
      <c r="A541" s="9"/>
      <c r="B541" s="9"/>
      <c r="C541" s="9"/>
    </row>
    <row r="542" spans="1:3" x14ac:dyDescent="0.3">
      <c r="A542" s="9"/>
      <c r="B542" s="9"/>
      <c r="C542" s="9"/>
    </row>
    <row r="543" spans="1:3" x14ac:dyDescent="0.3">
      <c r="A543" s="9"/>
      <c r="B543" s="9"/>
      <c r="C543" s="9"/>
    </row>
    <row r="544" spans="1:3" x14ac:dyDescent="0.3">
      <c r="A544" s="9"/>
      <c r="B544" s="9"/>
      <c r="C544" s="9"/>
    </row>
    <row r="545" spans="1:3" x14ac:dyDescent="0.3">
      <c r="A545" s="9"/>
      <c r="B545" s="9"/>
      <c r="C545" s="9"/>
    </row>
    <row r="546" spans="1:3" x14ac:dyDescent="0.3">
      <c r="A546" s="9"/>
      <c r="B546" s="9"/>
      <c r="C546" s="9"/>
    </row>
    <row r="547" spans="1:3" x14ac:dyDescent="0.3">
      <c r="A547" s="9"/>
      <c r="B547" s="9"/>
      <c r="C547" s="9"/>
    </row>
    <row r="548" spans="1:3" x14ac:dyDescent="0.3">
      <c r="A548" s="9"/>
      <c r="B548" s="9"/>
      <c r="C548" s="9"/>
    </row>
    <row r="549" spans="1:3" x14ac:dyDescent="0.3">
      <c r="A549" s="9"/>
      <c r="B549" s="9"/>
      <c r="C549" s="9"/>
    </row>
    <row r="550" spans="1:3" x14ac:dyDescent="0.3">
      <c r="A550" s="9"/>
      <c r="B550" s="9"/>
      <c r="C550" s="9"/>
    </row>
    <row r="551" spans="1:3" x14ac:dyDescent="0.3">
      <c r="A551" s="9"/>
      <c r="B551" s="9"/>
      <c r="C551" s="9"/>
    </row>
    <row r="552" spans="1:3" x14ac:dyDescent="0.3">
      <c r="A552" s="9"/>
      <c r="B552" s="9"/>
      <c r="C552" s="9"/>
    </row>
    <row r="553" spans="1:3" x14ac:dyDescent="0.3">
      <c r="A553" s="9"/>
      <c r="B553" s="9"/>
      <c r="C553" s="9"/>
    </row>
    <row r="554" spans="1:3" x14ac:dyDescent="0.3">
      <c r="A554" s="9"/>
      <c r="B554" s="9"/>
      <c r="C554" s="9"/>
    </row>
    <row r="555" spans="1:3" x14ac:dyDescent="0.3">
      <c r="A555" s="9"/>
      <c r="B555" s="9"/>
      <c r="C555" s="9"/>
    </row>
    <row r="556" spans="1:3" x14ac:dyDescent="0.3">
      <c r="A556" s="9"/>
      <c r="B556" s="9"/>
      <c r="C556" s="9"/>
    </row>
    <row r="557" spans="1:3" x14ac:dyDescent="0.3">
      <c r="A557" s="9"/>
      <c r="B557" s="9"/>
      <c r="C557" s="9"/>
    </row>
    <row r="558" spans="1:3" x14ac:dyDescent="0.3">
      <c r="A558" s="9"/>
      <c r="B558" s="9"/>
      <c r="C558" s="9"/>
    </row>
    <row r="559" spans="1:3" x14ac:dyDescent="0.3">
      <c r="A559" s="9"/>
      <c r="B559" s="9"/>
      <c r="C559" s="9"/>
    </row>
    <row r="560" spans="1:3" x14ac:dyDescent="0.3">
      <c r="A560" s="9"/>
      <c r="B560" s="9"/>
      <c r="C560" s="9"/>
    </row>
    <row r="561" spans="1:3" x14ac:dyDescent="0.3">
      <c r="A561" s="9"/>
      <c r="B561" s="9"/>
      <c r="C561" s="9"/>
    </row>
    <row r="562" spans="1:3" x14ac:dyDescent="0.3">
      <c r="A562" s="9"/>
      <c r="B562" s="9"/>
      <c r="C562" s="9"/>
    </row>
    <row r="563" spans="1:3" x14ac:dyDescent="0.3">
      <c r="A563" s="9"/>
      <c r="B563" s="9"/>
      <c r="C563" s="9"/>
    </row>
    <row r="564" spans="1:3" x14ac:dyDescent="0.3">
      <c r="A564" s="9"/>
      <c r="B564" s="9"/>
      <c r="C564" s="9"/>
    </row>
    <row r="565" spans="1:3" x14ac:dyDescent="0.3">
      <c r="A565" s="9"/>
      <c r="B565" s="9"/>
      <c r="C565" s="9"/>
    </row>
    <row r="566" spans="1:3" x14ac:dyDescent="0.3">
      <c r="A566" s="9"/>
      <c r="B566" s="9"/>
      <c r="C566" s="9"/>
    </row>
    <row r="567" spans="1:3" x14ac:dyDescent="0.3">
      <c r="A567" s="9"/>
      <c r="B567" s="9"/>
      <c r="C567" s="9"/>
    </row>
    <row r="568" spans="1:3" x14ac:dyDescent="0.3">
      <c r="A568" s="9"/>
      <c r="B568" s="9"/>
      <c r="C568" s="9"/>
    </row>
    <row r="569" spans="1:3" x14ac:dyDescent="0.3">
      <c r="A569" s="9"/>
      <c r="B569" s="9"/>
      <c r="C569" s="9"/>
    </row>
    <row r="570" spans="1:3" x14ac:dyDescent="0.3">
      <c r="A570" s="9"/>
      <c r="B570" s="9"/>
      <c r="C570" s="9"/>
    </row>
    <row r="571" spans="1:3" x14ac:dyDescent="0.3">
      <c r="A571" s="9"/>
      <c r="B571" s="9"/>
      <c r="C571" s="9"/>
    </row>
    <row r="572" spans="1:3" x14ac:dyDescent="0.3">
      <c r="A572" s="9"/>
      <c r="B572" s="9"/>
      <c r="C572" s="9"/>
    </row>
    <row r="573" spans="1:3" x14ac:dyDescent="0.3">
      <c r="A573" s="9"/>
      <c r="B573" s="9"/>
      <c r="C573" s="9"/>
    </row>
    <row r="574" spans="1:3" x14ac:dyDescent="0.3">
      <c r="A574" s="9"/>
      <c r="B574" s="9"/>
      <c r="C574" s="9"/>
    </row>
    <row r="575" spans="1:3" x14ac:dyDescent="0.3">
      <c r="A575" s="9"/>
      <c r="B575" s="9"/>
      <c r="C575" s="9"/>
    </row>
    <row r="576" spans="1:3" x14ac:dyDescent="0.3">
      <c r="A576" s="9"/>
      <c r="B576" s="9"/>
      <c r="C576" s="9"/>
    </row>
    <row r="577" spans="1:3" x14ac:dyDescent="0.3">
      <c r="A577" s="9"/>
      <c r="B577" s="9"/>
      <c r="C577" s="9"/>
    </row>
    <row r="578" spans="1:3" x14ac:dyDescent="0.3">
      <c r="A578" s="9"/>
      <c r="B578" s="9"/>
      <c r="C578" s="9"/>
    </row>
    <row r="579" spans="1:3" x14ac:dyDescent="0.3">
      <c r="A579" s="9"/>
      <c r="B579" s="9"/>
      <c r="C579" s="9"/>
    </row>
    <row r="580" spans="1:3" x14ac:dyDescent="0.3">
      <c r="A580" s="9"/>
      <c r="B580" s="9"/>
      <c r="C580" s="9"/>
    </row>
    <row r="581" spans="1:3" x14ac:dyDescent="0.3">
      <c r="A581" s="9"/>
      <c r="B581" s="9"/>
      <c r="C581" s="9"/>
    </row>
    <row r="582" spans="1:3" x14ac:dyDescent="0.3">
      <c r="A582" s="9"/>
      <c r="B582" s="9"/>
      <c r="C582" s="9"/>
    </row>
    <row r="583" spans="1:3" x14ac:dyDescent="0.3">
      <c r="A583" s="9"/>
      <c r="B583" s="9"/>
      <c r="C583" s="9"/>
    </row>
    <row r="584" spans="1:3" x14ac:dyDescent="0.3">
      <c r="A584" s="9"/>
      <c r="B584" s="9"/>
      <c r="C584" s="9"/>
    </row>
    <row r="585" spans="1:3" x14ac:dyDescent="0.3">
      <c r="A585" s="9"/>
      <c r="B585" s="9"/>
      <c r="C585" s="9"/>
    </row>
    <row r="586" spans="1:3" x14ac:dyDescent="0.3">
      <c r="A586" s="9"/>
      <c r="B586" s="9"/>
      <c r="C586" s="9"/>
    </row>
    <row r="587" spans="1:3" x14ac:dyDescent="0.3">
      <c r="A587" s="9"/>
      <c r="B587" s="9"/>
      <c r="C587" s="9"/>
    </row>
    <row r="588" spans="1:3" x14ac:dyDescent="0.3">
      <c r="A588" s="9"/>
      <c r="B588" s="9"/>
      <c r="C588" s="9"/>
    </row>
    <row r="589" spans="1:3" x14ac:dyDescent="0.3">
      <c r="A589" s="9"/>
      <c r="B589" s="9"/>
      <c r="C589" s="9"/>
    </row>
    <row r="590" spans="1:3" x14ac:dyDescent="0.3">
      <c r="A590" s="9"/>
      <c r="B590" s="9"/>
      <c r="C590" s="9"/>
    </row>
    <row r="591" spans="1:3" x14ac:dyDescent="0.3">
      <c r="A591" s="9"/>
      <c r="B591" s="9"/>
      <c r="C591" s="9"/>
    </row>
    <row r="592" spans="1:3" x14ac:dyDescent="0.3">
      <c r="A592" s="9"/>
      <c r="B592" s="9"/>
      <c r="C592" s="9"/>
    </row>
    <row r="593" spans="1:3" x14ac:dyDescent="0.3">
      <c r="A593" s="9"/>
      <c r="B593" s="9"/>
      <c r="C593" s="9"/>
    </row>
    <row r="594" spans="1:3" x14ac:dyDescent="0.3">
      <c r="A594" s="9"/>
      <c r="B594" s="9"/>
      <c r="C594" s="9"/>
    </row>
    <row r="595" spans="1:3" x14ac:dyDescent="0.3">
      <c r="A595" s="9"/>
      <c r="B595" s="9"/>
      <c r="C595" s="9"/>
    </row>
    <row r="596" spans="1:3" x14ac:dyDescent="0.3">
      <c r="A596" s="9"/>
      <c r="B596" s="9"/>
      <c r="C596" s="9"/>
    </row>
    <row r="597" spans="1:3" x14ac:dyDescent="0.3">
      <c r="A597" s="9"/>
      <c r="B597" s="9"/>
      <c r="C597" s="9"/>
    </row>
    <row r="598" spans="1:3" x14ac:dyDescent="0.3">
      <c r="A598" s="9"/>
      <c r="B598" s="9"/>
      <c r="C598" s="9"/>
    </row>
    <row r="599" spans="1:3" x14ac:dyDescent="0.3">
      <c r="A599" s="9"/>
      <c r="B599" s="9"/>
      <c r="C599" s="9"/>
    </row>
    <row r="600" spans="1:3" x14ac:dyDescent="0.3">
      <c r="A600" s="9"/>
      <c r="B600" s="9"/>
      <c r="C600" s="9"/>
    </row>
    <row r="601" spans="1:3" x14ac:dyDescent="0.3">
      <c r="A601" s="9"/>
      <c r="B601" s="9"/>
      <c r="C601" s="9"/>
    </row>
    <row r="602" spans="1:3" x14ac:dyDescent="0.3">
      <c r="A602" s="9"/>
      <c r="B602" s="9"/>
      <c r="C602" s="9"/>
    </row>
    <row r="603" spans="1:3" x14ac:dyDescent="0.3">
      <c r="A603" s="9"/>
      <c r="B603" s="9"/>
      <c r="C603" s="9"/>
    </row>
    <row r="604" spans="1:3" x14ac:dyDescent="0.3">
      <c r="A604" s="9"/>
      <c r="B604" s="9"/>
      <c r="C604" s="9"/>
    </row>
    <row r="605" spans="1:3" x14ac:dyDescent="0.3">
      <c r="A605" s="9"/>
      <c r="B605" s="9"/>
      <c r="C605" s="9"/>
    </row>
    <row r="606" spans="1:3" x14ac:dyDescent="0.3">
      <c r="A606" s="9"/>
      <c r="B606" s="9"/>
      <c r="C606" s="9"/>
    </row>
    <row r="607" spans="1:3" x14ac:dyDescent="0.3">
      <c r="A607" s="9"/>
      <c r="B607" s="9"/>
      <c r="C607" s="9"/>
    </row>
    <row r="608" spans="1:3" x14ac:dyDescent="0.3">
      <c r="A608" s="9"/>
      <c r="B608" s="9"/>
      <c r="C608" s="9"/>
    </row>
    <row r="609" spans="1:3" x14ac:dyDescent="0.3">
      <c r="A609" s="9"/>
      <c r="B609" s="9"/>
      <c r="C609" s="9"/>
    </row>
    <row r="610" spans="1:3" x14ac:dyDescent="0.3">
      <c r="A610" s="9"/>
      <c r="B610" s="9"/>
      <c r="C610" s="9"/>
    </row>
    <row r="611" spans="1:3" x14ac:dyDescent="0.3">
      <c r="A611" s="9"/>
      <c r="B611" s="9"/>
      <c r="C611" s="9"/>
    </row>
    <row r="612" spans="1:3" x14ac:dyDescent="0.3">
      <c r="A612" s="9"/>
      <c r="B612" s="9"/>
      <c r="C612" s="9"/>
    </row>
    <row r="613" spans="1:3" x14ac:dyDescent="0.3">
      <c r="A613" s="9"/>
      <c r="B613" s="9"/>
      <c r="C613" s="9"/>
    </row>
    <row r="614" spans="1:3" x14ac:dyDescent="0.3">
      <c r="A614" s="9"/>
      <c r="B614" s="9"/>
      <c r="C614" s="9"/>
    </row>
    <row r="615" spans="1:3" x14ac:dyDescent="0.3">
      <c r="A615" s="9"/>
      <c r="B615" s="9"/>
      <c r="C615" s="9"/>
    </row>
    <row r="616" spans="1:3" x14ac:dyDescent="0.3">
      <c r="A616" s="9"/>
      <c r="B616" s="9"/>
      <c r="C616" s="9"/>
    </row>
    <row r="617" spans="1:3" x14ac:dyDescent="0.3">
      <c r="A617" s="9"/>
      <c r="B617" s="9"/>
      <c r="C617" s="9"/>
    </row>
    <row r="618" spans="1:3" x14ac:dyDescent="0.3">
      <c r="A618" s="9"/>
      <c r="B618" s="9"/>
      <c r="C618" s="9"/>
    </row>
    <row r="619" spans="1:3" x14ac:dyDescent="0.3">
      <c r="A619" s="9"/>
      <c r="B619" s="9"/>
      <c r="C619" s="9"/>
    </row>
    <row r="620" spans="1:3" x14ac:dyDescent="0.3">
      <c r="A620" s="9"/>
      <c r="B620" s="9"/>
      <c r="C620" s="9"/>
    </row>
    <row r="621" spans="1:3" x14ac:dyDescent="0.3">
      <c r="A621" s="9"/>
      <c r="B621" s="9"/>
      <c r="C621" s="9"/>
    </row>
    <row r="622" spans="1:3" x14ac:dyDescent="0.3">
      <c r="A622" s="9"/>
      <c r="B622" s="9"/>
      <c r="C622" s="9"/>
    </row>
    <row r="623" spans="1:3" x14ac:dyDescent="0.3">
      <c r="A623" s="9"/>
      <c r="B623" s="9"/>
      <c r="C623" s="9"/>
    </row>
    <row r="624" spans="1:3" x14ac:dyDescent="0.3">
      <c r="A624" s="9"/>
      <c r="B624" s="9"/>
      <c r="C624" s="9"/>
    </row>
    <row r="625" spans="1:3" x14ac:dyDescent="0.3">
      <c r="A625" s="9"/>
      <c r="B625" s="9"/>
      <c r="C625" s="9"/>
    </row>
    <row r="626" spans="1:3" x14ac:dyDescent="0.3">
      <c r="A626" s="9"/>
      <c r="B626" s="9"/>
      <c r="C626" s="9"/>
    </row>
    <row r="627" spans="1:3" x14ac:dyDescent="0.3">
      <c r="A627" s="9"/>
      <c r="B627" s="9"/>
      <c r="C627" s="9"/>
    </row>
    <row r="628" spans="1:3" x14ac:dyDescent="0.3">
      <c r="A628" s="9"/>
      <c r="B628" s="9"/>
      <c r="C628" s="9"/>
    </row>
    <row r="629" spans="1:3" x14ac:dyDescent="0.3">
      <c r="A629" s="9"/>
      <c r="B629" s="9"/>
      <c r="C629" s="9"/>
    </row>
    <row r="630" spans="1:3" x14ac:dyDescent="0.3">
      <c r="A630" s="9"/>
      <c r="B630" s="9"/>
      <c r="C630" s="9"/>
    </row>
    <row r="631" spans="1:3" x14ac:dyDescent="0.3">
      <c r="A631" s="9"/>
      <c r="B631" s="9"/>
      <c r="C631" s="9"/>
    </row>
    <row r="632" spans="1:3" x14ac:dyDescent="0.3">
      <c r="A632" s="9"/>
      <c r="B632" s="9"/>
      <c r="C632" s="9"/>
    </row>
    <row r="633" spans="1:3" x14ac:dyDescent="0.3">
      <c r="A633" s="9"/>
      <c r="B633" s="9"/>
      <c r="C633" s="9"/>
    </row>
    <row r="634" spans="1:3" x14ac:dyDescent="0.3">
      <c r="A634" s="9"/>
      <c r="B634" s="9"/>
      <c r="C634" s="9"/>
    </row>
    <row r="635" spans="1:3" x14ac:dyDescent="0.3">
      <c r="A635" s="9"/>
      <c r="B635" s="9"/>
      <c r="C635" s="9"/>
    </row>
    <row r="636" spans="1:3" x14ac:dyDescent="0.3">
      <c r="A636" s="9"/>
      <c r="B636" s="9"/>
      <c r="C636" s="9"/>
    </row>
    <row r="637" spans="1:3" x14ac:dyDescent="0.3">
      <c r="A637" s="9"/>
      <c r="B637" s="9"/>
      <c r="C637" s="9"/>
    </row>
    <row r="638" spans="1:3" x14ac:dyDescent="0.3">
      <c r="A638" s="9"/>
      <c r="B638" s="9"/>
      <c r="C638" s="9"/>
    </row>
    <row r="639" spans="1:3" x14ac:dyDescent="0.3">
      <c r="A639" s="9"/>
      <c r="B639" s="9"/>
      <c r="C639" s="9"/>
    </row>
    <row r="640" spans="1:3" x14ac:dyDescent="0.3">
      <c r="A640" s="9"/>
      <c r="B640" s="9"/>
      <c r="C640" s="9"/>
    </row>
    <row r="641" spans="1:3" x14ac:dyDescent="0.3">
      <c r="A641" s="9"/>
      <c r="B641" s="9"/>
      <c r="C641" s="9"/>
    </row>
    <row r="642" spans="1:3" x14ac:dyDescent="0.3">
      <c r="A642" s="9"/>
      <c r="B642" s="9"/>
      <c r="C642" s="9"/>
    </row>
    <row r="643" spans="1:3" x14ac:dyDescent="0.3">
      <c r="A643" s="9"/>
      <c r="B643" s="9"/>
      <c r="C643" s="9"/>
    </row>
    <row r="644" spans="1:3" x14ac:dyDescent="0.3">
      <c r="A644" s="9"/>
      <c r="B644" s="9"/>
      <c r="C644" s="9"/>
    </row>
    <row r="645" spans="1:3" x14ac:dyDescent="0.3">
      <c r="A645" s="9"/>
      <c r="B645" s="9"/>
      <c r="C645" s="9"/>
    </row>
    <row r="646" spans="1:3" x14ac:dyDescent="0.3">
      <c r="A646" s="9"/>
      <c r="B646" s="9"/>
      <c r="C646" s="9"/>
    </row>
    <row r="647" spans="1:3" x14ac:dyDescent="0.3">
      <c r="A647" s="9"/>
      <c r="B647" s="9"/>
      <c r="C647" s="9"/>
    </row>
    <row r="648" spans="1:3" x14ac:dyDescent="0.3">
      <c r="A648" s="9"/>
      <c r="B648" s="9"/>
      <c r="C648" s="9"/>
    </row>
    <row r="649" spans="1:3" x14ac:dyDescent="0.3">
      <c r="A649" s="9"/>
      <c r="B649" s="9"/>
      <c r="C649" s="9"/>
    </row>
    <row r="650" spans="1:3" x14ac:dyDescent="0.3">
      <c r="A650" s="9"/>
      <c r="B650" s="9"/>
      <c r="C650" s="9"/>
    </row>
    <row r="651" spans="1:3" x14ac:dyDescent="0.3">
      <c r="A651" s="9"/>
      <c r="B651" s="9"/>
      <c r="C651" s="9"/>
    </row>
    <row r="652" spans="1:3" x14ac:dyDescent="0.3">
      <c r="A652" s="9"/>
      <c r="B652" s="9"/>
      <c r="C652" s="9"/>
    </row>
    <row r="653" spans="1:3" x14ac:dyDescent="0.3">
      <c r="A653" s="9"/>
      <c r="B653" s="9"/>
      <c r="C653" s="9"/>
    </row>
    <row r="654" spans="1:3" x14ac:dyDescent="0.3">
      <c r="A654" s="9"/>
      <c r="B654" s="9"/>
      <c r="C654" s="9"/>
    </row>
    <row r="655" spans="1:3" x14ac:dyDescent="0.3">
      <c r="A655" s="9"/>
      <c r="B655" s="9"/>
      <c r="C655" s="9"/>
    </row>
    <row r="656" spans="1:3" x14ac:dyDescent="0.3">
      <c r="A656" s="9"/>
      <c r="B656" s="9"/>
      <c r="C656" s="9"/>
    </row>
    <row r="657" spans="1:3" x14ac:dyDescent="0.3">
      <c r="A657" s="9"/>
      <c r="B657" s="9"/>
      <c r="C657" s="9"/>
    </row>
    <row r="658" spans="1:3" x14ac:dyDescent="0.3">
      <c r="A658" s="9"/>
      <c r="B658" s="9"/>
      <c r="C658" s="9"/>
    </row>
    <row r="659" spans="1:3" x14ac:dyDescent="0.3">
      <c r="A659" s="9"/>
      <c r="B659" s="9"/>
      <c r="C659" s="9"/>
    </row>
    <row r="660" spans="1:3" x14ac:dyDescent="0.3">
      <c r="A660" s="9"/>
      <c r="B660" s="9"/>
      <c r="C660" s="9"/>
    </row>
    <row r="661" spans="1:3" x14ac:dyDescent="0.3">
      <c r="A661" s="9"/>
      <c r="B661" s="9"/>
      <c r="C661" s="9"/>
    </row>
    <row r="662" spans="1:3" x14ac:dyDescent="0.3">
      <c r="A662" s="9"/>
      <c r="B662" s="9"/>
      <c r="C662" s="9"/>
    </row>
    <row r="663" spans="1:3" x14ac:dyDescent="0.3">
      <c r="A663" s="9"/>
      <c r="B663" s="9"/>
      <c r="C663" s="9"/>
    </row>
    <row r="664" spans="1:3" x14ac:dyDescent="0.3">
      <c r="A664" s="9"/>
      <c r="B664" s="9"/>
      <c r="C664" s="9"/>
    </row>
    <row r="665" spans="1:3" x14ac:dyDescent="0.3">
      <c r="A665" s="9"/>
      <c r="B665" s="9"/>
      <c r="C665" s="9"/>
    </row>
    <row r="666" spans="1:3" x14ac:dyDescent="0.3">
      <c r="A666" s="9"/>
      <c r="B666" s="9"/>
      <c r="C666" s="9"/>
    </row>
    <row r="667" spans="1:3" x14ac:dyDescent="0.3">
      <c r="A667" s="9"/>
      <c r="B667" s="9"/>
      <c r="C667" s="9"/>
    </row>
    <row r="668" spans="1:3" x14ac:dyDescent="0.3">
      <c r="A668" s="9"/>
      <c r="B668" s="9"/>
      <c r="C668" s="9"/>
    </row>
    <row r="669" spans="1:3" x14ac:dyDescent="0.3">
      <c r="A669" s="9"/>
      <c r="B669" s="9"/>
      <c r="C669" s="9"/>
    </row>
    <row r="670" spans="1:3" x14ac:dyDescent="0.3">
      <c r="A670" s="9"/>
      <c r="B670" s="9"/>
      <c r="C670" s="9"/>
    </row>
    <row r="671" spans="1:3" x14ac:dyDescent="0.3">
      <c r="A671" s="9"/>
      <c r="B671" s="9"/>
      <c r="C671" s="9"/>
    </row>
    <row r="672" spans="1:3" x14ac:dyDescent="0.3">
      <c r="A672" s="9"/>
      <c r="B672" s="9"/>
      <c r="C672" s="9"/>
    </row>
    <row r="673" spans="1:3" x14ac:dyDescent="0.3">
      <c r="A673" s="9"/>
      <c r="B673" s="9"/>
      <c r="C673" s="9"/>
    </row>
    <row r="674" spans="1:3" x14ac:dyDescent="0.3">
      <c r="A674" s="9"/>
      <c r="B674" s="9"/>
      <c r="C674" s="9"/>
    </row>
    <row r="675" spans="1:3" x14ac:dyDescent="0.3">
      <c r="A675" s="9"/>
      <c r="B675" s="9"/>
      <c r="C675" s="9"/>
    </row>
    <row r="676" spans="1:3" x14ac:dyDescent="0.3">
      <c r="A676" s="9"/>
      <c r="B676" s="9"/>
      <c r="C676" s="9"/>
    </row>
    <row r="677" spans="1:3" x14ac:dyDescent="0.3">
      <c r="A677" s="9"/>
      <c r="B677" s="9"/>
      <c r="C677" s="9"/>
    </row>
    <row r="678" spans="1:3" x14ac:dyDescent="0.3">
      <c r="A678" s="9"/>
      <c r="B678" s="9"/>
      <c r="C678" s="9"/>
    </row>
    <row r="679" spans="1:3" x14ac:dyDescent="0.3">
      <c r="A679" s="9"/>
      <c r="B679" s="9"/>
      <c r="C679" s="9"/>
    </row>
    <row r="680" spans="1:3" x14ac:dyDescent="0.3">
      <c r="A680" s="9"/>
      <c r="B680" s="9"/>
      <c r="C680" s="9"/>
    </row>
    <row r="681" spans="1:3" x14ac:dyDescent="0.3">
      <c r="A681" s="9"/>
      <c r="B681" s="9"/>
      <c r="C681" s="9"/>
    </row>
    <row r="682" spans="1:3" x14ac:dyDescent="0.3">
      <c r="A682" s="9"/>
      <c r="B682" s="9"/>
      <c r="C682" s="9"/>
    </row>
    <row r="683" spans="1:3" x14ac:dyDescent="0.3">
      <c r="A683" s="9"/>
      <c r="B683" s="9"/>
      <c r="C683" s="9"/>
    </row>
    <row r="684" spans="1:3" x14ac:dyDescent="0.3">
      <c r="A684" s="9"/>
      <c r="B684" s="9"/>
      <c r="C684" s="9"/>
    </row>
    <row r="685" spans="1:3" x14ac:dyDescent="0.3">
      <c r="A685" s="9"/>
      <c r="B685" s="9"/>
      <c r="C685" s="9"/>
    </row>
    <row r="686" spans="1:3" x14ac:dyDescent="0.3">
      <c r="A686" s="9"/>
      <c r="B686" s="9"/>
      <c r="C686" s="9"/>
    </row>
    <row r="687" spans="1:3" x14ac:dyDescent="0.3">
      <c r="A687" s="9"/>
      <c r="B687" s="9"/>
      <c r="C687" s="9"/>
    </row>
    <row r="688" spans="1:3" x14ac:dyDescent="0.3">
      <c r="A688" s="9"/>
      <c r="B688" s="9"/>
      <c r="C688" s="9"/>
    </row>
    <row r="689" spans="1:3" x14ac:dyDescent="0.3">
      <c r="A689" s="9"/>
      <c r="B689" s="9"/>
      <c r="C689" s="9"/>
    </row>
    <row r="690" spans="1:3" x14ac:dyDescent="0.3">
      <c r="A690" s="9"/>
      <c r="B690" s="9"/>
      <c r="C690" s="9"/>
    </row>
    <row r="691" spans="1:3" x14ac:dyDescent="0.3">
      <c r="A691" s="9"/>
      <c r="B691" s="9"/>
      <c r="C691" s="9"/>
    </row>
    <row r="692" spans="1:3" x14ac:dyDescent="0.3">
      <c r="A692" s="9"/>
      <c r="B692" s="9"/>
      <c r="C692" s="9"/>
    </row>
    <row r="693" spans="1:3" x14ac:dyDescent="0.3">
      <c r="A693" s="9"/>
      <c r="B693" s="9"/>
      <c r="C693" s="9"/>
    </row>
    <row r="694" spans="1:3" x14ac:dyDescent="0.3">
      <c r="A694" s="9"/>
      <c r="B694" s="9"/>
      <c r="C694" s="9"/>
    </row>
    <row r="695" spans="1:3" x14ac:dyDescent="0.3">
      <c r="A695" s="9"/>
      <c r="B695" s="9"/>
      <c r="C695" s="9"/>
    </row>
    <row r="696" spans="1:3" x14ac:dyDescent="0.3">
      <c r="A696" s="9"/>
      <c r="B696" s="9"/>
      <c r="C696" s="9"/>
    </row>
    <row r="697" spans="1:3" x14ac:dyDescent="0.3">
      <c r="A697" s="9"/>
      <c r="B697" s="9"/>
      <c r="C697" s="9"/>
    </row>
    <row r="698" spans="1:3" x14ac:dyDescent="0.3">
      <c r="A698" s="9"/>
      <c r="B698" s="9"/>
      <c r="C698" s="9"/>
    </row>
    <row r="699" spans="1:3" x14ac:dyDescent="0.3">
      <c r="A699" s="9"/>
      <c r="B699" s="9"/>
      <c r="C699" s="9"/>
    </row>
    <row r="700" spans="1:3" x14ac:dyDescent="0.3">
      <c r="A700" s="9"/>
      <c r="B700" s="9"/>
      <c r="C700" s="9"/>
    </row>
    <row r="701" spans="1:3" x14ac:dyDescent="0.3">
      <c r="A701" s="9"/>
      <c r="B701" s="9"/>
      <c r="C701" s="9"/>
    </row>
    <row r="702" spans="1:3" x14ac:dyDescent="0.3">
      <c r="A702" s="9"/>
      <c r="B702" s="9"/>
      <c r="C702" s="9"/>
    </row>
    <row r="703" spans="1:3" x14ac:dyDescent="0.3">
      <c r="A703" s="9"/>
      <c r="B703" s="9"/>
      <c r="C703" s="9"/>
    </row>
    <row r="704" spans="1:3" x14ac:dyDescent="0.3">
      <c r="A704" s="9"/>
      <c r="B704" s="9"/>
      <c r="C704" s="9"/>
    </row>
    <row r="705" spans="1:3" x14ac:dyDescent="0.3">
      <c r="A705" s="9"/>
      <c r="B705" s="9"/>
      <c r="C705" s="9"/>
    </row>
    <row r="706" spans="1:3" x14ac:dyDescent="0.3">
      <c r="A706" s="9"/>
      <c r="B706" s="9"/>
      <c r="C706" s="9"/>
    </row>
    <row r="707" spans="1:3" x14ac:dyDescent="0.3">
      <c r="A707" s="9"/>
      <c r="B707" s="9"/>
      <c r="C707" s="9"/>
    </row>
    <row r="708" spans="1:3" x14ac:dyDescent="0.3">
      <c r="A708" s="9"/>
      <c r="B708" s="9"/>
      <c r="C708" s="9"/>
    </row>
    <row r="709" spans="1:3" x14ac:dyDescent="0.3">
      <c r="A709" s="9"/>
      <c r="B709" s="9"/>
      <c r="C709" s="9"/>
    </row>
    <row r="710" spans="1:3" x14ac:dyDescent="0.3">
      <c r="A710" s="9"/>
      <c r="B710" s="9"/>
      <c r="C710" s="9"/>
    </row>
    <row r="711" spans="1:3" x14ac:dyDescent="0.3">
      <c r="A711" s="9"/>
      <c r="B711" s="9"/>
      <c r="C711" s="9"/>
    </row>
    <row r="712" spans="1:3" x14ac:dyDescent="0.3">
      <c r="A712" s="9"/>
      <c r="B712" s="9"/>
      <c r="C712" s="9"/>
    </row>
    <row r="713" spans="1:3" x14ac:dyDescent="0.3">
      <c r="A713" s="9"/>
      <c r="B713" s="9"/>
      <c r="C713" s="9"/>
    </row>
    <row r="714" spans="1:3" x14ac:dyDescent="0.3">
      <c r="A714" s="9"/>
      <c r="B714" s="9"/>
      <c r="C714" s="9"/>
    </row>
    <row r="715" spans="1:3" x14ac:dyDescent="0.3">
      <c r="A715" s="9"/>
      <c r="B715" s="9"/>
      <c r="C715" s="9"/>
    </row>
    <row r="716" spans="1:3" x14ac:dyDescent="0.3">
      <c r="A716" s="9"/>
      <c r="B716" s="9"/>
      <c r="C716" s="9"/>
    </row>
    <row r="717" spans="1:3" x14ac:dyDescent="0.3">
      <c r="A717" s="9"/>
      <c r="B717" s="9"/>
      <c r="C717" s="9"/>
    </row>
    <row r="718" spans="1:3" x14ac:dyDescent="0.3">
      <c r="A718" s="9"/>
      <c r="B718" s="9"/>
      <c r="C718" s="9"/>
    </row>
    <row r="719" spans="1:3" x14ac:dyDescent="0.3">
      <c r="A719" s="9"/>
      <c r="B719" s="9"/>
      <c r="C719" s="9"/>
    </row>
    <row r="720" spans="1:3" x14ac:dyDescent="0.3">
      <c r="A720" s="9"/>
      <c r="B720" s="9"/>
      <c r="C720" s="9"/>
    </row>
    <row r="721" spans="1:3" x14ac:dyDescent="0.3">
      <c r="A721" s="9"/>
      <c r="B721" s="9"/>
      <c r="C721" s="9"/>
    </row>
    <row r="722" spans="1:3" x14ac:dyDescent="0.3">
      <c r="A722" s="9"/>
      <c r="B722" s="9"/>
      <c r="C722" s="9"/>
    </row>
    <row r="723" spans="1:3" x14ac:dyDescent="0.3">
      <c r="A723" s="9"/>
      <c r="B723" s="9"/>
      <c r="C723" s="9"/>
    </row>
    <row r="724" spans="1:3" x14ac:dyDescent="0.3">
      <c r="A724" s="9"/>
      <c r="B724" s="9"/>
      <c r="C724" s="9"/>
    </row>
    <row r="725" spans="1:3" x14ac:dyDescent="0.3">
      <c r="A725" s="9"/>
      <c r="B725" s="9"/>
      <c r="C725" s="9"/>
    </row>
    <row r="726" spans="1:3" x14ac:dyDescent="0.3">
      <c r="A726" s="9"/>
      <c r="B726" s="9"/>
      <c r="C726" s="9"/>
    </row>
    <row r="727" spans="1:3" x14ac:dyDescent="0.3">
      <c r="A727" s="9"/>
      <c r="B727" s="9"/>
      <c r="C727" s="9"/>
    </row>
    <row r="728" spans="1:3" x14ac:dyDescent="0.3">
      <c r="A728" s="9"/>
      <c r="B728" s="9"/>
      <c r="C728" s="9"/>
    </row>
    <row r="729" spans="1:3" x14ac:dyDescent="0.3">
      <c r="A729" s="9"/>
      <c r="B729" s="9"/>
      <c r="C729" s="9"/>
    </row>
    <row r="730" spans="1:3" x14ac:dyDescent="0.3">
      <c r="A730" s="9"/>
      <c r="B730" s="9"/>
      <c r="C730" s="9"/>
    </row>
    <row r="731" spans="1:3" x14ac:dyDescent="0.3">
      <c r="A731" s="9"/>
      <c r="B731" s="9"/>
      <c r="C731" s="9"/>
    </row>
    <row r="732" spans="1:3" x14ac:dyDescent="0.3">
      <c r="A732" s="9"/>
      <c r="B732" s="9"/>
      <c r="C732" s="9"/>
    </row>
    <row r="733" spans="1:3" x14ac:dyDescent="0.3">
      <c r="A733" s="9"/>
      <c r="B733" s="9"/>
      <c r="C733" s="9"/>
    </row>
    <row r="734" spans="1:3" x14ac:dyDescent="0.3">
      <c r="A734" s="9"/>
      <c r="B734" s="9"/>
      <c r="C734" s="9"/>
    </row>
    <row r="735" spans="1:3" x14ac:dyDescent="0.3">
      <c r="A735" s="9"/>
      <c r="B735" s="9"/>
      <c r="C735" s="9"/>
    </row>
    <row r="736" spans="1:3" x14ac:dyDescent="0.3">
      <c r="A736" s="9"/>
      <c r="B736" s="9"/>
      <c r="C736" s="9"/>
    </row>
    <row r="737" spans="1:3" x14ac:dyDescent="0.3">
      <c r="A737" s="9"/>
      <c r="B737" s="9"/>
      <c r="C737" s="9"/>
    </row>
    <row r="738" spans="1:3" x14ac:dyDescent="0.3">
      <c r="A738" s="9"/>
      <c r="B738" s="9"/>
      <c r="C738" s="9"/>
    </row>
    <row r="739" spans="1:3" x14ac:dyDescent="0.3">
      <c r="A739" s="9"/>
      <c r="B739" s="9"/>
      <c r="C739" s="9"/>
    </row>
    <row r="740" spans="1:3" x14ac:dyDescent="0.3">
      <c r="A740" s="9"/>
      <c r="B740" s="9"/>
      <c r="C740" s="9"/>
    </row>
    <row r="741" spans="1:3" x14ac:dyDescent="0.3">
      <c r="A741" s="9"/>
      <c r="B741" s="9"/>
      <c r="C741" s="9"/>
    </row>
    <row r="742" spans="1:3" x14ac:dyDescent="0.3">
      <c r="A742" s="9"/>
      <c r="B742" s="9"/>
      <c r="C742" s="9"/>
    </row>
    <row r="743" spans="1:3" x14ac:dyDescent="0.3">
      <c r="A743" s="9"/>
      <c r="B743" s="9"/>
      <c r="C743" s="9"/>
    </row>
    <row r="744" spans="1:3" x14ac:dyDescent="0.3">
      <c r="A744" s="9"/>
      <c r="B744" s="9"/>
      <c r="C744" s="9"/>
    </row>
    <row r="745" spans="1:3" x14ac:dyDescent="0.3">
      <c r="A745" s="9"/>
      <c r="B745" s="9"/>
      <c r="C745" s="9"/>
    </row>
    <row r="746" spans="1:3" x14ac:dyDescent="0.3">
      <c r="A746" s="9"/>
      <c r="B746" s="9"/>
      <c r="C746" s="9"/>
    </row>
    <row r="747" spans="1:3" x14ac:dyDescent="0.3">
      <c r="A747" s="9"/>
      <c r="B747" s="9"/>
      <c r="C747" s="9"/>
    </row>
    <row r="748" spans="1:3" x14ac:dyDescent="0.3">
      <c r="A748" s="9"/>
      <c r="B748" s="9"/>
      <c r="C748" s="9"/>
    </row>
    <row r="749" spans="1:3" x14ac:dyDescent="0.3">
      <c r="A749" s="9"/>
      <c r="B749" s="9"/>
      <c r="C749" s="9"/>
    </row>
    <row r="750" spans="1:3" x14ac:dyDescent="0.3">
      <c r="A750" s="9"/>
      <c r="B750" s="9"/>
      <c r="C750" s="9"/>
    </row>
    <row r="751" spans="1:3" x14ac:dyDescent="0.3">
      <c r="A751" s="9"/>
      <c r="B751" s="9"/>
      <c r="C751" s="9"/>
    </row>
    <row r="752" spans="1:3" x14ac:dyDescent="0.3">
      <c r="A752" s="9"/>
      <c r="B752" s="9"/>
      <c r="C752" s="9"/>
    </row>
    <row r="753" spans="1:3" x14ac:dyDescent="0.3">
      <c r="A753" s="9"/>
      <c r="B753" s="9"/>
      <c r="C753" s="9"/>
    </row>
    <row r="754" spans="1:3" x14ac:dyDescent="0.3">
      <c r="A754" s="9"/>
      <c r="B754" s="9"/>
      <c r="C754" s="9"/>
    </row>
    <row r="755" spans="1:3" x14ac:dyDescent="0.3">
      <c r="A755" s="9"/>
      <c r="B755" s="9"/>
      <c r="C755" s="9"/>
    </row>
    <row r="756" spans="1:3" x14ac:dyDescent="0.3">
      <c r="A756" s="9"/>
      <c r="B756" s="9"/>
      <c r="C756" s="9"/>
    </row>
    <row r="757" spans="1:3" x14ac:dyDescent="0.3">
      <c r="A757" s="9"/>
      <c r="B757" s="9"/>
      <c r="C757" s="9"/>
    </row>
    <row r="758" spans="1:3" x14ac:dyDescent="0.3">
      <c r="A758" s="9"/>
      <c r="B758" s="9"/>
      <c r="C758" s="9"/>
    </row>
    <row r="759" spans="1:3" x14ac:dyDescent="0.3">
      <c r="A759" s="9"/>
      <c r="B759" s="9"/>
      <c r="C759" s="9"/>
    </row>
    <row r="760" spans="1:3" x14ac:dyDescent="0.3">
      <c r="A760" s="9"/>
      <c r="B760" s="9"/>
      <c r="C760" s="9"/>
    </row>
    <row r="761" spans="1:3" x14ac:dyDescent="0.3">
      <c r="A761" s="9"/>
      <c r="B761" s="9"/>
      <c r="C761" s="9"/>
    </row>
    <row r="762" spans="1:3" x14ac:dyDescent="0.3">
      <c r="A762" s="9"/>
      <c r="B762" s="9"/>
      <c r="C762" s="9"/>
    </row>
    <row r="763" spans="1:3" x14ac:dyDescent="0.3">
      <c r="A763" s="9"/>
      <c r="B763" s="9"/>
      <c r="C763" s="9"/>
    </row>
    <row r="764" spans="1:3" x14ac:dyDescent="0.3">
      <c r="A764" s="9"/>
      <c r="B764" s="9"/>
      <c r="C764" s="9"/>
    </row>
    <row r="765" spans="1:3" x14ac:dyDescent="0.3">
      <c r="A765" s="9"/>
      <c r="B765" s="9"/>
      <c r="C765" s="9"/>
    </row>
    <row r="766" spans="1:3" x14ac:dyDescent="0.3">
      <c r="A766" s="9"/>
      <c r="B766" s="9"/>
      <c r="C766" s="9"/>
    </row>
    <row r="767" spans="1:3" x14ac:dyDescent="0.3">
      <c r="A767" s="9"/>
      <c r="B767" s="9"/>
      <c r="C767" s="9"/>
    </row>
    <row r="768" spans="1:3" x14ac:dyDescent="0.3">
      <c r="A768" s="9"/>
      <c r="B768" s="9"/>
      <c r="C768" s="9"/>
    </row>
    <row r="769" spans="1:3" x14ac:dyDescent="0.3">
      <c r="A769" s="9"/>
      <c r="B769" s="9"/>
      <c r="C769" s="9"/>
    </row>
    <row r="770" spans="1:3" x14ac:dyDescent="0.3">
      <c r="A770" s="9"/>
      <c r="B770" s="9"/>
      <c r="C770" s="9"/>
    </row>
    <row r="771" spans="1:3" x14ac:dyDescent="0.3">
      <c r="A771" s="9"/>
      <c r="B771" s="9"/>
      <c r="C771" s="9"/>
    </row>
    <row r="772" spans="1:3" x14ac:dyDescent="0.3">
      <c r="A772" s="9"/>
      <c r="B772" s="9"/>
      <c r="C772" s="9"/>
    </row>
    <row r="773" spans="1:3" x14ac:dyDescent="0.3">
      <c r="A773" s="9"/>
      <c r="B773" s="9"/>
      <c r="C773" s="9"/>
    </row>
    <row r="774" spans="1:3" x14ac:dyDescent="0.3">
      <c r="A774" s="9"/>
      <c r="B774" s="9"/>
      <c r="C774" s="9"/>
    </row>
    <row r="775" spans="1:3" x14ac:dyDescent="0.3">
      <c r="A775" s="9"/>
      <c r="B775" s="9"/>
      <c r="C775" s="9"/>
    </row>
    <row r="776" spans="1:3" x14ac:dyDescent="0.3">
      <c r="A776" s="9"/>
      <c r="B776" s="9"/>
      <c r="C776" s="9"/>
    </row>
    <row r="777" spans="1:3" x14ac:dyDescent="0.3">
      <c r="A777" s="9"/>
      <c r="B777" s="9"/>
      <c r="C777" s="9"/>
    </row>
    <row r="778" spans="1:3" x14ac:dyDescent="0.3">
      <c r="A778" s="9"/>
      <c r="B778" s="9"/>
      <c r="C778" s="9"/>
    </row>
    <row r="779" spans="1:3" x14ac:dyDescent="0.3">
      <c r="A779" s="9"/>
      <c r="B779" s="9"/>
      <c r="C779" s="9"/>
    </row>
    <row r="780" spans="1:3" x14ac:dyDescent="0.3">
      <c r="A780" s="9"/>
      <c r="B780" s="9"/>
      <c r="C780" s="9"/>
    </row>
    <row r="781" spans="1:3" x14ac:dyDescent="0.3">
      <c r="A781" s="9"/>
      <c r="B781" s="9"/>
      <c r="C781" s="9"/>
    </row>
    <row r="782" spans="1:3" x14ac:dyDescent="0.3">
      <c r="A782" s="9"/>
      <c r="B782" s="9"/>
      <c r="C782" s="9"/>
    </row>
    <row r="783" spans="1:3" x14ac:dyDescent="0.3">
      <c r="A783" s="9"/>
      <c r="B783" s="9"/>
      <c r="C783" s="9"/>
    </row>
    <row r="784" spans="1:3" x14ac:dyDescent="0.3">
      <c r="A784" s="9"/>
      <c r="B784" s="9"/>
      <c r="C784" s="9"/>
    </row>
    <row r="785" spans="1:3" x14ac:dyDescent="0.3">
      <c r="A785" s="9"/>
      <c r="B785" s="9"/>
      <c r="C785" s="9"/>
    </row>
    <row r="786" spans="1:3" x14ac:dyDescent="0.3">
      <c r="A786" s="9"/>
      <c r="B786" s="9"/>
      <c r="C786" s="9"/>
    </row>
    <row r="787" spans="1:3" x14ac:dyDescent="0.3">
      <c r="A787" s="9"/>
      <c r="B787" s="9"/>
      <c r="C787" s="9"/>
    </row>
    <row r="788" spans="1:3" x14ac:dyDescent="0.3">
      <c r="A788" s="9"/>
      <c r="B788" s="9"/>
      <c r="C788" s="9"/>
    </row>
    <row r="789" spans="1:3" x14ac:dyDescent="0.3">
      <c r="A789" s="9"/>
      <c r="B789" s="9"/>
      <c r="C789" s="9"/>
    </row>
    <row r="790" spans="1:3" x14ac:dyDescent="0.3">
      <c r="A790" s="9"/>
      <c r="B790" s="9"/>
      <c r="C790" s="9"/>
    </row>
    <row r="791" spans="1:3" x14ac:dyDescent="0.3">
      <c r="A791" s="9"/>
      <c r="B791" s="9"/>
      <c r="C791" s="9"/>
    </row>
    <row r="792" spans="1:3" x14ac:dyDescent="0.3">
      <c r="A792" s="9"/>
      <c r="B792" s="9"/>
      <c r="C792" s="9"/>
    </row>
    <row r="793" spans="1:3" x14ac:dyDescent="0.3">
      <c r="A793" s="9"/>
      <c r="B793" s="9"/>
      <c r="C793" s="9"/>
    </row>
    <row r="794" spans="1:3" x14ac:dyDescent="0.3">
      <c r="A794" s="9"/>
      <c r="B794" s="9"/>
      <c r="C794" s="9"/>
    </row>
    <row r="795" spans="1:3" x14ac:dyDescent="0.3">
      <c r="A795" s="9"/>
      <c r="B795" s="9"/>
      <c r="C795" s="9"/>
    </row>
    <row r="796" spans="1:3" x14ac:dyDescent="0.3">
      <c r="A796" s="9"/>
      <c r="B796" s="9"/>
      <c r="C796" s="9"/>
    </row>
    <row r="797" spans="1:3" x14ac:dyDescent="0.3">
      <c r="A797" s="9"/>
      <c r="B797" s="9"/>
      <c r="C797" s="9"/>
    </row>
    <row r="798" spans="1:3" x14ac:dyDescent="0.3">
      <c r="A798" s="9"/>
      <c r="B798" s="9"/>
      <c r="C798" s="9"/>
    </row>
    <row r="799" spans="1:3" x14ac:dyDescent="0.3">
      <c r="A799" s="9"/>
      <c r="B799" s="9"/>
      <c r="C799" s="9"/>
    </row>
    <row r="800" spans="1:3" x14ac:dyDescent="0.3">
      <c r="A800" s="9"/>
      <c r="B800" s="9"/>
      <c r="C800" s="9"/>
    </row>
    <row r="801" spans="1:3" x14ac:dyDescent="0.3">
      <c r="A801" s="9"/>
      <c r="B801" s="9"/>
      <c r="C801" s="9"/>
    </row>
    <row r="802" spans="1:3" x14ac:dyDescent="0.3">
      <c r="A802" s="9"/>
      <c r="B802" s="9"/>
      <c r="C802" s="9"/>
    </row>
    <row r="803" spans="1:3" x14ac:dyDescent="0.3">
      <c r="A803" s="9"/>
      <c r="B803" s="9"/>
      <c r="C803" s="9"/>
    </row>
    <row r="804" spans="1:3" x14ac:dyDescent="0.3">
      <c r="A804" s="9"/>
      <c r="B804" s="9"/>
      <c r="C804" s="9"/>
    </row>
    <row r="805" spans="1:3" x14ac:dyDescent="0.3">
      <c r="A805" s="9"/>
      <c r="B805" s="9"/>
      <c r="C805" s="9"/>
    </row>
    <row r="806" spans="1:3" x14ac:dyDescent="0.3">
      <c r="A806" s="9"/>
      <c r="B806" s="9"/>
      <c r="C806" s="9"/>
    </row>
    <row r="807" spans="1:3" x14ac:dyDescent="0.3">
      <c r="A807" s="9"/>
      <c r="B807" s="9"/>
      <c r="C807" s="9"/>
    </row>
    <row r="808" spans="1:3" x14ac:dyDescent="0.3">
      <c r="A808" s="9"/>
      <c r="B808" s="9"/>
      <c r="C808" s="9"/>
    </row>
    <row r="809" spans="1:3" x14ac:dyDescent="0.3">
      <c r="A809" s="9"/>
      <c r="B809" s="9"/>
      <c r="C809" s="9"/>
    </row>
    <row r="810" spans="1:3" x14ac:dyDescent="0.3">
      <c r="A810" s="9"/>
      <c r="B810" s="9"/>
      <c r="C810" s="9"/>
    </row>
    <row r="811" spans="1:3" x14ac:dyDescent="0.3">
      <c r="A811" s="9"/>
      <c r="B811" s="9"/>
      <c r="C811" s="9"/>
    </row>
    <row r="812" spans="1:3" x14ac:dyDescent="0.3">
      <c r="A812" s="9"/>
      <c r="B812" s="9"/>
      <c r="C812" s="9"/>
    </row>
    <row r="813" spans="1:3" x14ac:dyDescent="0.3">
      <c r="A813" s="9"/>
      <c r="B813" s="9"/>
      <c r="C813" s="9"/>
    </row>
    <row r="814" spans="1:3" x14ac:dyDescent="0.3">
      <c r="A814" s="9"/>
      <c r="B814" s="9"/>
      <c r="C814" s="9"/>
    </row>
    <row r="815" spans="1:3" x14ac:dyDescent="0.3">
      <c r="A815" s="9"/>
      <c r="B815" s="9"/>
      <c r="C815" s="9"/>
    </row>
    <row r="816" spans="1:3" x14ac:dyDescent="0.3">
      <c r="A816" s="9"/>
      <c r="B816" s="9"/>
      <c r="C816" s="9"/>
    </row>
    <row r="817" spans="1:3" x14ac:dyDescent="0.3">
      <c r="A817" s="9"/>
      <c r="B817" s="9"/>
      <c r="C817" s="9"/>
    </row>
    <row r="818" spans="1:3" x14ac:dyDescent="0.3">
      <c r="A818" s="9"/>
      <c r="B818" s="9"/>
      <c r="C818" s="9"/>
    </row>
    <row r="819" spans="1:3" x14ac:dyDescent="0.3">
      <c r="A819" s="9"/>
      <c r="B819" s="9"/>
      <c r="C819" s="9"/>
    </row>
    <row r="820" spans="1:3" x14ac:dyDescent="0.3">
      <c r="A820" s="9"/>
      <c r="B820" s="9"/>
      <c r="C820" s="9"/>
    </row>
    <row r="821" spans="1:3" x14ac:dyDescent="0.3">
      <c r="A821" s="9"/>
      <c r="B821" s="9"/>
      <c r="C821" s="9"/>
    </row>
    <row r="822" spans="1:3" x14ac:dyDescent="0.3">
      <c r="A822" s="9"/>
      <c r="B822" s="9"/>
      <c r="C822" s="9"/>
    </row>
    <row r="823" spans="1:3" x14ac:dyDescent="0.3">
      <c r="A823" s="9"/>
      <c r="B823" s="9"/>
      <c r="C823" s="9"/>
    </row>
    <row r="824" spans="1:3" x14ac:dyDescent="0.3">
      <c r="A824" s="9"/>
      <c r="B824" s="9"/>
      <c r="C824" s="9"/>
    </row>
    <row r="825" spans="1:3" x14ac:dyDescent="0.3">
      <c r="A825" s="9"/>
      <c r="B825" s="9"/>
      <c r="C825" s="9"/>
    </row>
    <row r="826" spans="1:3" x14ac:dyDescent="0.3">
      <c r="A826" s="9"/>
      <c r="B826" s="9"/>
      <c r="C826" s="9"/>
    </row>
    <row r="827" spans="1:3" x14ac:dyDescent="0.3">
      <c r="A827" s="9"/>
      <c r="B827" s="9"/>
      <c r="C827" s="9"/>
    </row>
    <row r="828" spans="1:3" x14ac:dyDescent="0.3">
      <c r="A828" s="9"/>
      <c r="B828" s="9"/>
      <c r="C828" s="9"/>
    </row>
    <row r="829" spans="1:3" x14ac:dyDescent="0.3">
      <c r="A829" s="9"/>
      <c r="B829" s="9"/>
      <c r="C829" s="9"/>
    </row>
    <row r="830" spans="1:3" x14ac:dyDescent="0.3">
      <c r="A830" s="9"/>
      <c r="B830" s="9"/>
      <c r="C830" s="9"/>
    </row>
    <row r="831" spans="1:3" x14ac:dyDescent="0.3">
      <c r="A831" s="9"/>
      <c r="B831" s="9"/>
      <c r="C831" s="9"/>
    </row>
    <row r="832" spans="1:3" x14ac:dyDescent="0.3">
      <c r="A832" s="9"/>
      <c r="B832" s="9"/>
      <c r="C832" s="9"/>
    </row>
    <row r="833" spans="1:3" x14ac:dyDescent="0.3">
      <c r="A833" s="9"/>
      <c r="B833" s="9"/>
      <c r="C833" s="9"/>
    </row>
    <row r="834" spans="1:3" x14ac:dyDescent="0.3">
      <c r="A834" s="9"/>
      <c r="B834" s="9"/>
      <c r="C834" s="9"/>
    </row>
    <row r="835" spans="1:3" x14ac:dyDescent="0.3">
      <c r="A835" s="9"/>
      <c r="B835" s="9"/>
      <c r="C835" s="9"/>
    </row>
    <row r="836" spans="1:3" x14ac:dyDescent="0.3">
      <c r="A836" s="9"/>
      <c r="B836" s="9"/>
      <c r="C836" s="9"/>
    </row>
    <row r="837" spans="1:3" x14ac:dyDescent="0.3">
      <c r="A837" s="9"/>
      <c r="B837" s="9"/>
      <c r="C837" s="9"/>
    </row>
    <row r="838" spans="1:3" x14ac:dyDescent="0.3">
      <c r="A838" s="9"/>
      <c r="B838" s="9"/>
      <c r="C838" s="9"/>
    </row>
    <row r="839" spans="1:3" x14ac:dyDescent="0.3">
      <c r="A839" s="9"/>
      <c r="B839" s="9"/>
      <c r="C839" s="9"/>
    </row>
    <row r="840" spans="1:3" x14ac:dyDescent="0.3">
      <c r="A840" s="9"/>
      <c r="B840" s="9"/>
      <c r="C840" s="9"/>
    </row>
    <row r="841" spans="1:3" x14ac:dyDescent="0.3">
      <c r="A841" s="9"/>
      <c r="B841" s="9"/>
      <c r="C841" s="9"/>
    </row>
    <row r="842" spans="1:3" x14ac:dyDescent="0.3">
      <c r="A842" s="9"/>
      <c r="B842" s="9"/>
      <c r="C842" s="9"/>
    </row>
    <row r="843" spans="1:3" x14ac:dyDescent="0.3">
      <c r="A843" s="9"/>
      <c r="B843" s="9"/>
      <c r="C843" s="9"/>
    </row>
    <row r="844" spans="1:3" x14ac:dyDescent="0.3">
      <c r="A844" s="9"/>
      <c r="B844" s="9"/>
      <c r="C844" s="9"/>
    </row>
    <row r="845" spans="1:3" x14ac:dyDescent="0.3">
      <c r="A845" s="9"/>
      <c r="B845" s="9"/>
      <c r="C845" s="9"/>
    </row>
    <row r="846" spans="1:3" x14ac:dyDescent="0.3">
      <c r="A846" s="9"/>
      <c r="B846" s="9"/>
      <c r="C846" s="9"/>
    </row>
    <row r="847" spans="1:3" x14ac:dyDescent="0.3">
      <c r="A847" s="9"/>
      <c r="B847" s="9"/>
      <c r="C847" s="9"/>
    </row>
    <row r="848" spans="1:3" x14ac:dyDescent="0.3">
      <c r="A848" s="9"/>
      <c r="B848" s="9"/>
      <c r="C848" s="9"/>
    </row>
    <row r="849" spans="1:3" x14ac:dyDescent="0.3">
      <c r="A849" s="9"/>
      <c r="B849" s="9"/>
      <c r="C849" s="9"/>
    </row>
    <row r="850" spans="1:3" x14ac:dyDescent="0.3">
      <c r="A850" s="9"/>
      <c r="B850" s="9"/>
      <c r="C850" s="9"/>
    </row>
    <row r="851" spans="1:3" x14ac:dyDescent="0.3">
      <c r="A851" s="9"/>
      <c r="B851" s="9"/>
      <c r="C851" s="9"/>
    </row>
    <row r="852" spans="1:3" x14ac:dyDescent="0.3">
      <c r="A852" s="9"/>
      <c r="B852" s="9"/>
      <c r="C852" s="9"/>
    </row>
    <row r="853" spans="1:3" x14ac:dyDescent="0.3">
      <c r="A853" s="9"/>
      <c r="B853" s="9"/>
      <c r="C853" s="9"/>
    </row>
    <row r="854" spans="1:3" x14ac:dyDescent="0.3">
      <c r="A854" s="9"/>
      <c r="B854" s="9"/>
      <c r="C854" s="9"/>
    </row>
    <row r="855" spans="1:3" x14ac:dyDescent="0.3">
      <c r="A855" s="9"/>
      <c r="B855" s="9"/>
      <c r="C855" s="9"/>
    </row>
    <row r="856" spans="1:3" x14ac:dyDescent="0.3">
      <c r="A856" s="9"/>
      <c r="B856" s="9"/>
      <c r="C856" s="9"/>
    </row>
    <row r="857" spans="1:3" x14ac:dyDescent="0.3">
      <c r="A857" s="9"/>
      <c r="B857" s="9"/>
      <c r="C857" s="9"/>
    </row>
    <row r="858" spans="1:3" x14ac:dyDescent="0.3">
      <c r="A858" s="9"/>
      <c r="B858" s="9"/>
      <c r="C858" s="9"/>
    </row>
    <row r="859" spans="1:3" x14ac:dyDescent="0.3">
      <c r="A859" s="9"/>
      <c r="B859" s="9"/>
      <c r="C859" s="9"/>
    </row>
    <row r="860" spans="1:3" x14ac:dyDescent="0.3">
      <c r="A860" s="9"/>
      <c r="B860" s="9"/>
      <c r="C860" s="9"/>
    </row>
    <row r="861" spans="1:3" x14ac:dyDescent="0.3">
      <c r="A861" s="9"/>
      <c r="B861" s="9"/>
      <c r="C861" s="9"/>
    </row>
    <row r="862" spans="1:3" x14ac:dyDescent="0.3">
      <c r="A862" s="9"/>
      <c r="B862" s="9"/>
      <c r="C862" s="9"/>
    </row>
    <row r="863" spans="1:3" x14ac:dyDescent="0.3">
      <c r="A863" s="9"/>
      <c r="B863" s="9"/>
      <c r="C863" s="9"/>
    </row>
    <row r="864" spans="1:3" x14ac:dyDescent="0.3">
      <c r="A864" s="9"/>
      <c r="B864" s="9"/>
      <c r="C864" s="9"/>
    </row>
    <row r="865" spans="1:3" x14ac:dyDescent="0.3">
      <c r="A865" s="9"/>
      <c r="B865" s="9"/>
      <c r="C865" s="9"/>
    </row>
    <row r="866" spans="1:3" x14ac:dyDescent="0.3">
      <c r="A866" s="9"/>
      <c r="B866" s="9"/>
      <c r="C866" s="9"/>
    </row>
    <row r="867" spans="1:3" x14ac:dyDescent="0.3">
      <c r="A867" s="9"/>
      <c r="B867" s="9"/>
      <c r="C867" s="9"/>
    </row>
    <row r="868" spans="1:3" x14ac:dyDescent="0.3">
      <c r="A868" s="9"/>
      <c r="B868" s="9"/>
      <c r="C868" s="9"/>
    </row>
    <row r="869" spans="1:3" x14ac:dyDescent="0.3">
      <c r="A869" s="9"/>
      <c r="B869" s="9"/>
      <c r="C869" s="9"/>
    </row>
    <row r="870" spans="1:3" x14ac:dyDescent="0.3">
      <c r="A870" s="9"/>
      <c r="B870" s="9"/>
      <c r="C870" s="9"/>
    </row>
    <row r="871" spans="1:3" x14ac:dyDescent="0.3">
      <c r="A871" s="9"/>
      <c r="B871" s="9"/>
      <c r="C871" s="9"/>
    </row>
    <row r="872" spans="1:3" x14ac:dyDescent="0.3">
      <c r="A872" s="9"/>
      <c r="B872" s="9"/>
      <c r="C872" s="9"/>
    </row>
    <row r="873" spans="1:3" x14ac:dyDescent="0.3">
      <c r="A873" s="9"/>
      <c r="B873" s="9"/>
      <c r="C873" s="9"/>
    </row>
    <row r="874" spans="1:3" x14ac:dyDescent="0.3">
      <c r="A874" s="9"/>
      <c r="B874" s="9"/>
      <c r="C874" s="9"/>
    </row>
    <row r="875" spans="1:3" x14ac:dyDescent="0.3">
      <c r="A875" s="9"/>
      <c r="B875" s="9"/>
      <c r="C875" s="9"/>
    </row>
    <row r="876" spans="1:3" x14ac:dyDescent="0.3">
      <c r="A876" s="9"/>
      <c r="B876" s="9"/>
      <c r="C876" s="9"/>
    </row>
    <row r="877" spans="1:3" x14ac:dyDescent="0.3">
      <c r="A877" s="9"/>
      <c r="B877" s="9"/>
      <c r="C877" s="9"/>
    </row>
    <row r="878" spans="1:3" x14ac:dyDescent="0.3">
      <c r="A878" s="9"/>
      <c r="B878" s="9"/>
      <c r="C878" s="9"/>
    </row>
    <row r="879" spans="1:3" x14ac:dyDescent="0.3">
      <c r="A879" s="9"/>
      <c r="B879" s="9"/>
      <c r="C879" s="9"/>
    </row>
    <row r="880" spans="1:3" x14ac:dyDescent="0.3">
      <c r="A880" s="9"/>
      <c r="B880" s="9"/>
      <c r="C880" s="9"/>
    </row>
    <row r="881" spans="1:3" x14ac:dyDescent="0.3">
      <c r="A881" s="9"/>
      <c r="B881" s="9"/>
      <c r="C881" s="9"/>
    </row>
    <row r="882" spans="1:3" x14ac:dyDescent="0.3">
      <c r="A882" s="9"/>
      <c r="B882" s="9"/>
      <c r="C882" s="9"/>
    </row>
    <row r="883" spans="1:3" x14ac:dyDescent="0.3">
      <c r="A883" s="9"/>
      <c r="B883" s="9"/>
      <c r="C883" s="9"/>
    </row>
    <row r="884" spans="1:3" x14ac:dyDescent="0.3">
      <c r="A884" s="9"/>
      <c r="B884" s="9"/>
      <c r="C884" s="9"/>
    </row>
    <row r="885" spans="1:3" x14ac:dyDescent="0.3">
      <c r="A885" s="9"/>
      <c r="B885" s="9"/>
      <c r="C885" s="9"/>
    </row>
    <row r="886" spans="1:3" x14ac:dyDescent="0.3">
      <c r="A886" s="9"/>
      <c r="B886" s="9"/>
      <c r="C886" s="9"/>
    </row>
    <row r="887" spans="1:3" x14ac:dyDescent="0.3">
      <c r="A887" s="9"/>
      <c r="B887" s="9"/>
      <c r="C887" s="9"/>
    </row>
    <row r="888" spans="1:3" x14ac:dyDescent="0.3">
      <c r="A888" s="9"/>
      <c r="B888" s="9"/>
      <c r="C888" s="9"/>
    </row>
    <row r="889" spans="1:3" x14ac:dyDescent="0.3">
      <c r="A889" s="9"/>
      <c r="B889" s="9"/>
      <c r="C889" s="9"/>
    </row>
    <row r="890" spans="1:3" x14ac:dyDescent="0.3">
      <c r="A890" s="9"/>
      <c r="B890" s="9"/>
      <c r="C890" s="9"/>
    </row>
    <row r="891" spans="1:3" x14ac:dyDescent="0.3">
      <c r="A891" s="9"/>
      <c r="B891" s="9"/>
      <c r="C891" s="9"/>
    </row>
    <row r="892" spans="1:3" x14ac:dyDescent="0.3">
      <c r="A892" s="9"/>
      <c r="B892" s="9"/>
      <c r="C892" s="9"/>
    </row>
    <row r="893" spans="1:3" x14ac:dyDescent="0.3">
      <c r="A893" s="9"/>
      <c r="B893" s="9"/>
      <c r="C893" s="9"/>
    </row>
    <row r="894" spans="1:3" x14ac:dyDescent="0.3">
      <c r="A894" s="9"/>
      <c r="B894" s="9"/>
      <c r="C894" s="9"/>
    </row>
    <row r="895" spans="1:3" x14ac:dyDescent="0.3">
      <c r="A895" s="9"/>
      <c r="B895" s="9"/>
      <c r="C895" s="9"/>
    </row>
    <row r="896" spans="1:3" x14ac:dyDescent="0.3">
      <c r="A896" s="9"/>
      <c r="B896" s="9"/>
      <c r="C896" s="9"/>
    </row>
    <row r="897" spans="1:3" x14ac:dyDescent="0.3">
      <c r="A897" s="9"/>
      <c r="B897" s="9"/>
      <c r="C897" s="9"/>
    </row>
    <row r="898" spans="1:3" x14ac:dyDescent="0.3">
      <c r="A898" s="9"/>
      <c r="B898" s="9"/>
      <c r="C898" s="9"/>
    </row>
    <row r="899" spans="1:3" x14ac:dyDescent="0.3">
      <c r="A899" s="9"/>
      <c r="B899" s="9"/>
      <c r="C899" s="9"/>
    </row>
    <row r="900" spans="1:3" x14ac:dyDescent="0.3">
      <c r="A900" s="9"/>
      <c r="B900" s="9"/>
      <c r="C900" s="9"/>
    </row>
    <row r="901" spans="1:3" x14ac:dyDescent="0.3">
      <c r="A901" s="9"/>
      <c r="B901" s="9"/>
      <c r="C901" s="9"/>
    </row>
    <row r="902" spans="1:3" x14ac:dyDescent="0.3">
      <c r="A902" s="9"/>
      <c r="B902" s="9"/>
      <c r="C902" s="9"/>
    </row>
    <row r="903" spans="1:3" x14ac:dyDescent="0.3">
      <c r="A903" s="9"/>
      <c r="B903" s="9"/>
      <c r="C903" s="9"/>
    </row>
    <row r="904" spans="1:3" x14ac:dyDescent="0.3">
      <c r="A904" s="9"/>
      <c r="B904" s="9"/>
      <c r="C904" s="9"/>
    </row>
    <row r="905" spans="1:3" x14ac:dyDescent="0.3">
      <c r="A905" s="9"/>
      <c r="B905" s="9"/>
      <c r="C905" s="9"/>
    </row>
    <row r="906" spans="1:3" x14ac:dyDescent="0.3">
      <c r="A906" s="9"/>
      <c r="B906" s="9"/>
      <c r="C906" s="9"/>
    </row>
    <row r="907" spans="1:3" x14ac:dyDescent="0.3">
      <c r="A907" s="9"/>
      <c r="B907" s="9"/>
      <c r="C907" s="9"/>
    </row>
    <row r="908" spans="1:3" x14ac:dyDescent="0.3">
      <c r="A908" s="9"/>
      <c r="B908" s="9"/>
      <c r="C908" s="9"/>
    </row>
  </sheetData>
  <mergeCells count="2">
    <mergeCell ref="A7:C7"/>
    <mergeCell ref="A6:C6"/>
  </mergeCells>
  <pageMargins left="0.7" right="0.7" top="0.75" bottom="0.75" header="0.3" footer="0.3"/>
  <pageSetup paperSize="9"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20"/>
  <sheetViews>
    <sheetView zoomScaleNormal="100" zoomScaleSheetLayoutView="98" workbookViewId="0">
      <selection activeCell="H611" sqref="H611"/>
    </sheetView>
  </sheetViews>
  <sheetFormatPr defaultRowHeight="18.350000000000001" outlineLevelRow="6" x14ac:dyDescent="0.3"/>
  <cols>
    <col min="1" max="1" width="80.125" style="87" customWidth="1"/>
    <col min="2" max="2" width="8.375" style="87" customWidth="1"/>
    <col min="3" max="3" width="22.125" style="87" customWidth="1"/>
    <col min="4" max="4" width="7.125" style="87" customWidth="1"/>
    <col min="5" max="5" width="18.375" style="87" customWidth="1"/>
    <col min="6" max="6" width="13.125" style="69" bestFit="1" customWidth="1"/>
    <col min="7" max="7" width="18" style="69" customWidth="1"/>
    <col min="8" max="8" width="23.875" style="69" customWidth="1"/>
    <col min="9" max="252" width="9.125" style="69"/>
    <col min="253" max="253" width="76.375" style="69" customWidth="1"/>
    <col min="254" max="254" width="7.625" style="69" customWidth="1"/>
    <col min="255" max="255" width="9.625" style="69" customWidth="1"/>
    <col min="256" max="256" width="7.625" style="69" customWidth="1"/>
    <col min="257" max="257" width="14.375" style="69" customWidth="1"/>
    <col min="258" max="508" width="9.125" style="69"/>
    <col min="509" max="509" width="76.375" style="69" customWidth="1"/>
    <col min="510" max="510" width="7.625" style="69" customWidth="1"/>
    <col min="511" max="511" width="9.625" style="69" customWidth="1"/>
    <col min="512" max="512" width="7.625" style="69" customWidth="1"/>
    <col min="513" max="513" width="14.375" style="69" customWidth="1"/>
    <col min="514" max="764" width="9.125" style="69"/>
    <col min="765" max="765" width="76.375" style="69" customWidth="1"/>
    <col min="766" max="766" width="7.625" style="69" customWidth="1"/>
    <col min="767" max="767" width="9.625" style="69" customWidth="1"/>
    <col min="768" max="768" width="7.625" style="69" customWidth="1"/>
    <col min="769" max="769" width="14.375" style="69" customWidth="1"/>
    <col min="770" max="1020" width="9.125" style="69"/>
    <col min="1021" max="1021" width="76.375" style="69" customWidth="1"/>
    <col min="1022" max="1022" width="7.625" style="69" customWidth="1"/>
    <col min="1023" max="1023" width="9.625" style="69" customWidth="1"/>
    <col min="1024" max="1024" width="7.625" style="69" customWidth="1"/>
    <col min="1025" max="1025" width="14.375" style="69" customWidth="1"/>
    <col min="1026" max="1276" width="9.125" style="69"/>
    <col min="1277" max="1277" width="76.375" style="69" customWidth="1"/>
    <col min="1278" max="1278" width="7.625" style="69" customWidth="1"/>
    <col min="1279" max="1279" width="9.625" style="69" customWidth="1"/>
    <col min="1280" max="1280" width="7.625" style="69" customWidth="1"/>
    <col min="1281" max="1281" width="14.375" style="69" customWidth="1"/>
    <col min="1282" max="1532" width="9.125" style="69"/>
    <col min="1533" max="1533" width="76.375" style="69" customWidth="1"/>
    <col min="1534" max="1534" width="7.625" style="69" customWidth="1"/>
    <col min="1535" max="1535" width="9.625" style="69" customWidth="1"/>
    <col min="1536" max="1536" width="7.625" style="69" customWidth="1"/>
    <col min="1537" max="1537" width="14.375" style="69" customWidth="1"/>
    <col min="1538" max="1788" width="9.125" style="69"/>
    <col min="1789" max="1789" width="76.375" style="69" customWidth="1"/>
    <col min="1790" max="1790" width="7.625" style="69" customWidth="1"/>
    <col min="1791" max="1791" width="9.625" style="69" customWidth="1"/>
    <col min="1792" max="1792" width="7.625" style="69" customWidth="1"/>
    <col min="1793" max="1793" width="14.375" style="69" customWidth="1"/>
    <col min="1794" max="2044" width="9.125" style="69"/>
    <col min="2045" max="2045" width="76.375" style="69" customWidth="1"/>
    <col min="2046" max="2046" width="7.625" style="69" customWidth="1"/>
    <col min="2047" max="2047" width="9.625" style="69" customWidth="1"/>
    <col min="2048" max="2048" width="7.625" style="69" customWidth="1"/>
    <col min="2049" max="2049" width="14.375" style="69" customWidth="1"/>
    <col min="2050" max="2300" width="9.125" style="69"/>
    <col min="2301" max="2301" width="76.375" style="69" customWidth="1"/>
    <col min="2302" max="2302" width="7.625" style="69" customWidth="1"/>
    <col min="2303" max="2303" width="9.625" style="69" customWidth="1"/>
    <col min="2304" max="2304" width="7.625" style="69" customWidth="1"/>
    <col min="2305" max="2305" width="14.375" style="69" customWidth="1"/>
    <col min="2306" max="2556" width="9.125" style="69"/>
    <col min="2557" max="2557" width="76.375" style="69" customWidth="1"/>
    <col min="2558" max="2558" width="7.625" style="69" customWidth="1"/>
    <col min="2559" max="2559" width="9.625" style="69" customWidth="1"/>
    <col min="2560" max="2560" width="7.625" style="69" customWidth="1"/>
    <col min="2561" max="2561" width="14.375" style="69" customWidth="1"/>
    <col min="2562" max="2812" width="9.125" style="69"/>
    <col min="2813" max="2813" width="76.375" style="69" customWidth="1"/>
    <col min="2814" max="2814" width="7.625" style="69" customWidth="1"/>
    <col min="2815" max="2815" width="9.625" style="69" customWidth="1"/>
    <col min="2816" max="2816" width="7.625" style="69" customWidth="1"/>
    <col min="2817" max="2817" width="14.375" style="69" customWidth="1"/>
    <col min="2818" max="3068" width="9.125" style="69"/>
    <col min="3069" max="3069" width="76.375" style="69" customWidth="1"/>
    <col min="3070" max="3070" width="7.625" style="69" customWidth="1"/>
    <col min="3071" max="3071" width="9.625" style="69" customWidth="1"/>
    <col min="3072" max="3072" width="7.625" style="69" customWidth="1"/>
    <col min="3073" max="3073" width="14.375" style="69" customWidth="1"/>
    <col min="3074" max="3324" width="9.125" style="69"/>
    <col min="3325" max="3325" width="76.375" style="69" customWidth="1"/>
    <col min="3326" max="3326" width="7.625" style="69" customWidth="1"/>
    <col min="3327" max="3327" width="9.625" style="69" customWidth="1"/>
    <col min="3328" max="3328" width="7.625" style="69" customWidth="1"/>
    <col min="3329" max="3329" width="14.375" style="69" customWidth="1"/>
    <col min="3330" max="3580" width="9.125" style="69"/>
    <col min="3581" max="3581" width="76.375" style="69" customWidth="1"/>
    <col min="3582" max="3582" width="7.625" style="69" customWidth="1"/>
    <col min="3583" max="3583" width="9.625" style="69" customWidth="1"/>
    <col min="3584" max="3584" width="7.625" style="69" customWidth="1"/>
    <col min="3585" max="3585" width="14.375" style="69" customWidth="1"/>
    <col min="3586" max="3836" width="9.125" style="69"/>
    <col min="3837" max="3837" width="76.375" style="69" customWidth="1"/>
    <col min="3838" max="3838" width="7.625" style="69" customWidth="1"/>
    <col min="3839" max="3839" width="9.625" style="69" customWidth="1"/>
    <col min="3840" max="3840" width="7.625" style="69" customWidth="1"/>
    <col min="3841" max="3841" width="14.375" style="69" customWidth="1"/>
    <col min="3842" max="4092" width="9.125" style="69"/>
    <col min="4093" max="4093" width="76.375" style="69" customWidth="1"/>
    <col min="4094" max="4094" width="7.625" style="69" customWidth="1"/>
    <col min="4095" max="4095" width="9.625" style="69" customWidth="1"/>
    <col min="4096" max="4096" width="7.625" style="69" customWidth="1"/>
    <col min="4097" max="4097" width="14.375" style="69" customWidth="1"/>
    <col min="4098" max="4348" width="9.125" style="69"/>
    <col min="4349" max="4349" width="76.375" style="69" customWidth="1"/>
    <col min="4350" max="4350" width="7.625" style="69" customWidth="1"/>
    <col min="4351" max="4351" width="9.625" style="69" customWidth="1"/>
    <col min="4352" max="4352" width="7.625" style="69" customWidth="1"/>
    <col min="4353" max="4353" width="14.375" style="69" customWidth="1"/>
    <col min="4354" max="4604" width="9.125" style="69"/>
    <col min="4605" max="4605" width="76.375" style="69" customWidth="1"/>
    <col min="4606" max="4606" width="7.625" style="69" customWidth="1"/>
    <col min="4607" max="4607" width="9.625" style="69" customWidth="1"/>
    <col min="4608" max="4608" width="7.625" style="69" customWidth="1"/>
    <col min="4609" max="4609" width="14.375" style="69" customWidth="1"/>
    <col min="4610" max="4860" width="9.125" style="69"/>
    <col min="4861" max="4861" width="76.375" style="69" customWidth="1"/>
    <col min="4862" max="4862" width="7.625" style="69" customWidth="1"/>
    <col min="4863" max="4863" width="9.625" style="69" customWidth="1"/>
    <col min="4864" max="4864" width="7.625" style="69" customWidth="1"/>
    <col min="4865" max="4865" width="14.375" style="69" customWidth="1"/>
    <col min="4866" max="5116" width="9.125" style="69"/>
    <col min="5117" max="5117" width="76.375" style="69" customWidth="1"/>
    <col min="5118" max="5118" width="7.625" style="69" customWidth="1"/>
    <col min="5119" max="5119" width="9.625" style="69" customWidth="1"/>
    <col min="5120" max="5120" width="7.625" style="69" customWidth="1"/>
    <col min="5121" max="5121" width="14.375" style="69" customWidth="1"/>
    <col min="5122" max="5372" width="9.125" style="69"/>
    <col min="5373" max="5373" width="76.375" style="69" customWidth="1"/>
    <col min="5374" max="5374" width="7.625" style="69" customWidth="1"/>
    <col min="5375" max="5375" width="9.625" style="69" customWidth="1"/>
    <col min="5376" max="5376" width="7.625" style="69" customWidth="1"/>
    <col min="5377" max="5377" width="14.375" style="69" customWidth="1"/>
    <col min="5378" max="5628" width="9.125" style="69"/>
    <col min="5629" max="5629" width="76.375" style="69" customWidth="1"/>
    <col min="5630" max="5630" width="7.625" style="69" customWidth="1"/>
    <col min="5631" max="5631" width="9.625" style="69" customWidth="1"/>
    <col min="5632" max="5632" width="7.625" style="69" customWidth="1"/>
    <col min="5633" max="5633" width="14.375" style="69" customWidth="1"/>
    <col min="5634" max="5884" width="9.125" style="69"/>
    <col min="5885" max="5885" width="76.375" style="69" customWidth="1"/>
    <col min="5886" max="5886" width="7.625" style="69" customWidth="1"/>
    <col min="5887" max="5887" width="9.625" style="69" customWidth="1"/>
    <col min="5888" max="5888" width="7.625" style="69" customWidth="1"/>
    <col min="5889" max="5889" width="14.375" style="69" customWidth="1"/>
    <col min="5890" max="6140" width="9.125" style="69"/>
    <col min="6141" max="6141" width="76.375" style="69" customWidth="1"/>
    <col min="6142" max="6142" width="7.625" style="69" customWidth="1"/>
    <col min="6143" max="6143" width="9.625" style="69" customWidth="1"/>
    <col min="6144" max="6144" width="7.625" style="69" customWidth="1"/>
    <col min="6145" max="6145" width="14.375" style="69" customWidth="1"/>
    <col min="6146" max="6396" width="9.125" style="69"/>
    <col min="6397" max="6397" width="76.375" style="69" customWidth="1"/>
    <col min="6398" max="6398" width="7.625" style="69" customWidth="1"/>
    <col min="6399" max="6399" width="9.625" style="69" customWidth="1"/>
    <col min="6400" max="6400" width="7.625" style="69" customWidth="1"/>
    <col min="6401" max="6401" width="14.375" style="69" customWidth="1"/>
    <col min="6402" max="6652" width="9.125" style="69"/>
    <col min="6653" max="6653" width="76.375" style="69" customWidth="1"/>
    <col min="6654" max="6654" width="7.625" style="69" customWidth="1"/>
    <col min="6655" max="6655" width="9.625" style="69" customWidth="1"/>
    <col min="6656" max="6656" width="7.625" style="69" customWidth="1"/>
    <col min="6657" max="6657" width="14.375" style="69" customWidth="1"/>
    <col min="6658" max="6908" width="9.125" style="69"/>
    <col min="6909" max="6909" width="76.375" style="69" customWidth="1"/>
    <col min="6910" max="6910" width="7.625" style="69" customWidth="1"/>
    <col min="6911" max="6911" width="9.625" style="69" customWidth="1"/>
    <col min="6912" max="6912" width="7.625" style="69" customWidth="1"/>
    <col min="6913" max="6913" width="14.375" style="69" customWidth="1"/>
    <col min="6914" max="7164" width="9.125" style="69"/>
    <col min="7165" max="7165" width="76.375" style="69" customWidth="1"/>
    <col min="7166" max="7166" width="7.625" style="69" customWidth="1"/>
    <col min="7167" max="7167" width="9.625" style="69" customWidth="1"/>
    <col min="7168" max="7168" width="7.625" style="69" customWidth="1"/>
    <col min="7169" max="7169" width="14.375" style="69" customWidth="1"/>
    <col min="7170" max="7420" width="9.125" style="69"/>
    <col min="7421" max="7421" width="76.375" style="69" customWidth="1"/>
    <col min="7422" max="7422" width="7.625" style="69" customWidth="1"/>
    <col min="7423" max="7423" width="9.625" style="69" customWidth="1"/>
    <col min="7424" max="7424" width="7.625" style="69" customWidth="1"/>
    <col min="7425" max="7425" width="14.375" style="69" customWidth="1"/>
    <col min="7426" max="7676" width="9.125" style="69"/>
    <col min="7677" max="7677" width="76.375" style="69" customWidth="1"/>
    <col min="7678" max="7678" width="7.625" style="69" customWidth="1"/>
    <col min="7679" max="7679" width="9.625" style="69" customWidth="1"/>
    <col min="7680" max="7680" width="7.625" style="69" customWidth="1"/>
    <col min="7681" max="7681" width="14.375" style="69" customWidth="1"/>
    <col min="7682" max="7932" width="9.125" style="69"/>
    <col min="7933" max="7933" width="76.375" style="69" customWidth="1"/>
    <col min="7934" max="7934" width="7.625" style="69" customWidth="1"/>
    <col min="7935" max="7935" width="9.625" style="69" customWidth="1"/>
    <col min="7936" max="7936" width="7.625" style="69" customWidth="1"/>
    <col min="7937" max="7937" width="14.375" style="69" customWidth="1"/>
    <col min="7938" max="8188" width="9.125" style="69"/>
    <col min="8189" max="8189" width="76.375" style="69" customWidth="1"/>
    <col min="8190" max="8190" width="7.625" style="69" customWidth="1"/>
    <col min="8191" max="8191" width="9.625" style="69" customWidth="1"/>
    <col min="8192" max="8192" width="7.625" style="69" customWidth="1"/>
    <col min="8193" max="8193" width="14.375" style="69" customWidth="1"/>
    <col min="8194" max="8444" width="9.125" style="69"/>
    <col min="8445" max="8445" width="76.375" style="69" customWidth="1"/>
    <col min="8446" max="8446" width="7.625" style="69" customWidth="1"/>
    <col min="8447" max="8447" width="9.625" style="69" customWidth="1"/>
    <col min="8448" max="8448" width="7.625" style="69" customWidth="1"/>
    <col min="8449" max="8449" width="14.375" style="69" customWidth="1"/>
    <col min="8450" max="8700" width="9.125" style="69"/>
    <col min="8701" max="8701" width="76.375" style="69" customWidth="1"/>
    <col min="8702" max="8702" width="7.625" style="69" customWidth="1"/>
    <col min="8703" max="8703" width="9.625" style="69" customWidth="1"/>
    <col min="8704" max="8704" width="7.625" style="69" customWidth="1"/>
    <col min="8705" max="8705" width="14.375" style="69" customWidth="1"/>
    <col min="8706" max="8956" width="9.125" style="69"/>
    <col min="8957" max="8957" width="76.375" style="69" customWidth="1"/>
    <col min="8958" max="8958" width="7.625" style="69" customWidth="1"/>
    <col min="8959" max="8959" width="9.625" style="69" customWidth="1"/>
    <col min="8960" max="8960" width="7.625" style="69" customWidth="1"/>
    <col min="8961" max="8961" width="14.375" style="69" customWidth="1"/>
    <col min="8962" max="9212" width="9.125" style="69"/>
    <col min="9213" max="9213" width="76.375" style="69" customWidth="1"/>
    <col min="9214" max="9214" width="7.625" style="69" customWidth="1"/>
    <col min="9215" max="9215" width="9.625" style="69" customWidth="1"/>
    <col min="9216" max="9216" width="7.625" style="69" customWidth="1"/>
    <col min="9217" max="9217" width="14.375" style="69" customWidth="1"/>
    <col min="9218" max="9468" width="9.125" style="69"/>
    <col min="9469" max="9469" width="76.375" style="69" customWidth="1"/>
    <col min="9470" max="9470" width="7.625" style="69" customWidth="1"/>
    <col min="9471" max="9471" width="9.625" style="69" customWidth="1"/>
    <col min="9472" max="9472" width="7.625" style="69" customWidth="1"/>
    <col min="9473" max="9473" width="14.375" style="69" customWidth="1"/>
    <col min="9474" max="9724" width="9.125" style="69"/>
    <col min="9725" max="9725" width="76.375" style="69" customWidth="1"/>
    <col min="9726" max="9726" width="7.625" style="69" customWidth="1"/>
    <col min="9727" max="9727" width="9.625" style="69" customWidth="1"/>
    <col min="9728" max="9728" width="7.625" style="69" customWidth="1"/>
    <col min="9729" max="9729" width="14.375" style="69" customWidth="1"/>
    <col min="9730" max="9980" width="9.125" style="69"/>
    <col min="9981" max="9981" width="76.375" style="69" customWidth="1"/>
    <col min="9982" max="9982" width="7.625" style="69" customWidth="1"/>
    <col min="9983" max="9983" width="9.625" style="69" customWidth="1"/>
    <col min="9984" max="9984" width="7.625" style="69" customWidth="1"/>
    <col min="9985" max="9985" width="14.375" style="69" customWidth="1"/>
    <col min="9986" max="10236" width="9.125" style="69"/>
    <col min="10237" max="10237" width="76.375" style="69" customWidth="1"/>
    <col min="10238" max="10238" width="7.625" style="69" customWidth="1"/>
    <col min="10239" max="10239" width="9.625" style="69" customWidth="1"/>
    <col min="10240" max="10240" width="7.625" style="69" customWidth="1"/>
    <col min="10241" max="10241" width="14.375" style="69" customWidth="1"/>
    <col min="10242" max="10492" width="9.125" style="69"/>
    <col min="10493" max="10493" width="76.375" style="69" customWidth="1"/>
    <col min="10494" max="10494" width="7.625" style="69" customWidth="1"/>
    <col min="10495" max="10495" width="9.625" style="69" customWidth="1"/>
    <col min="10496" max="10496" width="7.625" style="69" customWidth="1"/>
    <col min="10497" max="10497" width="14.375" style="69" customWidth="1"/>
    <col min="10498" max="10748" width="9.125" style="69"/>
    <col min="10749" max="10749" width="76.375" style="69" customWidth="1"/>
    <col min="10750" max="10750" width="7.625" style="69" customWidth="1"/>
    <col min="10751" max="10751" width="9.625" style="69" customWidth="1"/>
    <col min="10752" max="10752" width="7.625" style="69" customWidth="1"/>
    <col min="10753" max="10753" width="14.375" style="69" customWidth="1"/>
    <col min="10754" max="11004" width="9.125" style="69"/>
    <col min="11005" max="11005" width="76.375" style="69" customWidth="1"/>
    <col min="11006" max="11006" width="7.625" style="69" customWidth="1"/>
    <col min="11007" max="11007" width="9.625" style="69" customWidth="1"/>
    <col min="11008" max="11008" width="7.625" style="69" customWidth="1"/>
    <col min="11009" max="11009" width="14.375" style="69" customWidth="1"/>
    <col min="11010" max="11260" width="9.125" style="69"/>
    <col min="11261" max="11261" width="76.375" style="69" customWidth="1"/>
    <col min="11262" max="11262" width="7.625" style="69" customWidth="1"/>
    <col min="11263" max="11263" width="9.625" style="69" customWidth="1"/>
    <col min="11264" max="11264" width="7.625" style="69" customWidth="1"/>
    <col min="11265" max="11265" width="14.375" style="69" customWidth="1"/>
    <col min="11266" max="11516" width="9.125" style="69"/>
    <col min="11517" max="11517" width="76.375" style="69" customWidth="1"/>
    <col min="11518" max="11518" width="7.625" style="69" customWidth="1"/>
    <col min="11519" max="11519" width="9.625" style="69" customWidth="1"/>
    <col min="11520" max="11520" width="7.625" style="69" customWidth="1"/>
    <col min="11521" max="11521" width="14.375" style="69" customWidth="1"/>
    <col min="11522" max="11772" width="9.125" style="69"/>
    <col min="11773" max="11773" width="76.375" style="69" customWidth="1"/>
    <col min="11774" max="11774" width="7.625" style="69" customWidth="1"/>
    <col min="11775" max="11775" width="9.625" style="69" customWidth="1"/>
    <col min="11776" max="11776" width="7.625" style="69" customWidth="1"/>
    <col min="11777" max="11777" width="14.375" style="69" customWidth="1"/>
    <col min="11778" max="12028" width="9.125" style="69"/>
    <col min="12029" max="12029" width="76.375" style="69" customWidth="1"/>
    <col min="12030" max="12030" width="7.625" style="69" customWidth="1"/>
    <col min="12031" max="12031" width="9.625" style="69" customWidth="1"/>
    <col min="12032" max="12032" width="7.625" style="69" customWidth="1"/>
    <col min="12033" max="12033" width="14.375" style="69" customWidth="1"/>
    <col min="12034" max="12284" width="9.125" style="69"/>
    <col min="12285" max="12285" width="76.375" style="69" customWidth="1"/>
    <col min="12286" max="12286" width="7.625" style="69" customWidth="1"/>
    <col min="12287" max="12287" width="9.625" style="69" customWidth="1"/>
    <col min="12288" max="12288" width="7.625" style="69" customWidth="1"/>
    <col min="12289" max="12289" width="14.375" style="69" customWidth="1"/>
    <col min="12290" max="12540" width="9.125" style="69"/>
    <col min="12541" max="12541" width="76.375" style="69" customWidth="1"/>
    <col min="12542" max="12542" width="7.625" style="69" customWidth="1"/>
    <col min="12543" max="12543" width="9.625" style="69" customWidth="1"/>
    <col min="12544" max="12544" width="7.625" style="69" customWidth="1"/>
    <col min="12545" max="12545" width="14.375" style="69" customWidth="1"/>
    <col min="12546" max="12796" width="9.125" style="69"/>
    <col min="12797" max="12797" width="76.375" style="69" customWidth="1"/>
    <col min="12798" max="12798" width="7.625" style="69" customWidth="1"/>
    <col min="12799" max="12799" width="9.625" style="69" customWidth="1"/>
    <col min="12800" max="12800" width="7.625" style="69" customWidth="1"/>
    <col min="12801" max="12801" width="14.375" style="69" customWidth="1"/>
    <col min="12802" max="13052" width="9.125" style="69"/>
    <col min="13053" max="13053" width="76.375" style="69" customWidth="1"/>
    <col min="13054" max="13054" width="7.625" style="69" customWidth="1"/>
    <col min="13055" max="13055" width="9.625" style="69" customWidth="1"/>
    <col min="13056" max="13056" width="7.625" style="69" customWidth="1"/>
    <col min="13057" max="13057" width="14.375" style="69" customWidth="1"/>
    <col min="13058" max="13308" width="9.125" style="69"/>
    <col min="13309" max="13309" width="76.375" style="69" customWidth="1"/>
    <col min="13310" max="13310" width="7.625" style="69" customWidth="1"/>
    <col min="13311" max="13311" width="9.625" style="69" customWidth="1"/>
    <col min="13312" max="13312" width="7.625" style="69" customWidth="1"/>
    <col min="13313" max="13313" width="14.375" style="69" customWidth="1"/>
    <col min="13314" max="13564" width="9.125" style="69"/>
    <col min="13565" max="13565" width="76.375" style="69" customWidth="1"/>
    <col min="13566" max="13566" width="7.625" style="69" customWidth="1"/>
    <col min="13567" max="13567" width="9.625" style="69" customWidth="1"/>
    <col min="13568" max="13568" width="7.625" style="69" customWidth="1"/>
    <col min="13569" max="13569" width="14.375" style="69" customWidth="1"/>
    <col min="13570" max="13820" width="9.125" style="69"/>
    <col min="13821" max="13821" width="76.375" style="69" customWidth="1"/>
    <col min="13822" max="13822" width="7.625" style="69" customWidth="1"/>
    <col min="13823" max="13823" width="9.625" style="69" customWidth="1"/>
    <col min="13824" max="13824" width="7.625" style="69" customWidth="1"/>
    <col min="13825" max="13825" width="14.375" style="69" customWidth="1"/>
    <col min="13826" max="14076" width="9.125" style="69"/>
    <col min="14077" max="14077" width="76.375" style="69" customWidth="1"/>
    <col min="14078" max="14078" width="7.625" style="69" customWidth="1"/>
    <col min="14079" max="14079" width="9.625" style="69" customWidth="1"/>
    <col min="14080" max="14080" width="7.625" style="69" customWidth="1"/>
    <col min="14081" max="14081" width="14.375" style="69" customWidth="1"/>
    <col min="14082" max="14332" width="9.125" style="69"/>
    <col min="14333" max="14333" width="76.375" style="69" customWidth="1"/>
    <col min="14334" max="14334" width="7.625" style="69" customWidth="1"/>
    <col min="14335" max="14335" width="9.625" style="69" customWidth="1"/>
    <col min="14336" max="14336" width="7.625" style="69" customWidth="1"/>
    <col min="14337" max="14337" width="14.375" style="69" customWidth="1"/>
    <col min="14338" max="14588" width="9.125" style="69"/>
    <col min="14589" max="14589" width="76.375" style="69" customWidth="1"/>
    <col min="14590" max="14590" width="7.625" style="69" customWidth="1"/>
    <col min="14591" max="14591" width="9.625" style="69" customWidth="1"/>
    <col min="14592" max="14592" width="7.625" style="69" customWidth="1"/>
    <col min="14593" max="14593" width="14.375" style="69" customWidth="1"/>
    <col min="14594" max="14844" width="9.125" style="69"/>
    <col min="14845" max="14845" width="76.375" style="69" customWidth="1"/>
    <col min="14846" max="14846" width="7.625" style="69" customWidth="1"/>
    <col min="14847" max="14847" width="9.625" style="69" customWidth="1"/>
    <col min="14848" max="14848" width="7.625" style="69" customWidth="1"/>
    <col min="14849" max="14849" width="14.375" style="69" customWidth="1"/>
    <col min="14850" max="15100" width="9.125" style="69"/>
    <col min="15101" max="15101" width="76.375" style="69" customWidth="1"/>
    <col min="15102" max="15102" width="7.625" style="69" customWidth="1"/>
    <col min="15103" max="15103" width="9.625" style="69" customWidth="1"/>
    <col min="15104" max="15104" width="7.625" style="69" customWidth="1"/>
    <col min="15105" max="15105" width="14.375" style="69" customWidth="1"/>
    <col min="15106" max="15356" width="9.125" style="69"/>
    <col min="15357" max="15357" width="76.375" style="69" customWidth="1"/>
    <col min="15358" max="15358" width="7.625" style="69" customWidth="1"/>
    <col min="15359" max="15359" width="9.625" style="69" customWidth="1"/>
    <col min="15360" max="15360" width="7.625" style="69" customWidth="1"/>
    <col min="15361" max="15361" width="14.375" style="69" customWidth="1"/>
    <col min="15362" max="15612" width="9.125" style="69"/>
    <col min="15613" max="15613" width="76.375" style="69" customWidth="1"/>
    <col min="15614" max="15614" width="7.625" style="69" customWidth="1"/>
    <col min="15615" max="15615" width="9.625" style="69" customWidth="1"/>
    <col min="15616" max="15616" width="7.625" style="69" customWidth="1"/>
    <col min="15617" max="15617" width="14.375" style="69" customWidth="1"/>
    <col min="15618" max="15868" width="9.125" style="69"/>
    <col min="15869" max="15869" width="76.375" style="69" customWidth="1"/>
    <col min="15870" max="15870" width="7.625" style="69" customWidth="1"/>
    <col min="15871" max="15871" width="9.625" style="69" customWidth="1"/>
    <col min="15872" max="15872" width="7.625" style="69" customWidth="1"/>
    <col min="15873" max="15873" width="14.375" style="69" customWidth="1"/>
    <col min="15874" max="16124" width="9.125" style="69"/>
    <col min="16125" max="16125" width="76.375" style="69" customWidth="1"/>
    <col min="16126" max="16126" width="7.625" style="69" customWidth="1"/>
    <col min="16127" max="16127" width="9.625" style="69" customWidth="1"/>
    <col min="16128" max="16128" width="7.625" style="69" customWidth="1"/>
    <col min="16129" max="16129" width="14.375" style="69" customWidth="1"/>
    <col min="16130" max="16384" width="9.125" style="69"/>
  </cols>
  <sheetData>
    <row r="1" spans="1:7" x14ac:dyDescent="0.3">
      <c r="E1" s="634" t="s">
        <v>1144</v>
      </c>
    </row>
    <row r="2" spans="1:7" x14ac:dyDescent="0.3">
      <c r="E2" s="634" t="s">
        <v>800</v>
      </c>
    </row>
    <row r="3" spans="1:7" x14ac:dyDescent="0.3">
      <c r="E3" s="634" t="s">
        <v>591</v>
      </c>
    </row>
    <row r="4" spans="1:7" x14ac:dyDescent="0.3">
      <c r="E4" s="634" t="s">
        <v>887</v>
      </c>
    </row>
    <row r="5" spans="1:7" hidden="1" x14ac:dyDescent="0.3">
      <c r="E5" s="634" t="s">
        <v>249</v>
      </c>
    </row>
    <row r="6" spans="1:7" hidden="1" x14ac:dyDescent="0.3">
      <c r="E6" s="634" t="s">
        <v>1044</v>
      </c>
    </row>
    <row r="7" spans="1:7" hidden="1" x14ac:dyDescent="0.3">
      <c r="E7" s="634" t="s">
        <v>591</v>
      </c>
    </row>
    <row r="8" spans="1:7" hidden="1" x14ac:dyDescent="0.3">
      <c r="E8" s="634" t="s">
        <v>1061</v>
      </c>
    </row>
    <row r="9" spans="1:7" ht="19.05" x14ac:dyDescent="0.35">
      <c r="A9" s="659" t="s">
        <v>194</v>
      </c>
      <c r="B9" s="660"/>
      <c r="C9" s="660"/>
      <c r="D9" s="660"/>
      <c r="E9" s="660"/>
    </row>
    <row r="10" spans="1:7" x14ac:dyDescent="0.3">
      <c r="A10" s="651" t="s">
        <v>1135</v>
      </c>
      <c r="B10" s="661"/>
      <c r="C10" s="661"/>
      <c r="D10" s="661"/>
      <c r="E10" s="661"/>
    </row>
    <row r="11" spans="1:7" x14ac:dyDescent="0.3">
      <c r="A11" s="651" t="s">
        <v>631</v>
      </c>
      <c r="B11" s="651"/>
      <c r="C11" s="651"/>
      <c r="D11" s="651"/>
      <c r="E11" s="651"/>
    </row>
    <row r="12" spans="1:7" x14ac:dyDescent="0.3">
      <c r="A12" s="651" t="s">
        <v>252</v>
      </c>
      <c r="B12" s="651"/>
      <c r="C12" s="651"/>
      <c r="D12" s="651"/>
      <c r="E12" s="651"/>
    </row>
    <row r="13" spans="1:7" x14ac:dyDescent="0.3">
      <c r="A13" s="651" t="s">
        <v>253</v>
      </c>
      <c r="B13" s="651"/>
      <c r="C13" s="651"/>
      <c r="D13" s="651"/>
      <c r="E13" s="651"/>
    </row>
    <row r="14" spans="1:7" x14ac:dyDescent="0.3">
      <c r="A14" s="632"/>
      <c r="B14" s="88"/>
      <c r="C14" s="88"/>
      <c r="D14" s="88"/>
      <c r="E14" s="89" t="s">
        <v>382</v>
      </c>
    </row>
    <row r="15" spans="1:7" x14ac:dyDescent="0.25">
      <c r="A15" s="72" t="s">
        <v>0</v>
      </c>
      <c r="B15" s="72" t="s">
        <v>2</v>
      </c>
      <c r="C15" s="72" t="s">
        <v>3</v>
      </c>
      <c r="D15" s="72" t="s">
        <v>4</v>
      </c>
      <c r="E15" s="72" t="s">
        <v>195</v>
      </c>
    </row>
    <row r="16" spans="1:7" s="426" customFormat="1" x14ac:dyDescent="0.25">
      <c r="A16" s="24" t="s">
        <v>7</v>
      </c>
      <c r="B16" s="35" t="s">
        <v>8</v>
      </c>
      <c r="C16" s="35" t="s">
        <v>126</v>
      </c>
      <c r="D16" s="35" t="s">
        <v>6</v>
      </c>
      <c r="E16" s="50">
        <f>E17+E22+E44+E37+E50+E70+E65</f>
        <v>152254511.57000002</v>
      </c>
      <c r="G16" s="73">
        <f>E16/'прил 7 '!F693*100</f>
        <v>13.200100023795958</v>
      </c>
    </row>
    <row r="17" spans="1:5" ht="36.700000000000003" outlineLevel="1" x14ac:dyDescent="0.25">
      <c r="A17" s="24" t="s">
        <v>28</v>
      </c>
      <c r="B17" s="23" t="s">
        <v>29</v>
      </c>
      <c r="C17" s="23" t="s">
        <v>126</v>
      </c>
      <c r="D17" s="23" t="s">
        <v>6</v>
      </c>
      <c r="E17" s="424">
        <f>E18</f>
        <v>3571200</v>
      </c>
    </row>
    <row r="18" spans="1:5" outlineLevel="2" x14ac:dyDescent="0.25">
      <c r="A18" s="24" t="s">
        <v>196</v>
      </c>
      <c r="B18" s="23" t="s">
        <v>29</v>
      </c>
      <c r="C18" s="23" t="s">
        <v>127</v>
      </c>
      <c r="D18" s="23" t="s">
        <v>6</v>
      </c>
      <c r="E18" s="424">
        <f>E19</f>
        <v>3571200</v>
      </c>
    </row>
    <row r="19" spans="1:5" outlineLevel="4" x14ac:dyDescent="0.25">
      <c r="A19" s="24" t="s">
        <v>451</v>
      </c>
      <c r="B19" s="23" t="s">
        <v>29</v>
      </c>
      <c r="C19" s="23" t="s">
        <v>452</v>
      </c>
      <c r="D19" s="23" t="s">
        <v>6</v>
      </c>
      <c r="E19" s="424">
        <f>E20</f>
        <v>3571200</v>
      </c>
    </row>
    <row r="20" spans="1:5" ht="56.25" customHeight="1" outlineLevel="5" x14ac:dyDescent="0.25">
      <c r="A20" s="24" t="s">
        <v>11</v>
      </c>
      <c r="B20" s="23" t="s">
        <v>29</v>
      </c>
      <c r="C20" s="23" t="s">
        <v>452</v>
      </c>
      <c r="D20" s="23" t="s">
        <v>12</v>
      </c>
      <c r="E20" s="424">
        <f>E21</f>
        <v>3571200</v>
      </c>
    </row>
    <row r="21" spans="1:5" ht="18" customHeight="1" outlineLevel="6" x14ac:dyDescent="0.25">
      <c r="A21" s="24" t="s">
        <v>13</v>
      </c>
      <c r="B21" s="23" t="s">
        <v>29</v>
      </c>
      <c r="C21" s="23" t="s">
        <v>452</v>
      </c>
      <c r="D21" s="23" t="s">
        <v>14</v>
      </c>
      <c r="E21" s="424">
        <f>'прил 7 '!F38</f>
        <v>3571200</v>
      </c>
    </row>
    <row r="22" spans="1:5" ht="38.25" customHeight="1" outlineLevel="1" x14ac:dyDescent="0.25">
      <c r="A22" s="24" t="s">
        <v>108</v>
      </c>
      <c r="B22" s="23" t="s">
        <v>109</v>
      </c>
      <c r="C22" s="23" t="s">
        <v>126</v>
      </c>
      <c r="D22" s="23" t="s">
        <v>6</v>
      </c>
      <c r="E22" s="424">
        <f>E23</f>
        <v>7128386.0599999996</v>
      </c>
    </row>
    <row r="23" spans="1:5" outlineLevel="3" x14ac:dyDescent="0.25">
      <c r="A23" s="24" t="s">
        <v>196</v>
      </c>
      <c r="B23" s="23" t="s">
        <v>109</v>
      </c>
      <c r="C23" s="23" t="s">
        <v>127</v>
      </c>
      <c r="D23" s="23" t="s">
        <v>6</v>
      </c>
      <c r="E23" s="424">
        <f>E24+E27+E34</f>
        <v>7128386.0599999996</v>
      </c>
    </row>
    <row r="24" spans="1:5" ht="23.3" customHeight="1" outlineLevel="4" x14ac:dyDescent="0.25">
      <c r="A24" s="24" t="s">
        <v>482</v>
      </c>
      <c r="B24" s="23" t="s">
        <v>109</v>
      </c>
      <c r="C24" s="23" t="s">
        <v>483</v>
      </c>
      <c r="D24" s="23" t="s">
        <v>6</v>
      </c>
      <c r="E24" s="424">
        <f>E25</f>
        <v>3365186.88</v>
      </c>
    </row>
    <row r="25" spans="1:5" ht="57.25" customHeight="1" outlineLevel="5" x14ac:dyDescent="0.25">
      <c r="A25" s="24" t="s">
        <v>11</v>
      </c>
      <c r="B25" s="23" t="s">
        <v>109</v>
      </c>
      <c r="C25" s="23" t="s">
        <v>483</v>
      </c>
      <c r="D25" s="23" t="s">
        <v>12</v>
      </c>
      <c r="E25" s="424">
        <f>E26</f>
        <v>3365186.88</v>
      </c>
    </row>
    <row r="26" spans="1:5" ht="16.5" customHeight="1" outlineLevel="6" x14ac:dyDescent="0.25">
      <c r="A26" s="24" t="s">
        <v>13</v>
      </c>
      <c r="B26" s="23" t="s">
        <v>109</v>
      </c>
      <c r="C26" s="23" t="s">
        <v>483</v>
      </c>
      <c r="D26" s="23" t="s">
        <v>14</v>
      </c>
      <c r="E26" s="424">
        <f>'прил 7 '!F467</f>
        <v>3365186.88</v>
      </c>
    </row>
    <row r="27" spans="1:5" ht="38.25" customHeight="1" outlineLevel="4" x14ac:dyDescent="0.25">
      <c r="A27" s="24" t="s">
        <v>449</v>
      </c>
      <c r="B27" s="23" t="s">
        <v>109</v>
      </c>
      <c r="C27" s="23" t="s">
        <v>450</v>
      </c>
      <c r="D27" s="23" t="s">
        <v>6</v>
      </c>
      <c r="E27" s="424">
        <f>E28+E30+E32</f>
        <v>3583199.1799999997</v>
      </c>
    </row>
    <row r="28" spans="1:5" ht="73.400000000000006" outlineLevel="5" x14ac:dyDescent="0.25">
      <c r="A28" s="24" t="s">
        <v>11</v>
      </c>
      <c r="B28" s="23" t="s">
        <v>109</v>
      </c>
      <c r="C28" s="23" t="s">
        <v>450</v>
      </c>
      <c r="D28" s="23" t="s">
        <v>12</v>
      </c>
      <c r="E28" s="424">
        <f>E29</f>
        <v>3351199.1799999997</v>
      </c>
    </row>
    <row r="29" spans="1:5" ht="16.5" customHeight="1" outlineLevel="6" x14ac:dyDescent="0.25">
      <c r="A29" s="24" t="s">
        <v>13</v>
      </c>
      <c r="B29" s="23" t="s">
        <v>109</v>
      </c>
      <c r="C29" s="23" t="s">
        <v>450</v>
      </c>
      <c r="D29" s="23" t="s">
        <v>14</v>
      </c>
      <c r="E29" s="424">
        <f>'прил 7 '!F470</f>
        <v>3351199.1799999997</v>
      </c>
    </row>
    <row r="30" spans="1:5" ht="16.5" customHeight="1" outlineLevel="5" x14ac:dyDescent="0.25">
      <c r="A30" s="24" t="s">
        <v>15</v>
      </c>
      <c r="B30" s="23" t="s">
        <v>109</v>
      </c>
      <c r="C30" s="23" t="s">
        <v>450</v>
      </c>
      <c r="D30" s="23" t="s">
        <v>16</v>
      </c>
      <c r="E30" s="424">
        <f>E31</f>
        <v>227000</v>
      </c>
    </row>
    <row r="31" spans="1:5" ht="21.25" customHeight="1" outlineLevel="6" x14ac:dyDescent="0.25">
      <c r="A31" s="24" t="s">
        <v>17</v>
      </c>
      <c r="B31" s="23" t="s">
        <v>109</v>
      </c>
      <c r="C31" s="23" t="s">
        <v>450</v>
      </c>
      <c r="D31" s="23" t="s">
        <v>18</v>
      </c>
      <c r="E31" s="424">
        <f>'прил 7 '!F472</f>
        <v>227000</v>
      </c>
    </row>
    <row r="32" spans="1:5" outlineLevel="5" x14ac:dyDescent="0.25">
      <c r="A32" s="24" t="s">
        <v>19</v>
      </c>
      <c r="B32" s="23" t="s">
        <v>109</v>
      </c>
      <c r="C32" s="23" t="s">
        <v>450</v>
      </c>
      <c r="D32" s="23" t="s">
        <v>20</v>
      </c>
      <c r="E32" s="424">
        <f>E33</f>
        <v>5000</v>
      </c>
    </row>
    <row r="33" spans="1:5" outlineLevel="6" x14ac:dyDescent="0.25">
      <c r="A33" s="24" t="s">
        <v>21</v>
      </c>
      <c r="B33" s="23" t="s">
        <v>109</v>
      </c>
      <c r="C33" s="23" t="s">
        <v>450</v>
      </c>
      <c r="D33" s="23" t="s">
        <v>22</v>
      </c>
      <c r="E33" s="424">
        <f>'прил 7 '!F474</f>
        <v>5000</v>
      </c>
    </row>
    <row r="34" spans="1:5" outlineLevel="4" x14ac:dyDescent="0.25">
      <c r="A34" s="24" t="s">
        <v>485</v>
      </c>
      <c r="B34" s="23" t="s">
        <v>109</v>
      </c>
      <c r="C34" s="23" t="s">
        <v>484</v>
      </c>
      <c r="D34" s="23" t="s">
        <v>6</v>
      </c>
      <c r="E34" s="424">
        <f>E35</f>
        <v>180000</v>
      </c>
    </row>
    <row r="35" spans="1:5" ht="57.25" customHeight="1" outlineLevel="5" x14ac:dyDescent="0.25">
      <c r="A35" s="24" t="s">
        <v>11</v>
      </c>
      <c r="B35" s="23" t="s">
        <v>109</v>
      </c>
      <c r="C35" s="23" t="s">
        <v>484</v>
      </c>
      <c r="D35" s="23" t="s">
        <v>12</v>
      </c>
      <c r="E35" s="424">
        <f>E36</f>
        <v>180000</v>
      </c>
    </row>
    <row r="36" spans="1:5" ht="18" customHeight="1" outlineLevel="6" x14ac:dyDescent="0.25">
      <c r="A36" s="24" t="s">
        <v>13</v>
      </c>
      <c r="B36" s="23" t="s">
        <v>109</v>
      </c>
      <c r="C36" s="23" t="s">
        <v>484</v>
      </c>
      <c r="D36" s="23" t="s">
        <v>14</v>
      </c>
      <c r="E36" s="424">
        <f>'прил 7 '!F477</f>
        <v>180000</v>
      </c>
    </row>
    <row r="37" spans="1:5" ht="39.75" customHeight="1" outlineLevel="1" x14ac:dyDescent="0.25">
      <c r="A37" s="24" t="s">
        <v>30</v>
      </c>
      <c r="B37" s="23" t="s">
        <v>31</v>
      </c>
      <c r="C37" s="23" t="s">
        <v>126</v>
      </c>
      <c r="D37" s="23" t="s">
        <v>6</v>
      </c>
      <c r="E37" s="424">
        <f>E38</f>
        <v>30210000</v>
      </c>
    </row>
    <row r="38" spans="1:5" outlineLevel="3" x14ac:dyDescent="0.25">
      <c r="A38" s="24" t="s">
        <v>196</v>
      </c>
      <c r="B38" s="23" t="s">
        <v>31</v>
      </c>
      <c r="C38" s="23" t="s">
        <v>127</v>
      </c>
      <c r="D38" s="23" t="s">
        <v>6</v>
      </c>
      <c r="E38" s="424">
        <f>E39</f>
        <v>30210000</v>
      </c>
    </row>
    <row r="39" spans="1:5" ht="39.25" customHeight="1" outlineLevel="4" x14ac:dyDescent="0.25">
      <c r="A39" s="24" t="s">
        <v>449</v>
      </c>
      <c r="B39" s="23" t="s">
        <v>31</v>
      </c>
      <c r="C39" s="23" t="s">
        <v>450</v>
      </c>
      <c r="D39" s="23" t="s">
        <v>6</v>
      </c>
      <c r="E39" s="424">
        <f>E40+E42</f>
        <v>30210000</v>
      </c>
    </row>
    <row r="40" spans="1:5" ht="38.25" customHeight="1" outlineLevel="5" x14ac:dyDescent="0.25">
      <c r="A40" s="24" t="s">
        <v>11</v>
      </c>
      <c r="B40" s="23" t="s">
        <v>31</v>
      </c>
      <c r="C40" s="23" t="s">
        <v>450</v>
      </c>
      <c r="D40" s="23" t="s">
        <v>12</v>
      </c>
      <c r="E40" s="424">
        <f>E41</f>
        <v>30105000</v>
      </c>
    </row>
    <row r="41" spans="1:5" ht="17.5" customHeight="1" outlineLevel="6" x14ac:dyDescent="0.25">
      <c r="A41" s="24" t="s">
        <v>13</v>
      </c>
      <c r="B41" s="23" t="s">
        <v>31</v>
      </c>
      <c r="C41" s="23" t="s">
        <v>450</v>
      </c>
      <c r="D41" s="23" t="s">
        <v>14</v>
      </c>
      <c r="E41" s="424">
        <f>'прил 7 '!F43</f>
        <v>30105000</v>
      </c>
    </row>
    <row r="42" spans="1:5" ht="17.5" customHeight="1" outlineLevel="5" x14ac:dyDescent="0.25">
      <c r="A42" s="24" t="s">
        <v>15</v>
      </c>
      <c r="B42" s="23" t="s">
        <v>31</v>
      </c>
      <c r="C42" s="23" t="s">
        <v>450</v>
      </c>
      <c r="D42" s="23" t="s">
        <v>16</v>
      </c>
      <c r="E42" s="424">
        <f>E43</f>
        <v>105000</v>
      </c>
    </row>
    <row r="43" spans="1:5" ht="20.25" customHeight="1" outlineLevel="6" x14ac:dyDescent="0.25">
      <c r="A43" s="24" t="s">
        <v>17</v>
      </c>
      <c r="B43" s="23" t="s">
        <v>31</v>
      </c>
      <c r="C43" s="23" t="s">
        <v>450</v>
      </c>
      <c r="D43" s="23" t="s">
        <v>18</v>
      </c>
      <c r="E43" s="424">
        <f>'прил 7 '!F45</f>
        <v>105000</v>
      </c>
    </row>
    <row r="44" spans="1:5" outlineLevel="6" x14ac:dyDescent="0.25">
      <c r="A44" s="24" t="s">
        <v>254</v>
      </c>
      <c r="B44" s="23" t="s">
        <v>255</v>
      </c>
      <c r="C44" s="23" t="s">
        <v>126</v>
      </c>
      <c r="D44" s="23" t="s">
        <v>6</v>
      </c>
      <c r="E44" s="424">
        <f>E45</f>
        <v>4251</v>
      </c>
    </row>
    <row r="45" spans="1:5" ht="22.75" customHeight="1" outlineLevel="6" x14ac:dyDescent="0.25">
      <c r="A45" s="24" t="s">
        <v>132</v>
      </c>
      <c r="B45" s="23" t="s">
        <v>255</v>
      </c>
      <c r="C45" s="23" t="s">
        <v>127</v>
      </c>
      <c r="D45" s="23" t="s">
        <v>6</v>
      </c>
      <c r="E45" s="424">
        <f>E46</f>
        <v>4251</v>
      </c>
    </row>
    <row r="46" spans="1:5" outlineLevel="6" x14ac:dyDescent="0.25">
      <c r="A46" s="24" t="s">
        <v>269</v>
      </c>
      <c r="B46" s="23" t="s">
        <v>255</v>
      </c>
      <c r="C46" s="23" t="s">
        <v>268</v>
      </c>
      <c r="D46" s="23" t="s">
        <v>6</v>
      </c>
      <c r="E46" s="424">
        <f>E47</f>
        <v>4251</v>
      </c>
    </row>
    <row r="47" spans="1:5" ht="91.7" outlineLevel="6" x14ac:dyDescent="0.25">
      <c r="A47" s="24" t="s">
        <v>384</v>
      </c>
      <c r="B47" s="23" t="s">
        <v>255</v>
      </c>
      <c r="C47" s="23" t="s">
        <v>277</v>
      </c>
      <c r="D47" s="23" t="s">
        <v>6</v>
      </c>
      <c r="E47" s="424">
        <f>E48</f>
        <v>4251</v>
      </c>
    </row>
    <row r="48" spans="1:5" ht="23.3" customHeight="1" outlineLevel="6" x14ac:dyDescent="0.25">
      <c r="A48" s="24" t="s">
        <v>15</v>
      </c>
      <c r="B48" s="23" t="s">
        <v>255</v>
      </c>
      <c r="C48" s="23" t="s">
        <v>277</v>
      </c>
      <c r="D48" s="23" t="s">
        <v>16</v>
      </c>
      <c r="E48" s="424">
        <f>E49</f>
        <v>4251</v>
      </c>
    </row>
    <row r="49" spans="1:5" ht="19.55" customHeight="1" outlineLevel="6" x14ac:dyDescent="0.25">
      <c r="A49" s="24" t="s">
        <v>17</v>
      </c>
      <c r="B49" s="23" t="s">
        <v>255</v>
      </c>
      <c r="C49" s="23" t="s">
        <v>277</v>
      </c>
      <c r="D49" s="23" t="s">
        <v>18</v>
      </c>
      <c r="E49" s="424">
        <f>'прил 7 '!F51</f>
        <v>4251</v>
      </c>
    </row>
    <row r="50" spans="1:5" ht="36" customHeight="1" outlineLevel="1" x14ac:dyDescent="0.25">
      <c r="A50" s="24" t="s">
        <v>9</v>
      </c>
      <c r="B50" s="23" t="s">
        <v>10</v>
      </c>
      <c r="C50" s="23" t="s">
        <v>126</v>
      </c>
      <c r="D50" s="23" t="s">
        <v>6</v>
      </c>
      <c r="E50" s="424">
        <f>E51</f>
        <v>12898816.17</v>
      </c>
    </row>
    <row r="51" spans="1:5" outlineLevel="3" x14ac:dyDescent="0.25">
      <c r="A51" s="24" t="s">
        <v>196</v>
      </c>
      <c r="B51" s="23" t="s">
        <v>10</v>
      </c>
      <c r="C51" s="23" t="s">
        <v>127</v>
      </c>
      <c r="D51" s="23" t="s">
        <v>6</v>
      </c>
      <c r="E51" s="424">
        <f>E52+E59+E62</f>
        <v>12898816.17</v>
      </c>
    </row>
    <row r="52" spans="1:5" ht="39.75" customHeight="1" outlineLevel="4" x14ac:dyDescent="0.25">
      <c r="A52" s="24" t="s">
        <v>449</v>
      </c>
      <c r="B52" s="23" t="s">
        <v>10</v>
      </c>
      <c r="C52" s="23" t="s">
        <v>450</v>
      </c>
      <c r="D52" s="23" t="s">
        <v>6</v>
      </c>
      <c r="E52" s="424">
        <f>E53+E55+E57</f>
        <v>9975580.9100000001</v>
      </c>
    </row>
    <row r="53" spans="1:5" ht="77.3" customHeight="1" outlineLevel="5" x14ac:dyDescent="0.25">
      <c r="A53" s="24" t="s">
        <v>11</v>
      </c>
      <c r="B53" s="23" t="s">
        <v>10</v>
      </c>
      <c r="C53" s="23" t="s">
        <v>450</v>
      </c>
      <c r="D53" s="23" t="s">
        <v>12</v>
      </c>
      <c r="E53" s="424">
        <f>E54</f>
        <v>9648280.9100000001</v>
      </c>
    </row>
    <row r="54" spans="1:5" ht="18.7" customHeight="1" outlineLevel="6" x14ac:dyDescent="0.25">
      <c r="A54" s="24" t="s">
        <v>13</v>
      </c>
      <c r="B54" s="23" t="s">
        <v>10</v>
      </c>
      <c r="C54" s="23" t="s">
        <v>450</v>
      </c>
      <c r="D54" s="23" t="s">
        <v>14</v>
      </c>
      <c r="E54" s="424">
        <f>'прил 7 '!F16+'прил 7 '!F677</f>
        <v>9648280.9100000001</v>
      </c>
    </row>
    <row r="55" spans="1:5" ht="18.7" customHeight="1" outlineLevel="5" x14ac:dyDescent="0.25">
      <c r="A55" s="24" t="s">
        <v>15</v>
      </c>
      <c r="B55" s="23" t="s">
        <v>10</v>
      </c>
      <c r="C55" s="23" t="s">
        <v>450</v>
      </c>
      <c r="D55" s="23" t="s">
        <v>16</v>
      </c>
      <c r="E55" s="424">
        <f>E56</f>
        <v>325800</v>
      </c>
    </row>
    <row r="56" spans="1:5" ht="15.8" customHeight="1" outlineLevel="6" x14ac:dyDescent="0.25">
      <c r="A56" s="24" t="s">
        <v>17</v>
      </c>
      <c r="B56" s="23" t="s">
        <v>10</v>
      </c>
      <c r="C56" s="23" t="s">
        <v>450</v>
      </c>
      <c r="D56" s="23" t="s">
        <v>18</v>
      </c>
      <c r="E56" s="424">
        <f>'прил 7 '!F18+'прил 7 '!F679</f>
        <v>325800</v>
      </c>
    </row>
    <row r="57" spans="1:5" outlineLevel="5" x14ac:dyDescent="0.25">
      <c r="A57" s="24" t="s">
        <v>19</v>
      </c>
      <c r="B57" s="23" t="s">
        <v>10</v>
      </c>
      <c r="C57" s="23" t="s">
        <v>450</v>
      </c>
      <c r="D57" s="23" t="s">
        <v>20</v>
      </c>
      <c r="E57" s="424">
        <f>E58</f>
        <v>1500</v>
      </c>
    </row>
    <row r="58" spans="1:5" outlineLevel="6" x14ac:dyDescent="0.25">
      <c r="A58" s="24" t="s">
        <v>21</v>
      </c>
      <c r="B58" s="23" t="s">
        <v>10</v>
      </c>
      <c r="C58" s="23" t="s">
        <v>450</v>
      </c>
      <c r="D58" s="23" t="s">
        <v>22</v>
      </c>
      <c r="E58" s="424">
        <f>'прил 7 '!F20+'прил 7 '!F681</f>
        <v>1500</v>
      </c>
    </row>
    <row r="59" spans="1:5" outlineLevel="4" x14ac:dyDescent="0.25">
      <c r="A59" s="24" t="s">
        <v>197</v>
      </c>
      <c r="B59" s="23" t="s">
        <v>10</v>
      </c>
      <c r="C59" s="23" t="s">
        <v>143</v>
      </c>
      <c r="D59" s="23" t="s">
        <v>6</v>
      </c>
      <c r="E59" s="424">
        <f>E60</f>
        <v>1887875.2599999998</v>
      </c>
    </row>
    <row r="60" spans="1:5" ht="58.75" customHeight="1" outlineLevel="5" x14ac:dyDescent="0.25">
      <c r="A60" s="24" t="s">
        <v>11</v>
      </c>
      <c r="B60" s="23" t="s">
        <v>10</v>
      </c>
      <c r="C60" s="23" t="s">
        <v>143</v>
      </c>
      <c r="D60" s="23" t="s">
        <v>12</v>
      </c>
      <c r="E60" s="424">
        <f>E61</f>
        <v>1887875.2599999998</v>
      </c>
    </row>
    <row r="61" spans="1:5" ht="17.5" customHeight="1" outlineLevel="6" x14ac:dyDescent="0.25">
      <c r="A61" s="24" t="s">
        <v>13</v>
      </c>
      <c r="B61" s="23" t="s">
        <v>10</v>
      </c>
      <c r="C61" s="23" t="s">
        <v>143</v>
      </c>
      <c r="D61" s="23" t="s">
        <v>14</v>
      </c>
      <c r="E61" s="424">
        <f>'прил 7 '!F674</f>
        <v>1887875.2599999998</v>
      </c>
    </row>
    <row r="62" spans="1:5" ht="19.55" customHeight="1" outlineLevel="4" x14ac:dyDescent="0.25">
      <c r="A62" s="24" t="s">
        <v>453</v>
      </c>
      <c r="B62" s="23" t="s">
        <v>10</v>
      </c>
      <c r="C62" s="23" t="s">
        <v>491</v>
      </c>
      <c r="D62" s="23" t="s">
        <v>6</v>
      </c>
      <c r="E62" s="424">
        <f>E63</f>
        <v>1035360</v>
      </c>
    </row>
    <row r="63" spans="1:5" ht="59.95" customHeight="1" outlineLevel="5" x14ac:dyDescent="0.25">
      <c r="A63" s="24" t="s">
        <v>11</v>
      </c>
      <c r="B63" s="23" t="s">
        <v>10</v>
      </c>
      <c r="C63" s="23" t="s">
        <v>491</v>
      </c>
      <c r="D63" s="23" t="s">
        <v>12</v>
      </c>
      <c r="E63" s="424">
        <f>E64</f>
        <v>1035360</v>
      </c>
    </row>
    <row r="64" spans="1:5" ht="19.55" customHeight="1" outlineLevel="6" x14ac:dyDescent="0.25">
      <c r="A64" s="24" t="s">
        <v>13</v>
      </c>
      <c r="B64" s="23" t="s">
        <v>10</v>
      </c>
      <c r="C64" s="23" t="s">
        <v>491</v>
      </c>
      <c r="D64" s="23" t="s">
        <v>14</v>
      </c>
      <c r="E64" s="424">
        <f>'прил 7 '!F56</f>
        <v>1035360</v>
      </c>
    </row>
    <row r="65" spans="1:5" ht="19.55" customHeight="1" outlineLevel="6" x14ac:dyDescent="0.25">
      <c r="A65" s="24" t="s">
        <v>630</v>
      </c>
      <c r="B65" s="23" t="s">
        <v>627</v>
      </c>
      <c r="C65" s="23" t="s">
        <v>126</v>
      </c>
      <c r="D65" s="23" t="s">
        <v>6</v>
      </c>
      <c r="E65" s="424">
        <f>E66</f>
        <v>1030303.0300000012</v>
      </c>
    </row>
    <row r="66" spans="1:5" ht="19.55" customHeight="1" outlineLevel="6" x14ac:dyDescent="0.25">
      <c r="A66" s="24" t="s">
        <v>132</v>
      </c>
      <c r="B66" s="23" t="s">
        <v>627</v>
      </c>
      <c r="C66" s="23" t="s">
        <v>127</v>
      </c>
      <c r="D66" s="23" t="s">
        <v>6</v>
      </c>
      <c r="E66" s="424">
        <f>E67</f>
        <v>1030303.0300000012</v>
      </c>
    </row>
    <row r="67" spans="1:5" ht="19.55" customHeight="1" outlineLevel="6" x14ac:dyDescent="0.25">
      <c r="A67" s="24" t="s">
        <v>629</v>
      </c>
      <c r="B67" s="23" t="s">
        <v>627</v>
      </c>
      <c r="C67" s="23" t="s">
        <v>493</v>
      </c>
      <c r="D67" s="23" t="s">
        <v>6</v>
      </c>
      <c r="E67" s="424">
        <f>E68</f>
        <v>1030303.0300000012</v>
      </c>
    </row>
    <row r="68" spans="1:5" ht="19.55" customHeight="1" outlineLevel="6" x14ac:dyDescent="0.25">
      <c r="A68" s="24" t="s">
        <v>19</v>
      </c>
      <c r="B68" s="23" t="s">
        <v>627</v>
      </c>
      <c r="C68" s="23" t="s">
        <v>493</v>
      </c>
      <c r="D68" s="23" t="s">
        <v>20</v>
      </c>
      <c r="E68" s="424">
        <f>E69</f>
        <v>1030303.0300000012</v>
      </c>
    </row>
    <row r="69" spans="1:5" ht="19.55" customHeight="1" outlineLevel="6" x14ac:dyDescent="0.25">
      <c r="A69" s="24" t="s">
        <v>628</v>
      </c>
      <c r="B69" s="23" t="s">
        <v>627</v>
      </c>
      <c r="C69" s="23" t="s">
        <v>493</v>
      </c>
      <c r="D69" s="23" t="s">
        <v>626</v>
      </c>
      <c r="E69" s="424">
        <f>'прил 7 '!F61</f>
        <v>1030303.0300000012</v>
      </c>
    </row>
    <row r="70" spans="1:5" outlineLevel="1" x14ac:dyDescent="0.25">
      <c r="A70" s="24" t="s">
        <v>23</v>
      </c>
      <c r="B70" s="23" t="s">
        <v>24</v>
      </c>
      <c r="C70" s="23" t="s">
        <v>126</v>
      </c>
      <c r="D70" s="23" t="s">
        <v>6</v>
      </c>
      <c r="E70" s="424">
        <f>E71+E96+E101+E109+E123+E118</f>
        <v>97411555.310000002</v>
      </c>
    </row>
    <row r="71" spans="1:5" ht="36.700000000000003" outlineLevel="2" x14ac:dyDescent="0.25">
      <c r="A71" s="37" t="s">
        <v>1151</v>
      </c>
      <c r="B71" s="38" t="s">
        <v>24</v>
      </c>
      <c r="C71" s="38" t="s">
        <v>128</v>
      </c>
      <c r="D71" s="38" t="s">
        <v>6</v>
      </c>
      <c r="E71" s="424">
        <f>E72+E82+E90</f>
        <v>29939801</v>
      </c>
    </row>
    <row r="72" spans="1:5" ht="36.700000000000003" outlineLevel="3" x14ac:dyDescent="0.25">
      <c r="A72" s="24" t="s">
        <v>729</v>
      </c>
      <c r="B72" s="23" t="s">
        <v>24</v>
      </c>
      <c r="C72" s="23" t="s">
        <v>303</v>
      </c>
      <c r="D72" s="23" t="s">
        <v>6</v>
      </c>
      <c r="E72" s="424">
        <f>E73+E76+E79</f>
        <v>1011956</v>
      </c>
    </row>
    <row r="73" spans="1:5" ht="33.450000000000003" customHeight="1" outlineLevel="4" x14ac:dyDescent="0.25">
      <c r="A73" s="24" t="s">
        <v>309</v>
      </c>
      <c r="B73" s="23" t="s">
        <v>24</v>
      </c>
      <c r="C73" s="23" t="s">
        <v>304</v>
      </c>
      <c r="D73" s="23" t="s">
        <v>6</v>
      </c>
      <c r="E73" s="424">
        <f>E74</f>
        <v>836956</v>
      </c>
    </row>
    <row r="74" spans="1:5" ht="19.55" customHeight="1" outlineLevel="5" x14ac:dyDescent="0.25">
      <c r="A74" s="24" t="s">
        <v>15</v>
      </c>
      <c r="B74" s="23" t="s">
        <v>24</v>
      </c>
      <c r="C74" s="23" t="s">
        <v>304</v>
      </c>
      <c r="D74" s="23" t="s">
        <v>16</v>
      </c>
      <c r="E74" s="424">
        <f>E75</f>
        <v>836956</v>
      </c>
    </row>
    <row r="75" spans="1:5" ht="21.25" customHeight="1" outlineLevel="6" x14ac:dyDescent="0.25">
      <c r="A75" s="24" t="s">
        <v>17</v>
      </c>
      <c r="B75" s="23" t="s">
        <v>24</v>
      </c>
      <c r="C75" s="23" t="s">
        <v>304</v>
      </c>
      <c r="D75" s="23" t="s">
        <v>18</v>
      </c>
      <c r="E75" s="424">
        <f>'прил 7 '!F26+'прил 7 '!F67+'прил 7 '!F483+'прил 7 '!F687</f>
        <v>836956</v>
      </c>
    </row>
    <row r="76" spans="1:5" ht="25.15" customHeight="1" outlineLevel="4" x14ac:dyDescent="0.25">
      <c r="A76" s="24" t="s">
        <v>310</v>
      </c>
      <c r="B76" s="23" t="s">
        <v>24</v>
      </c>
      <c r="C76" s="23" t="s">
        <v>311</v>
      </c>
      <c r="D76" s="23" t="s">
        <v>6</v>
      </c>
      <c r="E76" s="424">
        <f>E77</f>
        <v>165000</v>
      </c>
    </row>
    <row r="77" spans="1:5" ht="19.55" customHeight="1" outlineLevel="5" x14ac:dyDescent="0.25">
      <c r="A77" s="24" t="s">
        <v>15</v>
      </c>
      <c r="B77" s="23" t="s">
        <v>24</v>
      </c>
      <c r="C77" s="23" t="s">
        <v>311</v>
      </c>
      <c r="D77" s="23" t="s">
        <v>16</v>
      </c>
      <c r="E77" s="424">
        <f>E78</f>
        <v>165000</v>
      </c>
    </row>
    <row r="78" spans="1:5" ht="20.25" customHeight="1" outlineLevel="6" x14ac:dyDescent="0.25">
      <c r="A78" s="24" t="s">
        <v>17</v>
      </c>
      <c r="B78" s="23" t="s">
        <v>24</v>
      </c>
      <c r="C78" s="23" t="s">
        <v>311</v>
      </c>
      <c r="D78" s="23" t="s">
        <v>18</v>
      </c>
      <c r="E78" s="424">
        <f>'прил 7 '!F70</f>
        <v>165000</v>
      </c>
    </row>
    <row r="79" spans="1:5" ht="36.700000000000003" customHeight="1" outlineLevel="6" x14ac:dyDescent="0.25">
      <c r="A79" s="423" t="s">
        <v>1045</v>
      </c>
      <c r="B79" s="425" t="s">
        <v>24</v>
      </c>
      <c r="C79" s="425" t="s">
        <v>1046</v>
      </c>
      <c r="D79" s="425" t="s">
        <v>6</v>
      </c>
      <c r="E79" s="424">
        <f>E80</f>
        <v>10000</v>
      </c>
    </row>
    <row r="80" spans="1:5" ht="20.25" customHeight="1" outlineLevel="6" x14ac:dyDescent="0.25">
      <c r="A80" s="423" t="s">
        <v>15</v>
      </c>
      <c r="B80" s="425" t="s">
        <v>24</v>
      </c>
      <c r="C80" s="425" t="s">
        <v>1046</v>
      </c>
      <c r="D80" s="425" t="s">
        <v>16</v>
      </c>
      <c r="E80" s="424">
        <f>E81</f>
        <v>10000</v>
      </c>
    </row>
    <row r="81" spans="1:5" ht="20.25" customHeight="1" outlineLevel="6" x14ac:dyDescent="0.25">
      <c r="A81" s="423" t="s">
        <v>17</v>
      </c>
      <c r="B81" s="425" t="s">
        <v>24</v>
      </c>
      <c r="C81" s="425" t="s">
        <v>1046</v>
      </c>
      <c r="D81" s="425" t="s">
        <v>18</v>
      </c>
      <c r="E81" s="424">
        <f>'прил 7 '!F73</f>
        <v>10000</v>
      </c>
    </row>
    <row r="82" spans="1:5" ht="36.700000000000003" outlineLevel="6" x14ac:dyDescent="0.25">
      <c r="A82" s="24" t="s">
        <v>213</v>
      </c>
      <c r="B82" s="23" t="s">
        <v>24</v>
      </c>
      <c r="C82" s="23" t="s">
        <v>228</v>
      </c>
      <c r="D82" s="23" t="s">
        <v>6</v>
      </c>
      <c r="E82" s="424">
        <f>E83</f>
        <v>27464001</v>
      </c>
    </row>
    <row r="83" spans="1:5" ht="46.9" customHeight="1" outlineLevel="4" x14ac:dyDescent="0.25">
      <c r="A83" s="24" t="s">
        <v>33</v>
      </c>
      <c r="B83" s="23" t="s">
        <v>24</v>
      </c>
      <c r="C83" s="23" t="s">
        <v>130</v>
      </c>
      <c r="D83" s="23" t="s">
        <v>6</v>
      </c>
      <c r="E83" s="424">
        <f>E84+E86+E88</f>
        <v>27464001</v>
      </c>
    </row>
    <row r="84" spans="1:5" ht="55.55" customHeight="1" outlineLevel="5" x14ac:dyDescent="0.25">
      <c r="A84" s="24" t="s">
        <v>11</v>
      </c>
      <c r="B84" s="23" t="s">
        <v>24</v>
      </c>
      <c r="C84" s="23" t="s">
        <v>130</v>
      </c>
      <c r="D84" s="23" t="s">
        <v>12</v>
      </c>
      <c r="E84" s="424">
        <f>E85</f>
        <v>16340000</v>
      </c>
    </row>
    <row r="85" spans="1:5" outlineLevel="6" x14ac:dyDescent="0.25">
      <c r="A85" s="24" t="s">
        <v>34</v>
      </c>
      <c r="B85" s="23" t="s">
        <v>24</v>
      </c>
      <c r="C85" s="23" t="s">
        <v>130</v>
      </c>
      <c r="D85" s="23" t="s">
        <v>35</v>
      </c>
      <c r="E85" s="424">
        <f>'прил 7 '!F77</f>
        <v>16340000</v>
      </c>
    </row>
    <row r="86" spans="1:5" ht="18.7" customHeight="1" outlineLevel="5" x14ac:dyDescent="0.25">
      <c r="A86" s="24" t="s">
        <v>15</v>
      </c>
      <c r="B86" s="23" t="s">
        <v>24</v>
      </c>
      <c r="C86" s="23" t="s">
        <v>130</v>
      </c>
      <c r="D86" s="23" t="s">
        <v>16</v>
      </c>
      <c r="E86" s="424">
        <f>E87</f>
        <v>10324753</v>
      </c>
    </row>
    <row r="87" spans="1:5" ht="20.25" customHeight="1" outlineLevel="6" x14ac:dyDescent="0.25">
      <c r="A87" s="24" t="s">
        <v>17</v>
      </c>
      <c r="B87" s="23" t="s">
        <v>24</v>
      </c>
      <c r="C87" s="23" t="s">
        <v>130</v>
      </c>
      <c r="D87" s="23" t="s">
        <v>18</v>
      </c>
      <c r="E87" s="424">
        <f>'прил 7 '!F79</f>
        <v>10324753</v>
      </c>
    </row>
    <row r="88" spans="1:5" outlineLevel="5" x14ac:dyDescent="0.25">
      <c r="A88" s="24" t="s">
        <v>19</v>
      </c>
      <c r="B88" s="23" t="s">
        <v>24</v>
      </c>
      <c r="C88" s="23" t="s">
        <v>130</v>
      </c>
      <c r="D88" s="23" t="s">
        <v>20</v>
      </c>
      <c r="E88" s="424">
        <f>E89</f>
        <v>799248</v>
      </c>
    </row>
    <row r="89" spans="1:5" outlineLevel="6" x14ac:dyDescent="0.25">
      <c r="A89" s="24" t="s">
        <v>21</v>
      </c>
      <c r="B89" s="23" t="s">
        <v>24</v>
      </c>
      <c r="C89" s="23" t="s">
        <v>130</v>
      </c>
      <c r="D89" s="23" t="s">
        <v>22</v>
      </c>
      <c r="E89" s="424">
        <f>'прил 7 '!F81</f>
        <v>799248</v>
      </c>
    </row>
    <row r="90" spans="1:5" ht="28.05" customHeight="1" outlineLevel="6" x14ac:dyDescent="0.25">
      <c r="A90" s="423" t="s">
        <v>625</v>
      </c>
      <c r="B90" s="23" t="s">
        <v>24</v>
      </c>
      <c r="C90" s="23" t="s">
        <v>264</v>
      </c>
      <c r="D90" s="23" t="s">
        <v>6</v>
      </c>
      <c r="E90" s="424">
        <f>E91</f>
        <v>1463844</v>
      </c>
    </row>
    <row r="91" spans="1:5" ht="36.700000000000003" outlineLevel="6" x14ac:dyDescent="0.25">
      <c r="A91" s="24" t="s">
        <v>622</v>
      </c>
      <c r="B91" s="23" t="s">
        <v>24</v>
      </c>
      <c r="C91" s="23" t="s">
        <v>624</v>
      </c>
      <c r="D91" s="23" t="s">
        <v>6</v>
      </c>
      <c r="E91" s="424">
        <f>E94+E92</f>
        <v>1463844</v>
      </c>
    </row>
    <row r="92" spans="1:5" ht="73.400000000000006" outlineLevel="6" x14ac:dyDescent="0.25">
      <c r="A92" s="24" t="s">
        <v>11</v>
      </c>
      <c r="B92" s="23" t="s">
        <v>24</v>
      </c>
      <c r="C92" s="23" t="s">
        <v>621</v>
      </c>
      <c r="D92" s="23" t="s">
        <v>12</v>
      </c>
      <c r="E92" s="424">
        <f>E93</f>
        <v>128744</v>
      </c>
    </row>
    <row r="93" spans="1:5" ht="36.700000000000003" outlineLevel="6" x14ac:dyDescent="0.25">
      <c r="A93" s="24" t="s">
        <v>13</v>
      </c>
      <c r="B93" s="23" t="s">
        <v>24</v>
      </c>
      <c r="C93" s="23" t="s">
        <v>621</v>
      </c>
      <c r="D93" s="23" t="s">
        <v>14</v>
      </c>
      <c r="E93" s="424">
        <f>'прил 7 '!F85</f>
        <v>128744</v>
      </c>
    </row>
    <row r="94" spans="1:5" ht="36.700000000000003" outlineLevel="6" x14ac:dyDescent="0.25">
      <c r="A94" s="24" t="s">
        <v>15</v>
      </c>
      <c r="B94" s="23" t="s">
        <v>24</v>
      </c>
      <c r="C94" s="23" t="s">
        <v>621</v>
      </c>
      <c r="D94" s="23" t="s">
        <v>16</v>
      </c>
      <c r="E94" s="424">
        <f>E95</f>
        <v>1335100</v>
      </c>
    </row>
    <row r="95" spans="1:5" ht="36.700000000000003" outlineLevel="6" x14ac:dyDescent="0.25">
      <c r="A95" s="24" t="s">
        <v>17</v>
      </c>
      <c r="B95" s="23" t="s">
        <v>24</v>
      </c>
      <c r="C95" s="23" t="s">
        <v>621</v>
      </c>
      <c r="D95" s="23" t="s">
        <v>18</v>
      </c>
      <c r="E95" s="424">
        <f>'прил 7 '!F87</f>
        <v>1335100</v>
      </c>
    </row>
    <row r="96" spans="1:5" ht="36.700000000000003" outlineLevel="6" x14ac:dyDescent="0.25">
      <c r="A96" s="37" t="s">
        <v>1152</v>
      </c>
      <c r="B96" s="38" t="s">
        <v>24</v>
      </c>
      <c r="C96" s="38" t="s">
        <v>131</v>
      </c>
      <c r="D96" s="38" t="s">
        <v>6</v>
      </c>
      <c r="E96" s="424">
        <f>E97</f>
        <v>50000</v>
      </c>
    </row>
    <row r="97" spans="1:5" outlineLevel="6" x14ac:dyDescent="0.25">
      <c r="A97" s="24" t="s">
        <v>312</v>
      </c>
      <c r="B97" s="23" t="s">
        <v>24</v>
      </c>
      <c r="C97" s="23" t="s">
        <v>230</v>
      </c>
      <c r="D97" s="23" t="s">
        <v>6</v>
      </c>
      <c r="E97" s="424">
        <f>E98</f>
        <v>50000</v>
      </c>
    </row>
    <row r="98" spans="1:5" ht="36.700000000000003" outlineLevel="6" x14ac:dyDescent="0.25">
      <c r="A98" s="24" t="s">
        <v>313</v>
      </c>
      <c r="B98" s="23" t="s">
        <v>24</v>
      </c>
      <c r="C98" s="23" t="s">
        <v>314</v>
      </c>
      <c r="D98" s="23" t="s">
        <v>6</v>
      </c>
      <c r="E98" s="424">
        <f>E99</f>
        <v>50000</v>
      </c>
    </row>
    <row r="99" spans="1:5" ht="36.700000000000003" outlineLevel="6" x14ac:dyDescent="0.25">
      <c r="A99" s="24" t="s">
        <v>15</v>
      </c>
      <c r="B99" s="23" t="s">
        <v>24</v>
      </c>
      <c r="C99" s="23" t="s">
        <v>314</v>
      </c>
      <c r="D99" s="23" t="s">
        <v>16</v>
      </c>
      <c r="E99" s="424">
        <f>E100</f>
        <v>50000</v>
      </c>
    </row>
    <row r="100" spans="1:5" ht="20.25" customHeight="1" outlineLevel="6" x14ac:dyDescent="0.25">
      <c r="A100" s="24" t="s">
        <v>17</v>
      </c>
      <c r="B100" s="23" t="s">
        <v>24</v>
      </c>
      <c r="C100" s="23" t="s">
        <v>314</v>
      </c>
      <c r="D100" s="23" t="s">
        <v>18</v>
      </c>
      <c r="E100" s="424">
        <f>'прил 7 '!F92</f>
        <v>50000</v>
      </c>
    </row>
    <row r="101" spans="1:5" ht="45" customHeight="1" outlineLevel="6" x14ac:dyDescent="0.25">
      <c r="A101" s="37" t="s">
        <v>1150</v>
      </c>
      <c r="B101" s="38" t="s">
        <v>24</v>
      </c>
      <c r="C101" s="38" t="s">
        <v>305</v>
      </c>
      <c r="D101" s="38" t="s">
        <v>6</v>
      </c>
      <c r="E101" s="424">
        <f>E102</f>
        <v>2586080</v>
      </c>
    </row>
    <row r="102" spans="1:5" ht="36.700000000000003" customHeight="1" outlineLevel="6" x14ac:dyDescent="0.25">
      <c r="A102" s="40" t="s">
        <v>315</v>
      </c>
      <c r="B102" s="23" t="s">
        <v>24</v>
      </c>
      <c r="C102" s="23" t="s">
        <v>306</v>
      </c>
      <c r="D102" s="23" t="s">
        <v>6</v>
      </c>
      <c r="E102" s="424">
        <f>E103+E106</f>
        <v>2586080</v>
      </c>
    </row>
    <row r="103" spans="1:5" ht="36.700000000000003" outlineLevel="6" x14ac:dyDescent="0.25">
      <c r="A103" s="40" t="s">
        <v>316</v>
      </c>
      <c r="B103" s="23" t="s">
        <v>24</v>
      </c>
      <c r="C103" s="23" t="s">
        <v>317</v>
      </c>
      <c r="D103" s="23" t="s">
        <v>6</v>
      </c>
      <c r="E103" s="424">
        <f>E104</f>
        <v>2555040</v>
      </c>
    </row>
    <row r="104" spans="1:5" ht="23.3" customHeight="1" outlineLevel="6" x14ac:dyDescent="0.25">
      <c r="A104" s="24" t="s">
        <v>15</v>
      </c>
      <c r="B104" s="23" t="s">
        <v>24</v>
      </c>
      <c r="C104" s="23" t="s">
        <v>317</v>
      </c>
      <c r="D104" s="23" t="s">
        <v>16</v>
      </c>
      <c r="E104" s="424">
        <f>E105</f>
        <v>2555040</v>
      </c>
    </row>
    <row r="105" spans="1:5" ht="21.75" customHeight="1" outlineLevel="6" x14ac:dyDescent="0.25">
      <c r="A105" s="24" t="s">
        <v>17</v>
      </c>
      <c r="B105" s="23" t="s">
        <v>24</v>
      </c>
      <c r="C105" s="23" t="s">
        <v>317</v>
      </c>
      <c r="D105" s="23" t="s">
        <v>18</v>
      </c>
      <c r="E105" s="424">
        <f>'прил 7 '!F97+'прил 7 '!F31+'прил 7 '!F692</f>
        <v>2555040</v>
      </c>
    </row>
    <row r="106" spans="1:5" ht="21.25" customHeight="1" outlineLevel="6" x14ac:dyDescent="0.25">
      <c r="A106" s="40" t="s">
        <v>318</v>
      </c>
      <c r="B106" s="23" t="s">
        <v>24</v>
      </c>
      <c r="C106" s="23" t="s">
        <v>307</v>
      </c>
      <c r="D106" s="23" t="s">
        <v>6</v>
      </c>
      <c r="E106" s="424">
        <f>E107</f>
        <v>31040</v>
      </c>
    </row>
    <row r="107" spans="1:5" ht="21.25" customHeight="1" outlineLevel="6" x14ac:dyDescent="0.25">
      <c r="A107" s="24" t="s">
        <v>15</v>
      </c>
      <c r="B107" s="23" t="s">
        <v>24</v>
      </c>
      <c r="C107" s="23" t="s">
        <v>307</v>
      </c>
      <c r="D107" s="23" t="s">
        <v>16</v>
      </c>
      <c r="E107" s="424">
        <f>E108</f>
        <v>31040</v>
      </c>
    </row>
    <row r="108" spans="1:5" ht="21.25" customHeight="1" outlineLevel="6" x14ac:dyDescent="0.25">
      <c r="A108" s="24" t="s">
        <v>17</v>
      </c>
      <c r="B108" s="23" t="s">
        <v>24</v>
      </c>
      <c r="C108" s="23" t="s">
        <v>307</v>
      </c>
      <c r="D108" s="23" t="s">
        <v>18</v>
      </c>
      <c r="E108" s="424">
        <f>'прил 7 '!F100</f>
        <v>31040</v>
      </c>
    </row>
    <row r="109" spans="1:5" ht="38.25" customHeight="1" outlineLevel="6" x14ac:dyDescent="0.25">
      <c r="A109" s="37" t="s">
        <v>1153</v>
      </c>
      <c r="B109" s="38" t="s">
        <v>24</v>
      </c>
      <c r="C109" s="38" t="s">
        <v>319</v>
      </c>
      <c r="D109" s="38" t="s">
        <v>6</v>
      </c>
      <c r="E109" s="424">
        <f>E110</f>
        <v>6038500.5800000001</v>
      </c>
    </row>
    <row r="110" spans="1:5" ht="36.700000000000003" outlineLevel="6" x14ac:dyDescent="0.25">
      <c r="A110" s="24" t="s">
        <v>212</v>
      </c>
      <c r="B110" s="23" t="s">
        <v>24</v>
      </c>
      <c r="C110" s="23" t="s">
        <v>320</v>
      </c>
      <c r="D110" s="23" t="s">
        <v>6</v>
      </c>
      <c r="E110" s="424">
        <f>E111</f>
        <v>6038500.5800000001</v>
      </c>
    </row>
    <row r="111" spans="1:5" ht="55.05" outlineLevel="6" x14ac:dyDescent="0.25">
      <c r="A111" s="24" t="s">
        <v>32</v>
      </c>
      <c r="B111" s="23" t="s">
        <v>24</v>
      </c>
      <c r="C111" s="23" t="s">
        <v>321</v>
      </c>
      <c r="D111" s="23" t="s">
        <v>6</v>
      </c>
      <c r="E111" s="424">
        <f>E112+E114+E116</f>
        <v>6038500.5800000001</v>
      </c>
    </row>
    <row r="112" spans="1:5" ht="18" customHeight="1" outlineLevel="6" x14ac:dyDescent="0.25">
      <c r="A112" s="24" t="s">
        <v>15</v>
      </c>
      <c r="B112" s="23" t="s">
        <v>24</v>
      </c>
      <c r="C112" s="23" t="s">
        <v>321</v>
      </c>
      <c r="D112" s="23" t="s">
        <v>16</v>
      </c>
      <c r="E112" s="424">
        <f>E113</f>
        <v>5898500.5800000001</v>
      </c>
    </row>
    <row r="113" spans="1:5" ht="18.7" customHeight="1" outlineLevel="6" x14ac:dyDescent="0.25">
      <c r="A113" s="24" t="s">
        <v>17</v>
      </c>
      <c r="B113" s="23" t="s">
        <v>24</v>
      </c>
      <c r="C113" s="23" t="s">
        <v>321</v>
      </c>
      <c r="D113" s="23" t="s">
        <v>18</v>
      </c>
      <c r="E113" s="424">
        <f>'прил 7 '!F105</f>
        <v>5898500.5800000001</v>
      </c>
    </row>
    <row r="114" spans="1:5" outlineLevel="6" x14ac:dyDescent="0.25">
      <c r="A114" s="24" t="s">
        <v>19</v>
      </c>
      <c r="B114" s="23" t="s">
        <v>24</v>
      </c>
      <c r="C114" s="23" t="s">
        <v>321</v>
      </c>
      <c r="D114" s="23" t="s">
        <v>20</v>
      </c>
      <c r="E114" s="424">
        <f>E115</f>
        <v>140000</v>
      </c>
    </row>
    <row r="115" spans="1:5" outlineLevel="6" x14ac:dyDescent="0.25">
      <c r="A115" s="24" t="s">
        <v>21</v>
      </c>
      <c r="B115" s="23" t="s">
        <v>24</v>
      </c>
      <c r="C115" s="23" t="s">
        <v>321</v>
      </c>
      <c r="D115" s="23" t="s">
        <v>22</v>
      </c>
      <c r="E115" s="424">
        <f>'прил 7 '!F107</f>
        <v>140000</v>
      </c>
    </row>
    <row r="116" spans="1:5" ht="36.700000000000003" hidden="1" outlineLevel="6" x14ac:dyDescent="0.25">
      <c r="A116" s="423" t="s">
        <v>1047</v>
      </c>
      <c r="B116" s="425" t="s">
        <v>24</v>
      </c>
      <c r="C116" s="425" t="s">
        <v>321</v>
      </c>
      <c r="D116" s="425" t="s">
        <v>259</v>
      </c>
      <c r="E116" s="424">
        <f>E117</f>
        <v>0</v>
      </c>
    </row>
    <row r="117" spans="1:5" hidden="1" outlineLevel="6" x14ac:dyDescent="0.25">
      <c r="A117" s="423" t="s">
        <v>260</v>
      </c>
      <c r="B117" s="425" t="s">
        <v>24</v>
      </c>
      <c r="C117" s="425" t="s">
        <v>321</v>
      </c>
      <c r="D117" s="425" t="s">
        <v>261</v>
      </c>
      <c r="E117" s="424">
        <f>'прил 7 '!F109</f>
        <v>0</v>
      </c>
    </row>
    <row r="118" spans="1:5" ht="36.700000000000003" outlineLevel="6" x14ac:dyDescent="0.25">
      <c r="A118" s="37" t="s">
        <v>1154</v>
      </c>
      <c r="B118" s="38" t="s">
        <v>24</v>
      </c>
      <c r="C118" s="38" t="s">
        <v>819</v>
      </c>
      <c r="D118" s="38" t="s">
        <v>6</v>
      </c>
      <c r="E118" s="424">
        <f>E119</f>
        <v>100000</v>
      </c>
    </row>
    <row r="119" spans="1:5" ht="36.700000000000003" outlineLevel="6" x14ac:dyDescent="0.25">
      <c r="A119" s="24" t="s">
        <v>818</v>
      </c>
      <c r="B119" s="23" t="s">
        <v>24</v>
      </c>
      <c r="C119" s="23" t="s">
        <v>820</v>
      </c>
      <c r="D119" s="23" t="s">
        <v>6</v>
      </c>
      <c r="E119" s="424">
        <f>E120</f>
        <v>100000</v>
      </c>
    </row>
    <row r="120" spans="1:5" outlineLevel="6" x14ac:dyDescent="0.25">
      <c r="A120" s="24" t="s">
        <v>310</v>
      </c>
      <c r="B120" s="23" t="s">
        <v>24</v>
      </c>
      <c r="C120" s="23" t="s">
        <v>821</v>
      </c>
      <c r="D120" s="23" t="s">
        <v>6</v>
      </c>
      <c r="E120" s="424">
        <f>E121</f>
        <v>100000</v>
      </c>
    </row>
    <row r="121" spans="1:5" ht="36.700000000000003" outlineLevel="6" x14ac:dyDescent="0.25">
      <c r="A121" s="24" t="s">
        <v>15</v>
      </c>
      <c r="B121" s="23" t="s">
        <v>24</v>
      </c>
      <c r="C121" s="23" t="s">
        <v>821</v>
      </c>
      <c r="D121" s="23" t="s">
        <v>16</v>
      </c>
      <c r="E121" s="424">
        <f>E122</f>
        <v>100000</v>
      </c>
    </row>
    <row r="122" spans="1:5" ht="36.700000000000003" outlineLevel="6" x14ac:dyDescent="0.25">
      <c r="A122" s="24" t="s">
        <v>17</v>
      </c>
      <c r="B122" s="23" t="s">
        <v>24</v>
      </c>
      <c r="C122" s="23" t="s">
        <v>821</v>
      </c>
      <c r="D122" s="23" t="s">
        <v>18</v>
      </c>
      <c r="E122" s="424">
        <f>'прил 7 '!F114</f>
        <v>100000</v>
      </c>
    </row>
    <row r="123" spans="1:5" outlineLevel="2" x14ac:dyDescent="0.25">
      <c r="A123" s="24" t="s">
        <v>196</v>
      </c>
      <c r="B123" s="23" t="s">
        <v>24</v>
      </c>
      <c r="C123" s="23" t="s">
        <v>127</v>
      </c>
      <c r="D123" s="23" t="s">
        <v>6</v>
      </c>
      <c r="E123" s="424">
        <f>E124+E135+E138+E141+E129</f>
        <v>58697173.730000004</v>
      </c>
    </row>
    <row r="124" spans="1:5" ht="36.700000000000003" customHeight="1" outlineLevel="4" x14ac:dyDescent="0.25">
      <c r="A124" s="24" t="s">
        <v>449</v>
      </c>
      <c r="B124" s="23" t="s">
        <v>24</v>
      </c>
      <c r="C124" s="23" t="s">
        <v>450</v>
      </c>
      <c r="D124" s="23" t="s">
        <v>6</v>
      </c>
      <c r="E124" s="424">
        <f>E125+E127</f>
        <v>48470600</v>
      </c>
    </row>
    <row r="125" spans="1:5" ht="73.400000000000006" outlineLevel="5" x14ac:dyDescent="0.25">
      <c r="A125" s="24" t="s">
        <v>11</v>
      </c>
      <c r="B125" s="23" t="s">
        <v>24</v>
      </c>
      <c r="C125" s="23" t="s">
        <v>450</v>
      </c>
      <c r="D125" s="23" t="s">
        <v>12</v>
      </c>
      <c r="E125" s="424">
        <f>E126</f>
        <v>48450600</v>
      </c>
    </row>
    <row r="126" spans="1:5" ht="17.5" customHeight="1" outlineLevel="6" x14ac:dyDescent="0.25">
      <c r="A126" s="24" t="s">
        <v>13</v>
      </c>
      <c r="B126" s="23" t="s">
        <v>24</v>
      </c>
      <c r="C126" s="23" t="s">
        <v>450</v>
      </c>
      <c r="D126" s="23" t="s">
        <v>14</v>
      </c>
      <c r="E126" s="424">
        <f>'прил 7 '!F118</f>
        <v>48450600</v>
      </c>
    </row>
    <row r="127" spans="1:5" ht="17.5" customHeight="1" outlineLevel="6" x14ac:dyDescent="0.25">
      <c r="A127" s="24" t="s">
        <v>15</v>
      </c>
      <c r="B127" s="23" t="s">
        <v>24</v>
      </c>
      <c r="C127" s="23" t="s">
        <v>450</v>
      </c>
      <c r="D127" s="23" t="s">
        <v>16</v>
      </c>
      <c r="E127" s="424">
        <f>E128</f>
        <v>20000</v>
      </c>
    </row>
    <row r="128" spans="1:5" ht="21.25" customHeight="1" outlineLevel="6" x14ac:dyDescent="0.25">
      <c r="A128" s="24" t="s">
        <v>17</v>
      </c>
      <c r="B128" s="23" t="s">
        <v>24</v>
      </c>
      <c r="C128" s="23" t="s">
        <v>450</v>
      </c>
      <c r="D128" s="23" t="s">
        <v>18</v>
      </c>
      <c r="E128" s="424">
        <f>'прил 7 '!F120</f>
        <v>20000</v>
      </c>
    </row>
    <row r="129" spans="1:5" ht="39.25" hidden="1" customHeight="1" outlineLevel="6" x14ac:dyDescent="0.25">
      <c r="A129" s="24" t="s">
        <v>620</v>
      </c>
      <c r="B129" s="23" t="s">
        <v>24</v>
      </c>
      <c r="C129" s="23" t="s">
        <v>618</v>
      </c>
      <c r="D129" s="23" t="s">
        <v>6</v>
      </c>
      <c r="E129" s="424">
        <f>E132+E130</f>
        <v>0</v>
      </c>
    </row>
    <row r="130" spans="1:5" ht="39.25" hidden="1" customHeight="1" outlineLevel="6" x14ac:dyDescent="0.25">
      <c r="A130" s="24" t="s">
        <v>15</v>
      </c>
      <c r="B130" s="23" t="s">
        <v>24</v>
      </c>
      <c r="C130" s="23" t="s">
        <v>618</v>
      </c>
      <c r="D130" s="23" t="s">
        <v>16</v>
      </c>
      <c r="E130" s="424">
        <f>E131</f>
        <v>0</v>
      </c>
    </row>
    <row r="131" spans="1:5" ht="39.25" hidden="1" customHeight="1" outlineLevel="6" x14ac:dyDescent="0.25">
      <c r="A131" s="24" t="s">
        <v>17</v>
      </c>
      <c r="B131" s="23" t="s">
        <v>24</v>
      </c>
      <c r="C131" s="23" t="s">
        <v>618</v>
      </c>
      <c r="D131" s="23" t="s">
        <v>18</v>
      </c>
      <c r="E131" s="424">
        <f>'прил 7 '!F123</f>
        <v>0</v>
      </c>
    </row>
    <row r="132" spans="1:5" ht="19.55" hidden="1" customHeight="1" outlineLevel="6" x14ac:dyDescent="0.25">
      <c r="A132" s="24" t="s">
        <v>19</v>
      </c>
      <c r="B132" s="23" t="s">
        <v>24</v>
      </c>
      <c r="C132" s="23" t="s">
        <v>618</v>
      </c>
      <c r="D132" s="23" t="s">
        <v>20</v>
      </c>
      <c r="E132" s="424">
        <f>E134+E133</f>
        <v>0</v>
      </c>
    </row>
    <row r="133" spans="1:5" ht="21.25" hidden="1" customHeight="1" outlineLevel="6" x14ac:dyDescent="0.25">
      <c r="A133" s="24" t="s">
        <v>646</v>
      </c>
      <c r="B133" s="23" t="s">
        <v>24</v>
      </c>
      <c r="C133" s="23" t="s">
        <v>618</v>
      </c>
      <c r="D133" s="23" t="s">
        <v>647</v>
      </c>
      <c r="E133" s="424">
        <f>'прил 7 '!F125</f>
        <v>0</v>
      </c>
    </row>
    <row r="134" spans="1:5" ht="36.700000000000003" hidden="1" customHeight="1" outlineLevel="6" x14ac:dyDescent="0.25">
      <c r="A134" s="24" t="s">
        <v>619</v>
      </c>
      <c r="B134" s="23" t="s">
        <v>24</v>
      </c>
      <c r="C134" s="23" t="s">
        <v>618</v>
      </c>
      <c r="D134" s="23" t="s">
        <v>22</v>
      </c>
      <c r="E134" s="424">
        <f>'прил 7 '!F126</f>
        <v>0</v>
      </c>
    </row>
    <row r="135" spans="1:5" ht="36.700000000000003" outlineLevel="6" x14ac:dyDescent="0.25">
      <c r="A135" s="24" t="s">
        <v>494</v>
      </c>
      <c r="B135" s="23" t="s">
        <v>24</v>
      </c>
      <c r="C135" s="23" t="s">
        <v>457</v>
      </c>
      <c r="D135" s="23" t="s">
        <v>6</v>
      </c>
      <c r="E135" s="424">
        <f>E136</f>
        <v>250000</v>
      </c>
    </row>
    <row r="136" spans="1:5" ht="16.5" customHeight="1" outlineLevel="6" x14ac:dyDescent="0.25">
      <c r="A136" s="24" t="s">
        <v>15</v>
      </c>
      <c r="B136" s="23" t="s">
        <v>24</v>
      </c>
      <c r="C136" s="23" t="s">
        <v>457</v>
      </c>
      <c r="D136" s="23" t="s">
        <v>16</v>
      </c>
      <c r="E136" s="424">
        <f>E137</f>
        <v>250000</v>
      </c>
    </row>
    <row r="137" spans="1:5" ht="20.25" customHeight="1" outlineLevel="6" x14ac:dyDescent="0.25">
      <c r="A137" s="24" t="s">
        <v>17</v>
      </c>
      <c r="B137" s="23" t="s">
        <v>24</v>
      </c>
      <c r="C137" s="23" t="s">
        <v>457</v>
      </c>
      <c r="D137" s="23" t="s">
        <v>18</v>
      </c>
      <c r="E137" s="424">
        <f>'прил 7 '!F129</f>
        <v>250000</v>
      </c>
    </row>
    <row r="138" spans="1:5" ht="40.75" customHeight="1" outlineLevel="6" x14ac:dyDescent="0.25">
      <c r="A138" s="24" t="s">
        <v>486</v>
      </c>
      <c r="B138" s="23" t="s">
        <v>24</v>
      </c>
      <c r="C138" s="23" t="s">
        <v>487</v>
      </c>
      <c r="D138" s="23" t="s">
        <v>6</v>
      </c>
      <c r="E138" s="424">
        <f>E139</f>
        <v>132000</v>
      </c>
    </row>
    <row r="139" spans="1:5" ht="19.55" customHeight="1" outlineLevel="6" x14ac:dyDescent="0.25">
      <c r="A139" s="24" t="s">
        <v>15</v>
      </c>
      <c r="B139" s="23" t="s">
        <v>24</v>
      </c>
      <c r="C139" s="23" t="s">
        <v>487</v>
      </c>
      <c r="D139" s="23" t="s">
        <v>16</v>
      </c>
      <c r="E139" s="424">
        <f>E140</f>
        <v>132000</v>
      </c>
    </row>
    <row r="140" spans="1:5" ht="20.25" customHeight="1" outlineLevel="6" x14ac:dyDescent="0.25">
      <c r="A140" s="24" t="s">
        <v>17</v>
      </c>
      <c r="B140" s="23" t="s">
        <v>24</v>
      </c>
      <c r="C140" s="23" t="s">
        <v>487</v>
      </c>
      <c r="D140" s="23" t="s">
        <v>18</v>
      </c>
      <c r="E140" s="424">
        <f>'прил 7 '!F487</f>
        <v>132000</v>
      </c>
    </row>
    <row r="141" spans="1:5" ht="21.75" customHeight="1" outlineLevel="6" x14ac:dyDescent="0.25">
      <c r="A141" s="24" t="s">
        <v>269</v>
      </c>
      <c r="B141" s="23" t="s">
        <v>24</v>
      </c>
      <c r="C141" s="23" t="s">
        <v>268</v>
      </c>
      <c r="D141" s="23" t="s">
        <v>6</v>
      </c>
      <c r="E141" s="424">
        <f>E142+E171+E145+E153+E161+E166+E150+E158</f>
        <v>9844573.7300000004</v>
      </c>
    </row>
    <row r="142" spans="1:5" hidden="1" outlineLevel="6" x14ac:dyDescent="0.25">
      <c r="A142" s="24" t="s">
        <v>517</v>
      </c>
      <c r="B142" s="23" t="s">
        <v>24</v>
      </c>
      <c r="C142" s="23" t="s">
        <v>523</v>
      </c>
      <c r="D142" s="23" t="s">
        <v>6</v>
      </c>
      <c r="E142" s="424">
        <f>E143</f>
        <v>0</v>
      </c>
    </row>
    <row r="143" spans="1:5" ht="36.700000000000003" hidden="1" outlineLevel="6" x14ac:dyDescent="0.25">
      <c r="A143" s="24" t="s">
        <v>15</v>
      </c>
      <c r="B143" s="23" t="s">
        <v>24</v>
      </c>
      <c r="C143" s="23" t="s">
        <v>523</v>
      </c>
      <c r="D143" s="23" t="s">
        <v>16</v>
      </c>
      <c r="E143" s="424">
        <f>E144</f>
        <v>0</v>
      </c>
    </row>
    <row r="144" spans="1:5" ht="36.700000000000003" hidden="1" outlineLevel="6" x14ac:dyDescent="0.25">
      <c r="A144" s="24" t="s">
        <v>17</v>
      </c>
      <c r="B144" s="23" t="s">
        <v>24</v>
      </c>
      <c r="C144" s="23" t="s">
        <v>523</v>
      </c>
      <c r="D144" s="23" t="s">
        <v>18</v>
      </c>
      <c r="E144" s="371"/>
    </row>
    <row r="145" spans="1:5" ht="59.8" customHeight="1" outlineLevel="4" collapsed="1" x14ac:dyDescent="0.25">
      <c r="A145" s="31" t="s">
        <v>962</v>
      </c>
      <c r="B145" s="23" t="s">
        <v>24</v>
      </c>
      <c r="C145" s="23" t="s">
        <v>270</v>
      </c>
      <c r="D145" s="23" t="s">
        <v>6</v>
      </c>
      <c r="E145" s="424">
        <f>E146+E148</f>
        <v>1588992</v>
      </c>
    </row>
    <row r="146" spans="1:5" ht="38.25" customHeight="1" outlineLevel="5" x14ac:dyDescent="0.25">
      <c r="A146" s="24" t="s">
        <v>11</v>
      </c>
      <c r="B146" s="23" t="s">
        <v>24</v>
      </c>
      <c r="C146" s="23" t="s">
        <v>270</v>
      </c>
      <c r="D146" s="23" t="s">
        <v>12</v>
      </c>
      <c r="E146" s="424">
        <f>E147</f>
        <v>1573992</v>
      </c>
    </row>
    <row r="147" spans="1:5" ht="18.7" customHeight="1" outlineLevel="6" x14ac:dyDescent="0.25">
      <c r="A147" s="24" t="s">
        <v>13</v>
      </c>
      <c r="B147" s="23" t="s">
        <v>24</v>
      </c>
      <c r="C147" s="23" t="s">
        <v>270</v>
      </c>
      <c r="D147" s="23" t="s">
        <v>14</v>
      </c>
      <c r="E147" s="424">
        <f>'прил 7 '!F133</f>
        <v>1573992</v>
      </c>
    </row>
    <row r="148" spans="1:5" ht="16.5" customHeight="1" outlineLevel="5" x14ac:dyDescent="0.25">
      <c r="A148" s="24" t="s">
        <v>15</v>
      </c>
      <c r="B148" s="23" t="s">
        <v>24</v>
      </c>
      <c r="C148" s="23" t="s">
        <v>270</v>
      </c>
      <c r="D148" s="23" t="s">
        <v>16</v>
      </c>
      <c r="E148" s="424">
        <f>E149</f>
        <v>15000</v>
      </c>
    </row>
    <row r="149" spans="1:5" ht="20.25" customHeight="1" outlineLevel="6" x14ac:dyDescent="0.25">
      <c r="A149" s="24" t="s">
        <v>17</v>
      </c>
      <c r="B149" s="23" t="s">
        <v>24</v>
      </c>
      <c r="C149" s="23" t="s">
        <v>270</v>
      </c>
      <c r="D149" s="23" t="s">
        <v>18</v>
      </c>
      <c r="E149" s="424">
        <f>'прил 7 '!F135</f>
        <v>15000</v>
      </c>
    </row>
    <row r="150" spans="1:5" ht="64.2" customHeight="1" outlineLevel="6" x14ac:dyDescent="0.25">
      <c r="A150" s="366" t="s">
        <v>944</v>
      </c>
      <c r="B150" s="23" t="s">
        <v>24</v>
      </c>
      <c r="C150" s="23" t="s">
        <v>652</v>
      </c>
      <c r="D150" s="23" t="s">
        <v>6</v>
      </c>
      <c r="E150" s="424">
        <f>E151</f>
        <v>449243</v>
      </c>
    </row>
    <row r="151" spans="1:5" ht="41.95" customHeight="1" outlineLevel="6" x14ac:dyDescent="0.25">
      <c r="A151" s="24" t="s">
        <v>11</v>
      </c>
      <c r="B151" s="23" t="s">
        <v>24</v>
      </c>
      <c r="C151" s="23" t="s">
        <v>652</v>
      </c>
      <c r="D151" s="23" t="s">
        <v>12</v>
      </c>
      <c r="E151" s="424">
        <f>E152</f>
        <v>449243</v>
      </c>
    </row>
    <row r="152" spans="1:5" ht="41.95" customHeight="1" outlineLevel="6" x14ac:dyDescent="0.25">
      <c r="A152" s="24" t="s">
        <v>13</v>
      </c>
      <c r="B152" s="23" t="s">
        <v>24</v>
      </c>
      <c r="C152" s="23" t="s">
        <v>652</v>
      </c>
      <c r="D152" s="23" t="s">
        <v>14</v>
      </c>
      <c r="E152" s="424">
        <f>'прил 7 '!F138</f>
        <v>449243</v>
      </c>
    </row>
    <row r="153" spans="1:5" ht="55.05" outlineLevel="4" x14ac:dyDescent="0.25">
      <c r="A153" s="44" t="s">
        <v>945</v>
      </c>
      <c r="B153" s="23" t="s">
        <v>24</v>
      </c>
      <c r="C153" s="425" t="s">
        <v>947</v>
      </c>
      <c r="D153" s="23" t="s">
        <v>6</v>
      </c>
      <c r="E153" s="424">
        <f>E154+E156</f>
        <v>1642229</v>
      </c>
    </row>
    <row r="154" spans="1:5" ht="73.400000000000006" outlineLevel="5" x14ac:dyDescent="0.25">
      <c r="A154" s="24" t="s">
        <v>11</v>
      </c>
      <c r="B154" s="23" t="s">
        <v>24</v>
      </c>
      <c r="C154" s="425" t="s">
        <v>947</v>
      </c>
      <c r="D154" s="23" t="s">
        <v>12</v>
      </c>
      <c r="E154" s="424">
        <f>E155</f>
        <v>1627229</v>
      </c>
    </row>
    <row r="155" spans="1:5" ht="49.75" customHeight="1" outlineLevel="6" x14ac:dyDescent="0.25">
      <c r="A155" s="24" t="s">
        <v>13</v>
      </c>
      <c r="B155" s="23" t="s">
        <v>24</v>
      </c>
      <c r="C155" s="425" t="s">
        <v>947</v>
      </c>
      <c r="D155" s="23" t="s">
        <v>14</v>
      </c>
      <c r="E155" s="424">
        <f>'прил 7 '!F141</f>
        <v>1627229</v>
      </c>
    </row>
    <row r="156" spans="1:5" ht="19.55" customHeight="1" outlineLevel="5" x14ac:dyDescent="0.25">
      <c r="A156" s="24" t="s">
        <v>15</v>
      </c>
      <c r="B156" s="23" t="s">
        <v>24</v>
      </c>
      <c r="C156" s="425" t="s">
        <v>947</v>
      </c>
      <c r="D156" s="23" t="s">
        <v>16</v>
      </c>
      <c r="E156" s="424">
        <f>E157</f>
        <v>15000</v>
      </c>
    </row>
    <row r="157" spans="1:5" ht="19.55" customHeight="1" outlineLevel="6" x14ac:dyDescent="0.25">
      <c r="A157" s="24" t="s">
        <v>17</v>
      </c>
      <c r="B157" s="23" t="s">
        <v>24</v>
      </c>
      <c r="C157" s="425" t="s">
        <v>947</v>
      </c>
      <c r="D157" s="23" t="s">
        <v>18</v>
      </c>
      <c r="E157" s="424">
        <f>'прил 7 '!F143</f>
        <v>15000</v>
      </c>
    </row>
    <row r="158" spans="1:5" ht="38.049999999999997" customHeight="1" outlineLevel="6" x14ac:dyDescent="0.3">
      <c r="A158" s="93" t="s">
        <v>946</v>
      </c>
      <c r="B158" s="23" t="s">
        <v>24</v>
      </c>
      <c r="C158" s="23" t="s">
        <v>948</v>
      </c>
      <c r="D158" s="23" t="s">
        <v>6</v>
      </c>
      <c r="E158" s="424">
        <f>E159</f>
        <v>1300000</v>
      </c>
    </row>
    <row r="159" spans="1:5" ht="50.3" customHeight="1" outlineLevel="6" x14ac:dyDescent="0.25">
      <c r="A159" s="24" t="s">
        <v>11</v>
      </c>
      <c r="B159" s="23" t="s">
        <v>24</v>
      </c>
      <c r="C159" s="23" t="s">
        <v>948</v>
      </c>
      <c r="D159" s="23" t="s">
        <v>12</v>
      </c>
      <c r="E159" s="424">
        <f>E160</f>
        <v>1300000</v>
      </c>
    </row>
    <row r="160" spans="1:5" ht="19.55" customHeight="1" outlineLevel="6" x14ac:dyDescent="0.25">
      <c r="A160" s="24" t="s">
        <v>13</v>
      </c>
      <c r="B160" s="23" t="s">
        <v>24</v>
      </c>
      <c r="C160" s="23" t="s">
        <v>948</v>
      </c>
      <c r="D160" s="23" t="s">
        <v>14</v>
      </c>
      <c r="E160" s="424">
        <f>'прил 7 '!F146</f>
        <v>1300000</v>
      </c>
    </row>
    <row r="161" spans="1:7" ht="46.2" customHeight="1" outlineLevel="4" x14ac:dyDescent="0.25">
      <c r="A161" s="31" t="s">
        <v>939</v>
      </c>
      <c r="B161" s="23" t="s">
        <v>24</v>
      </c>
      <c r="C161" s="23" t="s">
        <v>271</v>
      </c>
      <c r="D161" s="23" t="s">
        <v>6</v>
      </c>
      <c r="E161" s="424">
        <f>E162+E164</f>
        <v>1219473</v>
      </c>
    </row>
    <row r="162" spans="1:7" ht="73.400000000000006" outlineLevel="5" x14ac:dyDescent="0.25">
      <c r="A162" s="24" t="s">
        <v>11</v>
      </c>
      <c r="B162" s="23" t="s">
        <v>24</v>
      </c>
      <c r="C162" s="23" t="s">
        <v>271</v>
      </c>
      <c r="D162" s="23" t="s">
        <v>12</v>
      </c>
      <c r="E162" s="424">
        <f>E163</f>
        <v>1174473</v>
      </c>
    </row>
    <row r="163" spans="1:7" ht="19.55" customHeight="1" outlineLevel="6" x14ac:dyDescent="0.25">
      <c r="A163" s="24" t="s">
        <v>13</v>
      </c>
      <c r="B163" s="23" t="s">
        <v>24</v>
      </c>
      <c r="C163" s="23" t="s">
        <v>271</v>
      </c>
      <c r="D163" s="23" t="s">
        <v>14</v>
      </c>
      <c r="E163" s="424">
        <f>'прил 7 '!F149</f>
        <v>1174473</v>
      </c>
    </row>
    <row r="164" spans="1:7" ht="19.55" customHeight="1" outlineLevel="5" x14ac:dyDescent="0.25">
      <c r="A164" s="24" t="s">
        <v>15</v>
      </c>
      <c r="B164" s="23" t="s">
        <v>24</v>
      </c>
      <c r="C164" s="23" t="s">
        <v>271</v>
      </c>
      <c r="D164" s="23" t="s">
        <v>16</v>
      </c>
      <c r="E164" s="424">
        <f>E165</f>
        <v>45000</v>
      </c>
    </row>
    <row r="165" spans="1:7" ht="19.55" customHeight="1" outlineLevel="6" x14ac:dyDescent="0.25">
      <c r="A165" s="24" t="s">
        <v>17</v>
      </c>
      <c r="B165" s="23" t="s">
        <v>24</v>
      </c>
      <c r="C165" s="23" t="s">
        <v>271</v>
      </c>
      <c r="D165" s="23" t="s">
        <v>18</v>
      </c>
      <c r="E165" s="424">
        <f>'прил 7 '!F151</f>
        <v>45000</v>
      </c>
    </row>
    <row r="166" spans="1:7" ht="40.75" customHeight="1" outlineLevel="6" x14ac:dyDescent="0.25">
      <c r="A166" s="366" t="s">
        <v>943</v>
      </c>
      <c r="B166" s="23" t="s">
        <v>24</v>
      </c>
      <c r="C166" s="23" t="s">
        <v>381</v>
      </c>
      <c r="D166" s="23" t="s">
        <v>6</v>
      </c>
      <c r="E166" s="424">
        <f>E167+E169</f>
        <v>2607156</v>
      </c>
    </row>
    <row r="167" spans="1:7" ht="73.400000000000006" outlineLevel="6" x14ac:dyDescent="0.25">
      <c r="A167" s="24" t="s">
        <v>11</v>
      </c>
      <c r="B167" s="23" t="s">
        <v>24</v>
      </c>
      <c r="C167" s="23" t="s">
        <v>381</v>
      </c>
      <c r="D167" s="23" t="s">
        <v>12</v>
      </c>
      <c r="E167" s="424">
        <f>E168</f>
        <v>2449556</v>
      </c>
    </row>
    <row r="168" spans="1:7" ht="17.5" customHeight="1" outlineLevel="6" x14ac:dyDescent="0.25">
      <c r="A168" s="24" t="s">
        <v>13</v>
      </c>
      <c r="B168" s="23" t="s">
        <v>24</v>
      </c>
      <c r="C168" s="23" t="s">
        <v>381</v>
      </c>
      <c r="D168" s="23" t="s">
        <v>14</v>
      </c>
      <c r="E168" s="424">
        <f>'прил 7 '!F154</f>
        <v>2449556</v>
      </c>
    </row>
    <row r="169" spans="1:7" ht="17.5" customHeight="1" outlineLevel="6" x14ac:dyDescent="0.25">
      <c r="A169" s="24" t="s">
        <v>15</v>
      </c>
      <c r="B169" s="23" t="s">
        <v>24</v>
      </c>
      <c r="C169" s="23" t="s">
        <v>381</v>
      </c>
      <c r="D169" s="23" t="s">
        <v>16</v>
      </c>
      <c r="E169" s="424">
        <f>E170</f>
        <v>157600</v>
      </c>
    </row>
    <row r="170" spans="1:7" ht="17.5" customHeight="1" outlineLevel="6" x14ac:dyDescent="0.25">
      <c r="A170" s="24" t="s">
        <v>17</v>
      </c>
      <c r="B170" s="23" t="s">
        <v>24</v>
      </c>
      <c r="C170" s="23" t="s">
        <v>381</v>
      </c>
      <c r="D170" s="23" t="s">
        <v>18</v>
      </c>
      <c r="E170" s="424">
        <f>'прил 7 '!F156</f>
        <v>157600</v>
      </c>
    </row>
    <row r="171" spans="1:7" ht="94.75" customHeight="1" outlineLevel="6" x14ac:dyDescent="0.25">
      <c r="A171" s="366" t="s">
        <v>959</v>
      </c>
      <c r="B171" s="23" t="s">
        <v>24</v>
      </c>
      <c r="C171" s="23" t="s">
        <v>287</v>
      </c>
      <c r="D171" s="23" t="s">
        <v>6</v>
      </c>
      <c r="E171" s="424">
        <f>E172+E174</f>
        <v>1037480.73</v>
      </c>
    </row>
    <row r="172" spans="1:7" ht="73.400000000000006" outlineLevel="6" x14ac:dyDescent="0.25">
      <c r="A172" s="24" t="s">
        <v>11</v>
      </c>
      <c r="B172" s="23" t="s">
        <v>24</v>
      </c>
      <c r="C172" s="23" t="s">
        <v>287</v>
      </c>
      <c r="D172" s="23" t="s">
        <v>12</v>
      </c>
      <c r="E172" s="424">
        <f>E173</f>
        <v>977480.73</v>
      </c>
    </row>
    <row r="173" spans="1:7" ht="19.55" customHeight="1" outlineLevel="6" x14ac:dyDescent="0.25">
      <c r="A173" s="24" t="s">
        <v>13</v>
      </c>
      <c r="B173" s="23" t="s">
        <v>24</v>
      </c>
      <c r="C173" s="23" t="s">
        <v>287</v>
      </c>
      <c r="D173" s="23" t="s">
        <v>14</v>
      </c>
      <c r="E173" s="424">
        <f>'прил 7 '!F159</f>
        <v>977480.73</v>
      </c>
    </row>
    <row r="174" spans="1:7" ht="36.700000000000003" outlineLevel="6" x14ac:dyDescent="0.25">
      <c r="A174" s="24" t="s">
        <v>15</v>
      </c>
      <c r="B174" s="23" t="s">
        <v>24</v>
      </c>
      <c r="C174" s="23" t="s">
        <v>287</v>
      </c>
      <c r="D174" s="23" t="s">
        <v>16</v>
      </c>
      <c r="E174" s="424">
        <f>E175</f>
        <v>60000</v>
      </c>
    </row>
    <row r="175" spans="1:7" ht="36.700000000000003" outlineLevel="6" x14ac:dyDescent="0.25">
      <c r="A175" s="24" t="s">
        <v>17</v>
      </c>
      <c r="B175" s="23" t="s">
        <v>24</v>
      </c>
      <c r="C175" s="23" t="s">
        <v>287</v>
      </c>
      <c r="D175" s="23" t="s">
        <v>18</v>
      </c>
      <c r="E175" s="424">
        <f>'прил 7 '!F161</f>
        <v>60000</v>
      </c>
    </row>
    <row r="176" spans="1:7" ht="22.75" customHeight="1" outlineLevel="6" x14ac:dyDescent="0.25">
      <c r="A176" s="34" t="s">
        <v>525</v>
      </c>
      <c r="B176" s="35" t="s">
        <v>26</v>
      </c>
      <c r="C176" s="35" t="s">
        <v>126</v>
      </c>
      <c r="D176" s="35" t="s">
        <v>6</v>
      </c>
      <c r="E176" s="50">
        <f t="shared" ref="E176:E181" si="0">E177</f>
        <v>2074512</v>
      </c>
      <c r="G176" s="73">
        <f>E176/'прил 7 '!F693*100</f>
        <v>0.17985520178149292</v>
      </c>
    </row>
    <row r="177" spans="1:7" ht="22.75" customHeight="1" outlineLevel="6" x14ac:dyDescent="0.25">
      <c r="A177" s="24" t="s">
        <v>526</v>
      </c>
      <c r="B177" s="23" t="s">
        <v>527</v>
      </c>
      <c r="C177" s="23" t="s">
        <v>126</v>
      </c>
      <c r="D177" s="23" t="s">
        <v>6</v>
      </c>
      <c r="E177" s="424">
        <f t="shared" si="0"/>
        <v>2074512</v>
      </c>
    </row>
    <row r="178" spans="1:7" outlineLevel="6" x14ac:dyDescent="0.25">
      <c r="A178" s="24" t="s">
        <v>196</v>
      </c>
      <c r="B178" s="23" t="s">
        <v>527</v>
      </c>
      <c r="C178" s="23" t="s">
        <v>127</v>
      </c>
      <c r="D178" s="23" t="s">
        <v>6</v>
      </c>
      <c r="E178" s="424">
        <f t="shared" si="0"/>
        <v>2074512</v>
      </c>
    </row>
    <row r="179" spans="1:7" outlineLevel="6" x14ac:dyDescent="0.25">
      <c r="A179" s="24" t="s">
        <v>269</v>
      </c>
      <c r="B179" s="23" t="s">
        <v>527</v>
      </c>
      <c r="C179" s="23" t="s">
        <v>268</v>
      </c>
      <c r="D179" s="23" t="s">
        <v>6</v>
      </c>
      <c r="E179" s="424">
        <f>E180+E183</f>
        <v>2074512</v>
      </c>
    </row>
    <row r="180" spans="1:7" ht="52.3" customHeight="1" outlineLevel="6" x14ac:dyDescent="0.25">
      <c r="A180" s="40" t="s">
        <v>960</v>
      </c>
      <c r="B180" s="23" t="s">
        <v>527</v>
      </c>
      <c r="C180" s="23" t="s">
        <v>529</v>
      </c>
      <c r="D180" s="23" t="s">
        <v>6</v>
      </c>
      <c r="E180" s="424">
        <f t="shared" si="0"/>
        <v>1804512</v>
      </c>
    </row>
    <row r="181" spans="1:7" ht="73.400000000000006" outlineLevel="6" x14ac:dyDescent="0.25">
      <c r="A181" s="24" t="s">
        <v>11</v>
      </c>
      <c r="B181" s="23" t="s">
        <v>527</v>
      </c>
      <c r="C181" s="23" t="s">
        <v>529</v>
      </c>
      <c r="D181" s="23" t="s">
        <v>12</v>
      </c>
      <c r="E181" s="424">
        <f t="shared" si="0"/>
        <v>1804512</v>
      </c>
    </row>
    <row r="182" spans="1:7" ht="36.700000000000003" outlineLevel="6" x14ac:dyDescent="0.25">
      <c r="A182" s="24" t="s">
        <v>13</v>
      </c>
      <c r="B182" s="23" t="s">
        <v>527</v>
      </c>
      <c r="C182" s="23" t="s">
        <v>529</v>
      </c>
      <c r="D182" s="23" t="s">
        <v>14</v>
      </c>
      <c r="E182" s="424">
        <f>'прил 7 '!F168</f>
        <v>1804512</v>
      </c>
    </row>
    <row r="183" spans="1:7" ht="55.05" outlineLevel="6" x14ac:dyDescent="0.25">
      <c r="A183" s="40" t="s">
        <v>654</v>
      </c>
      <c r="B183" s="23" t="s">
        <v>527</v>
      </c>
      <c r="C183" s="23" t="s">
        <v>659</v>
      </c>
      <c r="D183" s="23" t="s">
        <v>6</v>
      </c>
      <c r="E183" s="424">
        <f>E184</f>
        <v>270000</v>
      </c>
    </row>
    <row r="184" spans="1:7" ht="73.400000000000006" outlineLevel="6" x14ac:dyDescent="0.25">
      <c r="A184" s="24" t="s">
        <v>11</v>
      </c>
      <c r="B184" s="23" t="s">
        <v>527</v>
      </c>
      <c r="C184" s="23" t="s">
        <v>659</v>
      </c>
      <c r="D184" s="23" t="s">
        <v>12</v>
      </c>
      <c r="E184" s="424">
        <f>E185</f>
        <v>270000</v>
      </c>
    </row>
    <row r="185" spans="1:7" ht="36.700000000000003" outlineLevel="6" x14ac:dyDescent="0.25">
      <c r="A185" s="24" t="s">
        <v>13</v>
      </c>
      <c r="B185" s="23" t="s">
        <v>527</v>
      </c>
      <c r="C185" s="23" t="s">
        <v>659</v>
      </c>
      <c r="D185" s="23" t="s">
        <v>14</v>
      </c>
      <c r="E185" s="424">
        <f>'прил 7 '!F171</f>
        <v>270000</v>
      </c>
    </row>
    <row r="186" spans="1:7" s="426" customFormat="1" ht="19.55" customHeight="1" x14ac:dyDescent="0.25">
      <c r="A186" s="24" t="s">
        <v>41</v>
      </c>
      <c r="B186" s="35" t="s">
        <v>42</v>
      </c>
      <c r="C186" s="35" t="s">
        <v>126</v>
      </c>
      <c r="D186" s="35" t="s">
        <v>6</v>
      </c>
      <c r="E186" s="50">
        <f>E187+E192</f>
        <v>2612945</v>
      </c>
      <c r="G186" s="73">
        <f>E186/'прил 7 '!F693*100</f>
        <v>0.22653604810140554</v>
      </c>
    </row>
    <row r="187" spans="1:7" ht="36.700000000000003" outlineLevel="1" x14ac:dyDescent="0.25">
      <c r="A187" s="24" t="s">
        <v>43</v>
      </c>
      <c r="B187" s="23" t="s">
        <v>44</v>
      </c>
      <c r="C187" s="23" t="s">
        <v>126</v>
      </c>
      <c r="D187" s="23" t="s">
        <v>6</v>
      </c>
      <c r="E187" s="424">
        <f>E188</f>
        <v>200000</v>
      </c>
    </row>
    <row r="188" spans="1:7" outlineLevel="3" x14ac:dyDescent="0.25">
      <c r="A188" s="24" t="s">
        <v>196</v>
      </c>
      <c r="B188" s="23" t="s">
        <v>44</v>
      </c>
      <c r="C188" s="23" t="s">
        <v>127</v>
      </c>
      <c r="D188" s="23" t="s">
        <v>6</v>
      </c>
      <c r="E188" s="424">
        <f>E189</f>
        <v>200000</v>
      </c>
    </row>
    <row r="189" spans="1:7" ht="19.55" customHeight="1" outlineLevel="4" x14ac:dyDescent="0.25">
      <c r="A189" s="24" t="s">
        <v>45</v>
      </c>
      <c r="B189" s="23" t="s">
        <v>44</v>
      </c>
      <c r="C189" s="23" t="s">
        <v>133</v>
      </c>
      <c r="D189" s="23" t="s">
        <v>6</v>
      </c>
      <c r="E189" s="424">
        <f>E190</f>
        <v>200000</v>
      </c>
    </row>
    <row r="190" spans="1:7" ht="17.5" customHeight="1" outlineLevel="5" x14ac:dyDescent="0.25">
      <c r="A190" s="24" t="s">
        <v>15</v>
      </c>
      <c r="B190" s="23" t="s">
        <v>44</v>
      </c>
      <c r="C190" s="23" t="s">
        <v>133</v>
      </c>
      <c r="D190" s="23" t="s">
        <v>16</v>
      </c>
      <c r="E190" s="424">
        <f>E191</f>
        <v>200000</v>
      </c>
    </row>
    <row r="191" spans="1:7" ht="18.7" customHeight="1" outlineLevel="6" x14ac:dyDescent="0.25">
      <c r="A191" s="24" t="s">
        <v>17</v>
      </c>
      <c r="B191" s="23" t="s">
        <v>44</v>
      </c>
      <c r="C191" s="23" t="s">
        <v>133</v>
      </c>
      <c r="D191" s="23" t="s">
        <v>18</v>
      </c>
      <c r="E191" s="424">
        <f>'прил 7 '!F177</f>
        <v>200000</v>
      </c>
    </row>
    <row r="192" spans="1:7" outlineLevel="6" x14ac:dyDescent="0.25">
      <c r="A192" s="24" t="s">
        <v>459</v>
      </c>
      <c r="B192" s="23" t="s">
        <v>460</v>
      </c>
      <c r="C192" s="23" t="s">
        <v>126</v>
      </c>
      <c r="D192" s="23" t="s">
        <v>6</v>
      </c>
      <c r="E192" s="424">
        <f>E193</f>
        <v>2412945</v>
      </c>
    </row>
    <row r="193" spans="1:7" ht="36.700000000000003" outlineLevel="6" x14ac:dyDescent="0.25">
      <c r="A193" s="24" t="s">
        <v>132</v>
      </c>
      <c r="B193" s="23" t="s">
        <v>460</v>
      </c>
      <c r="C193" s="23" t="s">
        <v>127</v>
      </c>
      <c r="D193" s="23" t="s">
        <v>6</v>
      </c>
      <c r="E193" s="424">
        <f>E194</f>
        <v>2412945</v>
      </c>
    </row>
    <row r="194" spans="1:7" ht="36.700000000000003" outlineLevel="6" x14ac:dyDescent="0.25">
      <c r="A194" s="24" t="s">
        <v>461</v>
      </c>
      <c r="B194" s="23" t="s">
        <v>460</v>
      </c>
      <c r="C194" s="23" t="s">
        <v>617</v>
      </c>
      <c r="D194" s="23" t="s">
        <v>6</v>
      </c>
      <c r="E194" s="424">
        <f>E195</f>
        <v>2412945</v>
      </c>
    </row>
    <row r="195" spans="1:7" ht="36.700000000000003" outlineLevel="6" x14ac:dyDescent="0.25">
      <c r="A195" s="24" t="s">
        <v>15</v>
      </c>
      <c r="B195" s="23" t="s">
        <v>460</v>
      </c>
      <c r="C195" s="23" t="s">
        <v>617</v>
      </c>
      <c r="D195" s="23" t="s">
        <v>16</v>
      </c>
      <c r="E195" s="424">
        <f>E196</f>
        <v>2412945</v>
      </c>
    </row>
    <row r="196" spans="1:7" ht="36.700000000000003" outlineLevel="6" x14ac:dyDescent="0.25">
      <c r="A196" s="24" t="s">
        <v>17</v>
      </c>
      <c r="B196" s="23" t="s">
        <v>460</v>
      </c>
      <c r="C196" s="23" t="s">
        <v>617</v>
      </c>
      <c r="D196" s="23" t="s">
        <v>18</v>
      </c>
      <c r="E196" s="424">
        <f>'прил 7 '!F182</f>
        <v>2412945</v>
      </c>
    </row>
    <row r="197" spans="1:7" s="426" customFormat="1" x14ac:dyDescent="0.25">
      <c r="A197" s="24" t="s">
        <v>119</v>
      </c>
      <c r="B197" s="35" t="s">
        <v>46</v>
      </c>
      <c r="C197" s="35" t="s">
        <v>126</v>
      </c>
      <c r="D197" s="35" t="s">
        <v>6</v>
      </c>
      <c r="E197" s="50">
        <f>E198+E204+E221+E233</f>
        <v>22716765.300000001</v>
      </c>
      <c r="G197" s="73">
        <f>E197/'прил 7 '!F693*100</f>
        <v>1.9694889240719344</v>
      </c>
    </row>
    <row r="198" spans="1:7" s="426" customFormat="1" x14ac:dyDescent="0.25">
      <c r="A198" s="24" t="s">
        <v>121</v>
      </c>
      <c r="B198" s="23" t="s">
        <v>122</v>
      </c>
      <c r="C198" s="23" t="s">
        <v>126</v>
      </c>
      <c r="D198" s="23" t="s">
        <v>6</v>
      </c>
      <c r="E198" s="424">
        <f>E199</f>
        <v>1122746.8500000001</v>
      </c>
    </row>
    <row r="199" spans="1:7" s="426" customFormat="1" x14ac:dyDescent="0.25">
      <c r="A199" s="24" t="s">
        <v>196</v>
      </c>
      <c r="B199" s="23" t="s">
        <v>122</v>
      </c>
      <c r="C199" s="23" t="s">
        <v>127</v>
      </c>
      <c r="D199" s="23" t="s">
        <v>6</v>
      </c>
      <c r="E199" s="424">
        <f>E200</f>
        <v>1122746.8500000001</v>
      </c>
    </row>
    <row r="200" spans="1:7" s="426" customFormat="1" x14ac:dyDescent="0.25">
      <c r="A200" s="24" t="s">
        <v>269</v>
      </c>
      <c r="B200" s="23" t="s">
        <v>122</v>
      </c>
      <c r="C200" s="23" t="s">
        <v>268</v>
      </c>
      <c r="D200" s="23" t="s">
        <v>6</v>
      </c>
      <c r="E200" s="424">
        <f>E201</f>
        <v>1122746.8500000001</v>
      </c>
    </row>
    <row r="201" spans="1:7" s="426" customFormat="1" ht="67.75" customHeight="1" x14ac:dyDescent="0.25">
      <c r="A201" s="366" t="s">
        <v>933</v>
      </c>
      <c r="B201" s="23" t="s">
        <v>122</v>
      </c>
      <c r="C201" s="23" t="s">
        <v>278</v>
      </c>
      <c r="D201" s="23" t="s">
        <v>6</v>
      </c>
      <c r="E201" s="424">
        <f>E202</f>
        <v>1122746.8500000001</v>
      </c>
    </row>
    <row r="202" spans="1:7" s="426" customFormat="1" ht="18.7" customHeight="1" x14ac:dyDescent="0.25">
      <c r="A202" s="24" t="s">
        <v>15</v>
      </c>
      <c r="B202" s="23" t="s">
        <v>122</v>
      </c>
      <c r="C202" s="23" t="s">
        <v>278</v>
      </c>
      <c r="D202" s="23" t="s">
        <v>16</v>
      </c>
      <c r="E202" s="424">
        <f>E203</f>
        <v>1122746.8500000001</v>
      </c>
    </row>
    <row r="203" spans="1:7" s="426" customFormat="1" ht="18" customHeight="1" x14ac:dyDescent="0.25">
      <c r="A203" s="24" t="s">
        <v>17</v>
      </c>
      <c r="B203" s="23" t="s">
        <v>122</v>
      </c>
      <c r="C203" s="23" t="s">
        <v>278</v>
      </c>
      <c r="D203" s="23" t="s">
        <v>18</v>
      </c>
      <c r="E203" s="424">
        <f>'прил 7 '!F189</f>
        <v>1122746.8500000001</v>
      </c>
    </row>
    <row r="204" spans="1:7" s="426" customFormat="1" x14ac:dyDescent="0.25">
      <c r="A204" s="24" t="s">
        <v>282</v>
      </c>
      <c r="B204" s="23" t="s">
        <v>283</v>
      </c>
      <c r="C204" s="23" t="s">
        <v>126</v>
      </c>
      <c r="D204" s="23" t="s">
        <v>6</v>
      </c>
      <c r="E204" s="424">
        <f>E205+E210</f>
        <v>4461018.45</v>
      </c>
    </row>
    <row r="205" spans="1:7" s="426" customFormat="1" ht="21.25" customHeight="1" x14ac:dyDescent="0.25">
      <c r="A205" s="24" t="s">
        <v>132</v>
      </c>
      <c r="B205" s="23" t="s">
        <v>283</v>
      </c>
      <c r="C205" s="23" t="s">
        <v>127</v>
      </c>
      <c r="D205" s="23" t="s">
        <v>6</v>
      </c>
      <c r="E205" s="424">
        <f>E206</f>
        <v>3387.08</v>
      </c>
    </row>
    <row r="206" spans="1:7" s="426" customFormat="1" x14ac:dyDescent="0.25">
      <c r="A206" s="24" t="s">
        <v>269</v>
      </c>
      <c r="B206" s="23" t="s">
        <v>283</v>
      </c>
      <c r="C206" s="23" t="s">
        <v>268</v>
      </c>
      <c r="D206" s="23" t="s">
        <v>6</v>
      </c>
      <c r="E206" s="424">
        <f>E207</f>
        <v>3387.08</v>
      </c>
    </row>
    <row r="207" spans="1:7" s="426" customFormat="1" ht="64.55" customHeight="1" x14ac:dyDescent="0.25">
      <c r="A207" s="31" t="s">
        <v>940</v>
      </c>
      <c r="B207" s="23" t="s">
        <v>283</v>
      </c>
      <c r="C207" s="23" t="s">
        <v>364</v>
      </c>
      <c r="D207" s="23" t="s">
        <v>6</v>
      </c>
      <c r="E207" s="424">
        <f>E208</f>
        <v>3387.08</v>
      </c>
    </row>
    <row r="208" spans="1:7" s="426" customFormat="1" ht="17.5" customHeight="1" x14ac:dyDescent="0.25">
      <c r="A208" s="24" t="s">
        <v>15</v>
      </c>
      <c r="B208" s="23" t="s">
        <v>283</v>
      </c>
      <c r="C208" s="23" t="s">
        <v>364</v>
      </c>
      <c r="D208" s="23" t="s">
        <v>16</v>
      </c>
      <c r="E208" s="424">
        <f>E209</f>
        <v>3387.08</v>
      </c>
    </row>
    <row r="209" spans="1:5" s="426" customFormat="1" ht="21.25" customHeight="1" x14ac:dyDescent="0.25">
      <c r="A209" s="24" t="s">
        <v>17</v>
      </c>
      <c r="B209" s="23" t="s">
        <v>283</v>
      </c>
      <c r="C209" s="23" t="s">
        <v>364</v>
      </c>
      <c r="D209" s="23" t="s">
        <v>18</v>
      </c>
      <c r="E209" s="424">
        <f>'прил 7 '!F195</f>
        <v>3387.08</v>
      </c>
    </row>
    <row r="210" spans="1:5" s="426" customFormat="1" ht="58.75" customHeight="1" x14ac:dyDescent="0.25">
      <c r="A210" s="37" t="s">
        <v>716</v>
      </c>
      <c r="B210" s="23" t="s">
        <v>283</v>
      </c>
      <c r="C210" s="23" t="s">
        <v>308</v>
      </c>
      <c r="D210" s="26" t="s">
        <v>6</v>
      </c>
      <c r="E210" s="424">
        <f>E211</f>
        <v>4457631.37</v>
      </c>
    </row>
    <row r="211" spans="1:5" s="426" customFormat="1" ht="50.3" customHeight="1" x14ac:dyDescent="0.25">
      <c r="A211" s="24" t="s">
        <v>711</v>
      </c>
      <c r="B211" s="23" t="s">
        <v>283</v>
      </c>
      <c r="C211" s="23" t="s">
        <v>712</v>
      </c>
      <c r="D211" s="26" t="s">
        <v>6</v>
      </c>
      <c r="E211" s="424">
        <f>E218+E212+E215</f>
        <v>4457631.37</v>
      </c>
    </row>
    <row r="212" spans="1:5" s="426" customFormat="1" ht="36" customHeight="1" x14ac:dyDescent="0.25">
      <c r="A212" s="315" t="s">
        <v>1122</v>
      </c>
      <c r="B212" s="392" t="s">
        <v>283</v>
      </c>
      <c r="C212" s="640">
        <v>1696192410</v>
      </c>
      <c r="D212" s="392" t="s">
        <v>6</v>
      </c>
      <c r="E212" s="424">
        <f>E213</f>
        <v>3027055.06</v>
      </c>
    </row>
    <row r="213" spans="1:5" s="426" customFormat="1" ht="25.15" customHeight="1" x14ac:dyDescent="0.25">
      <c r="A213" s="189" t="s">
        <v>15</v>
      </c>
      <c r="B213" s="392" t="s">
        <v>283</v>
      </c>
      <c r="C213" s="640">
        <v>1696192410</v>
      </c>
      <c r="D213" s="392" t="s">
        <v>16</v>
      </c>
      <c r="E213" s="424">
        <f>E214</f>
        <v>3027055.06</v>
      </c>
    </row>
    <row r="214" spans="1:5" s="426" customFormat="1" ht="46.2" customHeight="1" x14ac:dyDescent="0.25">
      <c r="A214" s="189" t="s">
        <v>17</v>
      </c>
      <c r="B214" s="392" t="s">
        <v>283</v>
      </c>
      <c r="C214" s="640">
        <v>1696192410</v>
      </c>
      <c r="D214" s="392" t="s">
        <v>18</v>
      </c>
      <c r="E214" s="424">
        <f>'прил 7 '!F200</f>
        <v>3027055.06</v>
      </c>
    </row>
    <row r="215" spans="1:5" s="426" customFormat="1" ht="41.95" customHeight="1" x14ac:dyDescent="0.25">
      <c r="A215" s="235" t="s">
        <v>1123</v>
      </c>
      <c r="B215" s="392" t="s">
        <v>283</v>
      </c>
      <c r="C215" s="422" t="s">
        <v>1124</v>
      </c>
      <c r="D215" s="392" t="s">
        <v>6</v>
      </c>
      <c r="E215" s="424">
        <f>E216</f>
        <v>30576.31</v>
      </c>
    </row>
    <row r="216" spans="1:5" s="426" customFormat="1" ht="25.15" customHeight="1" x14ac:dyDescent="0.25">
      <c r="A216" s="189" t="s">
        <v>15</v>
      </c>
      <c r="B216" s="392" t="s">
        <v>283</v>
      </c>
      <c r="C216" s="422" t="s">
        <v>1124</v>
      </c>
      <c r="D216" s="392" t="s">
        <v>16</v>
      </c>
      <c r="E216" s="424">
        <f>E217</f>
        <v>30576.31</v>
      </c>
    </row>
    <row r="217" spans="1:5" s="426" customFormat="1" ht="41.95" customHeight="1" x14ac:dyDescent="0.25">
      <c r="A217" s="189" t="s">
        <v>17</v>
      </c>
      <c r="B217" s="392" t="s">
        <v>283</v>
      </c>
      <c r="C217" s="422" t="s">
        <v>1124</v>
      </c>
      <c r="D217" s="392" t="s">
        <v>18</v>
      </c>
      <c r="E217" s="424">
        <f>'прил 7 '!F203</f>
        <v>30576.31</v>
      </c>
    </row>
    <row r="218" spans="1:5" s="426" customFormat="1" ht="38.9" customHeight="1" x14ac:dyDescent="0.25">
      <c r="A218" s="423" t="s">
        <v>1085</v>
      </c>
      <c r="B218" s="425" t="s">
        <v>283</v>
      </c>
      <c r="C218" s="425" t="s">
        <v>1086</v>
      </c>
      <c r="D218" s="425" t="s">
        <v>6</v>
      </c>
      <c r="E218" s="424">
        <f>E219</f>
        <v>1400000</v>
      </c>
    </row>
    <row r="219" spans="1:5" s="426" customFormat="1" ht="37.4" customHeight="1" x14ac:dyDescent="0.25">
      <c r="A219" s="423" t="s">
        <v>15</v>
      </c>
      <c r="B219" s="425" t="s">
        <v>283</v>
      </c>
      <c r="C219" s="425" t="s">
        <v>1086</v>
      </c>
      <c r="D219" s="425" t="s">
        <v>16</v>
      </c>
      <c r="E219" s="424">
        <f>E220</f>
        <v>1400000</v>
      </c>
    </row>
    <row r="220" spans="1:5" s="426" customFormat="1" ht="32.6" customHeight="1" x14ac:dyDescent="0.25">
      <c r="A220" s="423" t="s">
        <v>17</v>
      </c>
      <c r="B220" s="425" t="s">
        <v>283</v>
      </c>
      <c r="C220" s="425" t="s">
        <v>1086</v>
      </c>
      <c r="D220" s="425" t="s">
        <v>18</v>
      </c>
      <c r="E220" s="424">
        <f>'прил 7 '!F206</f>
        <v>1400000</v>
      </c>
    </row>
    <row r="221" spans="1:5" outlineLevel="6" x14ac:dyDescent="0.25">
      <c r="A221" s="24" t="s">
        <v>49</v>
      </c>
      <c r="B221" s="23" t="s">
        <v>50</v>
      </c>
      <c r="C221" s="23" t="s">
        <v>126</v>
      </c>
      <c r="D221" s="23" t="s">
        <v>6</v>
      </c>
      <c r="E221" s="424">
        <f>E222</f>
        <v>15908000</v>
      </c>
    </row>
    <row r="222" spans="1:5" ht="59.95" customHeight="1" outlineLevel="6" x14ac:dyDescent="0.25">
      <c r="A222" s="37" t="s">
        <v>1155</v>
      </c>
      <c r="B222" s="38" t="s">
        <v>50</v>
      </c>
      <c r="C222" s="38" t="s">
        <v>322</v>
      </c>
      <c r="D222" s="38" t="s">
        <v>6</v>
      </c>
      <c r="E222" s="424">
        <f>E223</f>
        <v>15908000</v>
      </c>
    </row>
    <row r="223" spans="1:5" ht="41.95" customHeight="1" outlineLevel="6" x14ac:dyDescent="0.25">
      <c r="A223" s="24" t="s">
        <v>323</v>
      </c>
      <c r="B223" s="23" t="s">
        <v>50</v>
      </c>
      <c r="C223" s="23" t="s">
        <v>324</v>
      </c>
      <c r="D223" s="23" t="s">
        <v>6</v>
      </c>
      <c r="E223" s="424">
        <f>E224+E227+E230</f>
        <v>15908000</v>
      </c>
    </row>
    <row r="224" spans="1:5" ht="39.75" customHeight="1" outlineLevel="6" x14ac:dyDescent="0.25">
      <c r="A224" s="44" t="s">
        <v>660</v>
      </c>
      <c r="B224" s="23" t="s">
        <v>50</v>
      </c>
      <c r="C224" s="23" t="s">
        <v>326</v>
      </c>
      <c r="D224" s="23" t="s">
        <v>6</v>
      </c>
      <c r="E224" s="424">
        <f>E225</f>
        <v>15908000</v>
      </c>
    </row>
    <row r="225" spans="1:5" ht="18" customHeight="1" outlineLevel="6" x14ac:dyDescent="0.25">
      <c r="A225" s="24" t="s">
        <v>15</v>
      </c>
      <c r="B225" s="23" t="s">
        <v>50</v>
      </c>
      <c r="C225" s="23" t="s">
        <v>326</v>
      </c>
      <c r="D225" s="23" t="s">
        <v>16</v>
      </c>
      <c r="E225" s="424">
        <f>E226</f>
        <v>15908000</v>
      </c>
    </row>
    <row r="226" spans="1:5" ht="17.5" customHeight="1" outlineLevel="6" x14ac:dyDescent="0.25">
      <c r="A226" s="24" t="s">
        <v>17</v>
      </c>
      <c r="B226" s="23" t="s">
        <v>50</v>
      </c>
      <c r="C226" s="23" t="s">
        <v>326</v>
      </c>
      <c r="D226" s="23" t="s">
        <v>18</v>
      </c>
      <c r="E226" s="424">
        <f>'прил 7 '!F212</f>
        <v>15908000</v>
      </c>
    </row>
    <row r="227" spans="1:5" ht="52.3" hidden="1" customHeight="1" outlineLevel="6" x14ac:dyDescent="0.25">
      <c r="A227" s="366" t="s">
        <v>954</v>
      </c>
      <c r="B227" s="23" t="s">
        <v>50</v>
      </c>
      <c r="C227" s="23" t="s">
        <v>530</v>
      </c>
      <c r="D227" s="23" t="s">
        <v>6</v>
      </c>
      <c r="E227" s="424">
        <f>E228</f>
        <v>0</v>
      </c>
    </row>
    <row r="228" spans="1:5" ht="33.450000000000003" hidden="1" customHeight="1" outlineLevel="6" x14ac:dyDescent="0.25">
      <c r="A228" s="24" t="s">
        <v>15</v>
      </c>
      <c r="B228" s="23" t="s">
        <v>50</v>
      </c>
      <c r="C228" s="23" t="s">
        <v>530</v>
      </c>
      <c r="D228" s="23" t="s">
        <v>16</v>
      </c>
      <c r="E228" s="424">
        <f>E229</f>
        <v>0</v>
      </c>
    </row>
    <row r="229" spans="1:5" ht="34.65" hidden="1" customHeight="1" outlineLevel="6" x14ac:dyDescent="0.25">
      <c r="A229" s="24" t="s">
        <v>17</v>
      </c>
      <c r="B229" s="23" t="s">
        <v>50</v>
      </c>
      <c r="C229" s="23" t="s">
        <v>530</v>
      </c>
      <c r="D229" s="23" t="s">
        <v>18</v>
      </c>
      <c r="E229" s="424">
        <f>'прил 7 '!F215</f>
        <v>0</v>
      </c>
    </row>
    <row r="230" spans="1:5" ht="44.15" hidden="1" customHeight="1" outlineLevel="6" x14ac:dyDescent="0.25">
      <c r="A230" s="24" t="s">
        <v>272</v>
      </c>
      <c r="B230" s="23" t="s">
        <v>50</v>
      </c>
      <c r="C230" s="23" t="s">
        <v>383</v>
      </c>
      <c r="D230" s="23" t="s">
        <v>6</v>
      </c>
      <c r="E230" s="424">
        <f>E231</f>
        <v>0</v>
      </c>
    </row>
    <row r="231" spans="1:5" ht="31.6" hidden="1" customHeight="1" outlineLevel="6" x14ac:dyDescent="0.25">
      <c r="A231" s="24" t="s">
        <v>15</v>
      </c>
      <c r="B231" s="23" t="s">
        <v>50</v>
      </c>
      <c r="C231" s="23" t="s">
        <v>383</v>
      </c>
      <c r="D231" s="23" t="s">
        <v>16</v>
      </c>
      <c r="E231" s="424">
        <f>E232</f>
        <v>0</v>
      </c>
    </row>
    <row r="232" spans="1:5" ht="35.5" hidden="1" customHeight="1" outlineLevel="6" x14ac:dyDescent="0.25">
      <c r="A232" s="24" t="s">
        <v>17</v>
      </c>
      <c r="B232" s="23" t="s">
        <v>50</v>
      </c>
      <c r="C232" s="23" t="s">
        <v>383</v>
      </c>
      <c r="D232" s="23" t="s">
        <v>18</v>
      </c>
      <c r="E232" s="424">
        <f>'прил 7 '!F218</f>
        <v>0</v>
      </c>
    </row>
    <row r="233" spans="1:5" outlineLevel="1" collapsed="1" x14ac:dyDescent="0.25">
      <c r="A233" s="24" t="s">
        <v>52</v>
      </c>
      <c r="B233" s="23" t="s">
        <v>53</v>
      </c>
      <c r="C233" s="23" t="s">
        <v>126</v>
      </c>
      <c r="D233" s="23" t="s">
        <v>6</v>
      </c>
      <c r="E233" s="424">
        <f>E239+E234</f>
        <v>1225000</v>
      </c>
    </row>
    <row r="234" spans="1:5" ht="55.05" outlineLevel="1" x14ac:dyDescent="0.25">
      <c r="A234" s="37" t="s">
        <v>1175</v>
      </c>
      <c r="B234" s="23" t="s">
        <v>53</v>
      </c>
      <c r="C234" s="38" t="s">
        <v>385</v>
      </c>
      <c r="D234" s="38" t="s">
        <v>6</v>
      </c>
      <c r="E234" s="424">
        <f>E235</f>
        <v>100000</v>
      </c>
    </row>
    <row r="235" spans="1:5" ht="36.700000000000003" outlineLevel="1" x14ac:dyDescent="0.25">
      <c r="A235" s="24" t="s">
        <v>696</v>
      </c>
      <c r="B235" s="23" t="s">
        <v>53</v>
      </c>
      <c r="C235" s="23" t="s">
        <v>387</v>
      </c>
      <c r="D235" s="23" t="s">
        <v>6</v>
      </c>
      <c r="E235" s="424">
        <f>E236</f>
        <v>100000</v>
      </c>
    </row>
    <row r="236" spans="1:5" ht="84.25" customHeight="1" outlineLevel="1" x14ac:dyDescent="0.25">
      <c r="A236" s="24" t="s">
        <v>693</v>
      </c>
      <c r="B236" s="23" t="s">
        <v>53</v>
      </c>
      <c r="C236" s="23" t="s">
        <v>694</v>
      </c>
      <c r="D236" s="23" t="s">
        <v>6</v>
      </c>
      <c r="E236" s="424">
        <f>E237</f>
        <v>100000</v>
      </c>
    </row>
    <row r="237" spans="1:5" outlineLevel="1" x14ac:dyDescent="0.25">
      <c r="A237" s="24" t="s">
        <v>19</v>
      </c>
      <c r="B237" s="23" t="s">
        <v>53</v>
      </c>
      <c r="C237" s="23" t="s">
        <v>694</v>
      </c>
      <c r="D237" s="23" t="s">
        <v>20</v>
      </c>
      <c r="E237" s="424">
        <f>'прил 7 '!F224</f>
        <v>100000</v>
      </c>
    </row>
    <row r="238" spans="1:5" ht="55.05" outlineLevel="1" x14ac:dyDescent="0.25">
      <c r="A238" s="24" t="s">
        <v>963</v>
      </c>
      <c r="B238" s="23" t="s">
        <v>53</v>
      </c>
      <c r="C238" s="23" t="s">
        <v>694</v>
      </c>
      <c r="D238" s="23" t="s">
        <v>48</v>
      </c>
      <c r="E238" s="424">
        <f>'прил 7 '!F224</f>
        <v>100000</v>
      </c>
    </row>
    <row r="239" spans="1:5" ht="56.25" customHeight="1" outlineLevel="1" x14ac:dyDescent="0.25">
      <c r="A239" s="37" t="s">
        <v>1157</v>
      </c>
      <c r="B239" s="38" t="s">
        <v>53</v>
      </c>
      <c r="C239" s="23" t="s">
        <v>327</v>
      </c>
      <c r="D239" s="23" t="s">
        <v>6</v>
      </c>
      <c r="E239" s="424">
        <f>E240+E244</f>
        <v>1125000</v>
      </c>
    </row>
    <row r="240" spans="1:5" ht="43.5" customHeight="1" outlineLevel="1" x14ac:dyDescent="0.25">
      <c r="A240" s="24" t="s">
        <v>366</v>
      </c>
      <c r="B240" s="23" t="s">
        <v>53</v>
      </c>
      <c r="C240" s="23" t="s">
        <v>328</v>
      </c>
      <c r="D240" s="23" t="s">
        <v>6</v>
      </c>
      <c r="E240" s="424">
        <f>E241</f>
        <v>270000</v>
      </c>
    </row>
    <row r="241" spans="1:7" ht="24.8" customHeight="1" outlineLevel="1" x14ac:dyDescent="0.25">
      <c r="A241" s="24" t="s">
        <v>329</v>
      </c>
      <c r="B241" s="23" t="s">
        <v>53</v>
      </c>
      <c r="C241" s="23" t="s">
        <v>330</v>
      </c>
      <c r="D241" s="23" t="s">
        <v>6</v>
      </c>
      <c r="E241" s="424">
        <f>E242</f>
        <v>270000</v>
      </c>
    </row>
    <row r="242" spans="1:7" ht="16.5" customHeight="1" outlineLevel="1" x14ac:dyDescent="0.25">
      <c r="A242" s="24" t="s">
        <v>15</v>
      </c>
      <c r="B242" s="23" t="s">
        <v>53</v>
      </c>
      <c r="C242" s="23" t="s">
        <v>330</v>
      </c>
      <c r="D242" s="23" t="s">
        <v>16</v>
      </c>
      <c r="E242" s="424">
        <f>E243</f>
        <v>270000</v>
      </c>
    </row>
    <row r="243" spans="1:7" ht="19.55" customHeight="1" outlineLevel="1" x14ac:dyDescent="0.25">
      <c r="A243" s="24" t="s">
        <v>17</v>
      </c>
      <c r="B243" s="23" t="s">
        <v>53</v>
      </c>
      <c r="C243" s="23" t="s">
        <v>330</v>
      </c>
      <c r="D243" s="23" t="s">
        <v>18</v>
      </c>
      <c r="E243" s="424">
        <f>'прил 7 '!F229</f>
        <v>270000</v>
      </c>
    </row>
    <row r="244" spans="1:7" ht="37.549999999999997" customHeight="1" outlineLevel="4" x14ac:dyDescent="0.25">
      <c r="A244" s="40" t="s">
        <v>368</v>
      </c>
      <c r="B244" s="23" t="s">
        <v>53</v>
      </c>
      <c r="C244" s="23" t="s">
        <v>367</v>
      </c>
      <c r="D244" s="23" t="s">
        <v>6</v>
      </c>
      <c r="E244" s="424">
        <f>E245</f>
        <v>855000</v>
      </c>
    </row>
    <row r="245" spans="1:7" ht="26.5" customHeight="1" outlineLevel="5" x14ac:dyDescent="0.25">
      <c r="A245" s="24" t="s">
        <v>331</v>
      </c>
      <c r="B245" s="23" t="s">
        <v>53</v>
      </c>
      <c r="C245" s="23" t="s">
        <v>389</v>
      </c>
      <c r="D245" s="23" t="s">
        <v>6</v>
      </c>
      <c r="E245" s="424">
        <f>E246</f>
        <v>855000</v>
      </c>
    </row>
    <row r="246" spans="1:7" ht="18" customHeight="1" outlineLevel="6" x14ac:dyDescent="0.25">
      <c r="A246" s="24" t="s">
        <v>15</v>
      </c>
      <c r="B246" s="23" t="s">
        <v>53</v>
      </c>
      <c r="C246" s="23" t="s">
        <v>389</v>
      </c>
      <c r="D246" s="23" t="s">
        <v>16</v>
      </c>
      <c r="E246" s="424">
        <f>E247</f>
        <v>855000</v>
      </c>
    </row>
    <row r="247" spans="1:7" ht="21.25" customHeight="1" outlineLevel="6" x14ac:dyDescent="0.25">
      <c r="A247" s="24" t="s">
        <v>17</v>
      </c>
      <c r="B247" s="23" t="s">
        <v>53</v>
      </c>
      <c r="C247" s="23" t="s">
        <v>389</v>
      </c>
      <c r="D247" s="23" t="s">
        <v>18</v>
      </c>
      <c r="E247" s="424">
        <f>'прил 7 '!F233</f>
        <v>855000</v>
      </c>
    </row>
    <row r="248" spans="1:7" s="426" customFormat="1" x14ac:dyDescent="0.25">
      <c r="A248" s="24" t="s">
        <v>54</v>
      </c>
      <c r="B248" s="35" t="s">
        <v>55</v>
      </c>
      <c r="C248" s="35" t="s">
        <v>126</v>
      </c>
      <c r="D248" s="35" t="s">
        <v>6</v>
      </c>
      <c r="E248" s="50">
        <f>E249+E255+E277+E332</f>
        <v>52055680.980000004</v>
      </c>
      <c r="G248" s="73">
        <f>E248/'прил 7 '!F693*100</f>
        <v>4.513102361678758</v>
      </c>
    </row>
    <row r="249" spans="1:7" s="426" customFormat="1" x14ac:dyDescent="0.25">
      <c r="A249" s="24" t="s">
        <v>56</v>
      </c>
      <c r="B249" s="23" t="s">
        <v>57</v>
      </c>
      <c r="C249" s="23" t="s">
        <v>126</v>
      </c>
      <c r="D249" s="23" t="s">
        <v>6</v>
      </c>
      <c r="E249" s="424">
        <f>E250</f>
        <v>3037550</v>
      </c>
    </row>
    <row r="250" spans="1:7" s="426" customFormat="1" ht="36.700000000000003" customHeight="1" x14ac:dyDescent="0.25">
      <c r="A250" s="37" t="s">
        <v>1158</v>
      </c>
      <c r="B250" s="38" t="s">
        <v>57</v>
      </c>
      <c r="C250" s="38" t="s">
        <v>319</v>
      </c>
      <c r="D250" s="38" t="s">
        <v>6</v>
      </c>
      <c r="E250" s="424">
        <f>E251</f>
        <v>3037550</v>
      </c>
    </row>
    <row r="251" spans="1:7" s="426" customFormat="1" ht="36.700000000000003" x14ac:dyDescent="0.25">
      <c r="A251" s="24" t="s">
        <v>332</v>
      </c>
      <c r="B251" s="23" t="s">
        <v>57</v>
      </c>
      <c r="C251" s="23" t="s">
        <v>320</v>
      </c>
      <c r="D251" s="23" t="s">
        <v>6</v>
      </c>
      <c r="E251" s="424">
        <f>E252</f>
        <v>3037550</v>
      </c>
    </row>
    <row r="252" spans="1:7" s="426" customFormat="1" x14ac:dyDescent="0.25">
      <c r="A252" s="24" t="s">
        <v>333</v>
      </c>
      <c r="B252" s="23" t="s">
        <v>57</v>
      </c>
      <c r="C252" s="23" t="s">
        <v>334</v>
      </c>
      <c r="D252" s="23" t="s">
        <v>6</v>
      </c>
      <c r="E252" s="424">
        <f>E253</f>
        <v>3037550</v>
      </c>
    </row>
    <row r="253" spans="1:7" s="426" customFormat="1" ht="17.5" customHeight="1" x14ac:dyDescent="0.25">
      <c r="A253" s="24" t="s">
        <v>15</v>
      </c>
      <c r="B253" s="23" t="s">
        <v>57</v>
      </c>
      <c r="C253" s="23" t="s">
        <v>334</v>
      </c>
      <c r="D253" s="23" t="s">
        <v>16</v>
      </c>
      <c r="E253" s="424">
        <f>E254</f>
        <v>3037550</v>
      </c>
    </row>
    <row r="254" spans="1:7" s="426" customFormat="1" ht="16.5" customHeight="1" x14ac:dyDescent="0.25">
      <c r="A254" s="24" t="s">
        <v>17</v>
      </c>
      <c r="B254" s="23" t="s">
        <v>57</v>
      </c>
      <c r="C254" s="23" t="s">
        <v>334</v>
      </c>
      <c r="D254" s="23" t="s">
        <v>18</v>
      </c>
      <c r="E254" s="424">
        <f>'прил 7 '!F240</f>
        <v>3037550</v>
      </c>
    </row>
    <row r="255" spans="1:7" s="426" customFormat="1" x14ac:dyDescent="0.25">
      <c r="A255" s="24" t="s">
        <v>58</v>
      </c>
      <c r="B255" s="23" t="s">
        <v>59</v>
      </c>
      <c r="C255" s="23" t="s">
        <v>126</v>
      </c>
      <c r="D255" s="23" t="s">
        <v>6</v>
      </c>
      <c r="E255" s="424">
        <f>E256</f>
        <v>3326016.67</v>
      </c>
    </row>
    <row r="256" spans="1:7" s="426" customFormat="1" ht="60.45" customHeight="1" x14ac:dyDescent="0.25">
      <c r="A256" s="37" t="s">
        <v>1159</v>
      </c>
      <c r="B256" s="38" t="s">
        <v>59</v>
      </c>
      <c r="C256" s="38" t="s">
        <v>134</v>
      </c>
      <c r="D256" s="38" t="s">
        <v>6</v>
      </c>
      <c r="E256" s="424">
        <f>E257</f>
        <v>3326016.67</v>
      </c>
    </row>
    <row r="257" spans="1:5" s="426" customFormat="1" ht="55.05" x14ac:dyDescent="0.25">
      <c r="A257" s="24" t="s">
        <v>1033</v>
      </c>
      <c r="B257" s="23" t="s">
        <v>59</v>
      </c>
      <c r="C257" s="23" t="s">
        <v>335</v>
      </c>
      <c r="D257" s="23" t="s">
        <v>6</v>
      </c>
      <c r="E257" s="424">
        <f>E258+E265+E268+E274+E271</f>
        <v>3326016.67</v>
      </c>
    </row>
    <row r="258" spans="1:5" s="426" customFormat="1" ht="54.7" customHeight="1" x14ac:dyDescent="0.25">
      <c r="A258" s="24" t="s">
        <v>60</v>
      </c>
      <c r="B258" s="23" t="s">
        <v>59</v>
      </c>
      <c r="C258" s="23" t="s">
        <v>336</v>
      </c>
      <c r="D258" s="23" t="s">
        <v>6</v>
      </c>
      <c r="E258" s="424">
        <f>E259+E263+E261</f>
        <v>1000000</v>
      </c>
    </row>
    <row r="259" spans="1:5" s="426" customFormat="1" ht="21.75" customHeight="1" x14ac:dyDescent="0.25">
      <c r="A259" s="24" t="s">
        <v>15</v>
      </c>
      <c r="B259" s="23" t="s">
        <v>59</v>
      </c>
      <c r="C259" s="23" t="s">
        <v>336</v>
      </c>
      <c r="D259" s="23" t="s">
        <v>16</v>
      </c>
      <c r="E259" s="424">
        <f>E260</f>
        <v>1000000</v>
      </c>
    </row>
    <row r="260" spans="1:5" s="426" customFormat="1" ht="21.75" customHeight="1" x14ac:dyDescent="0.25">
      <c r="A260" s="24" t="s">
        <v>17</v>
      </c>
      <c r="B260" s="23" t="s">
        <v>59</v>
      </c>
      <c r="C260" s="23" t="s">
        <v>336</v>
      </c>
      <c r="D260" s="23" t="s">
        <v>18</v>
      </c>
      <c r="E260" s="424">
        <f>'прил 7 '!F246</f>
        <v>1000000</v>
      </c>
    </row>
    <row r="261" spans="1:5" s="426" customFormat="1" ht="21.75" hidden="1" customHeight="1" x14ac:dyDescent="0.25">
      <c r="A261" s="24" t="s">
        <v>258</v>
      </c>
      <c r="B261" s="23" t="s">
        <v>59</v>
      </c>
      <c r="C261" s="23" t="s">
        <v>336</v>
      </c>
      <c r="D261" s="23" t="s">
        <v>259</v>
      </c>
      <c r="E261" s="424">
        <f>E262</f>
        <v>0</v>
      </c>
    </row>
    <row r="262" spans="1:5" s="426" customFormat="1" ht="21.75" hidden="1" customHeight="1" x14ac:dyDescent="0.25">
      <c r="A262" s="24" t="s">
        <v>260</v>
      </c>
      <c r="B262" s="23" t="s">
        <v>59</v>
      </c>
      <c r="C262" s="23" t="s">
        <v>336</v>
      </c>
      <c r="D262" s="23" t="s">
        <v>261</v>
      </c>
      <c r="E262" s="424">
        <f>'прил 7 '!F248</f>
        <v>0</v>
      </c>
    </row>
    <row r="263" spans="1:5" s="426" customFormat="1" ht="21.75" hidden="1" customHeight="1" x14ac:dyDescent="0.25">
      <c r="A263" s="24" t="s">
        <v>19</v>
      </c>
      <c r="B263" s="23" t="s">
        <v>59</v>
      </c>
      <c r="C263" s="23" t="s">
        <v>336</v>
      </c>
      <c r="D263" s="23" t="s">
        <v>20</v>
      </c>
      <c r="E263" s="424">
        <f>E264</f>
        <v>0</v>
      </c>
    </row>
    <row r="264" spans="1:5" s="426" customFormat="1" ht="59.95" hidden="1" customHeight="1" x14ac:dyDescent="0.25">
      <c r="A264" s="24" t="s">
        <v>963</v>
      </c>
      <c r="B264" s="23" t="s">
        <v>59</v>
      </c>
      <c r="C264" s="23" t="s">
        <v>336</v>
      </c>
      <c r="D264" s="23" t="s">
        <v>48</v>
      </c>
      <c r="E264" s="424">
        <f>'прил 7 '!F250</f>
        <v>0</v>
      </c>
    </row>
    <row r="265" spans="1:5" s="426" customFormat="1" ht="36.700000000000003" customHeight="1" x14ac:dyDescent="0.25">
      <c r="A265" s="24" t="s">
        <v>246</v>
      </c>
      <c r="B265" s="23" t="s">
        <v>59</v>
      </c>
      <c r="C265" s="23" t="s">
        <v>337</v>
      </c>
      <c r="D265" s="23" t="s">
        <v>6</v>
      </c>
      <c r="E265" s="424">
        <f>E266</f>
        <v>2265410.61</v>
      </c>
    </row>
    <row r="266" spans="1:5" s="426" customFormat="1" x14ac:dyDescent="0.25">
      <c r="A266" s="24" t="s">
        <v>19</v>
      </c>
      <c r="B266" s="23" t="s">
        <v>59</v>
      </c>
      <c r="C266" s="23" t="s">
        <v>337</v>
      </c>
      <c r="D266" s="23" t="s">
        <v>20</v>
      </c>
      <c r="E266" s="424">
        <f>E267</f>
        <v>2265410.61</v>
      </c>
    </row>
    <row r="267" spans="1:5" s="426" customFormat="1" ht="38.25" customHeight="1" x14ac:dyDescent="0.25">
      <c r="A267" s="24" t="s">
        <v>963</v>
      </c>
      <c r="B267" s="23" t="s">
        <v>59</v>
      </c>
      <c r="C267" s="23" t="s">
        <v>337</v>
      </c>
      <c r="D267" s="23" t="s">
        <v>48</v>
      </c>
      <c r="E267" s="424">
        <f>'прил 7 '!F253</f>
        <v>2265410.61</v>
      </c>
    </row>
    <row r="268" spans="1:5" s="426" customFormat="1" ht="36.700000000000003" hidden="1" x14ac:dyDescent="0.25">
      <c r="A268" s="24" t="s">
        <v>256</v>
      </c>
      <c r="B268" s="23" t="s">
        <v>59</v>
      </c>
      <c r="C268" s="23" t="s">
        <v>338</v>
      </c>
      <c r="D268" s="23" t="s">
        <v>6</v>
      </c>
      <c r="E268" s="424">
        <f>E269</f>
        <v>0</v>
      </c>
    </row>
    <row r="269" spans="1:5" s="426" customFormat="1" hidden="1" x14ac:dyDescent="0.25">
      <c r="A269" s="24" t="s">
        <v>19</v>
      </c>
      <c r="B269" s="23" t="s">
        <v>59</v>
      </c>
      <c r="C269" s="23" t="s">
        <v>338</v>
      </c>
      <c r="D269" s="23" t="s">
        <v>20</v>
      </c>
      <c r="E269" s="424">
        <f>E270</f>
        <v>0</v>
      </c>
    </row>
    <row r="270" spans="1:5" s="426" customFormat="1" ht="57.25" hidden="1" customHeight="1" x14ac:dyDescent="0.25">
      <c r="A270" s="24" t="s">
        <v>963</v>
      </c>
      <c r="B270" s="23" t="s">
        <v>59</v>
      </c>
      <c r="C270" s="23" t="s">
        <v>338</v>
      </c>
      <c r="D270" s="23" t="s">
        <v>48</v>
      </c>
      <c r="E270" s="424">
        <f>'прил 7 '!F256</f>
        <v>0</v>
      </c>
    </row>
    <row r="271" spans="1:5" s="426" customFormat="1" ht="64.55" hidden="1" customHeight="1" x14ac:dyDescent="0.25">
      <c r="A271" s="423" t="s">
        <v>956</v>
      </c>
      <c r="B271" s="425" t="s">
        <v>59</v>
      </c>
      <c r="C271" s="425" t="s">
        <v>639</v>
      </c>
      <c r="D271" s="425" t="s">
        <v>6</v>
      </c>
      <c r="E271" s="424">
        <f>E272</f>
        <v>0</v>
      </c>
    </row>
    <row r="272" spans="1:5" s="426" customFormat="1" ht="26.5" hidden="1" customHeight="1" x14ac:dyDescent="0.25">
      <c r="A272" s="423" t="s">
        <v>15</v>
      </c>
      <c r="B272" s="425" t="s">
        <v>59</v>
      </c>
      <c r="C272" s="425" t="s">
        <v>639</v>
      </c>
      <c r="D272" s="425" t="s">
        <v>16</v>
      </c>
      <c r="E272" s="424">
        <f>E273</f>
        <v>0</v>
      </c>
    </row>
    <row r="273" spans="1:5" s="426" customFormat="1" ht="38.25" hidden="1" customHeight="1" x14ac:dyDescent="0.25">
      <c r="A273" s="423" t="s">
        <v>17</v>
      </c>
      <c r="B273" s="425" t="s">
        <v>59</v>
      </c>
      <c r="C273" s="425" t="s">
        <v>639</v>
      </c>
      <c r="D273" s="425" t="s">
        <v>18</v>
      </c>
      <c r="E273" s="424">
        <f>'прил 7 '!F259</f>
        <v>0</v>
      </c>
    </row>
    <row r="274" spans="1:5" s="426" customFormat="1" ht="39.4" customHeight="1" x14ac:dyDescent="0.25">
      <c r="A274" s="423" t="s">
        <v>616</v>
      </c>
      <c r="B274" s="425" t="s">
        <v>59</v>
      </c>
      <c r="C274" s="425" t="s">
        <v>615</v>
      </c>
      <c r="D274" s="425" t="s">
        <v>6</v>
      </c>
      <c r="E274" s="424">
        <f>E275</f>
        <v>60606.06</v>
      </c>
    </row>
    <row r="275" spans="1:5" s="426" customFormat="1" ht="35.5" customHeight="1" x14ac:dyDescent="0.25">
      <c r="A275" s="423" t="s">
        <v>15</v>
      </c>
      <c r="B275" s="425" t="s">
        <v>59</v>
      </c>
      <c r="C275" s="425" t="s">
        <v>615</v>
      </c>
      <c r="D275" s="425" t="s">
        <v>16</v>
      </c>
      <c r="E275" s="424">
        <f>E276</f>
        <v>60606.06</v>
      </c>
    </row>
    <row r="276" spans="1:5" s="426" customFormat="1" ht="27.7" customHeight="1" x14ac:dyDescent="0.25">
      <c r="A276" s="423" t="s">
        <v>17</v>
      </c>
      <c r="B276" s="425" t="s">
        <v>59</v>
      </c>
      <c r="C276" s="425" t="s">
        <v>615</v>
      </c>
      <c r="D276" s="425" t="s">
        <v>18</v>
      </c>
      <c r="E276" s="424">
        <f>'прил 7 '!F262</f>
        <v>60606.06</v>
      </c>
    </row>
    <row r="277" spans="1:5" s="426" customFormat="1" ht="24.8" customHeight="1" x14ac:dyDescent="0.25">
      <c r="A277" s="24" t="s">
        <v>61</v>
      </c>
      <c r="B277" s="23" t="s">
        <v>62</v>
      </c>
      <c r="C277" s="23" t="s">
        <v>126</v>
      </c>
      <c r="D277" s="23" t="s">
        <v>6</v>
      </c>
      <c r="E277" s="424">
        <f>E278+E292+E312</f>
        <v>38233193.160000004</v>
      </c>
    </row>
    <row r="278" spans="1:5" s="426" customFormat="1" ht="58.75" customHeight="1" x14ac:dyDescent="0.25">
      <c r="A278" s="37" t="s">
        <v>1159</v>
      </c>
      <c r="B278" s="38" t="s">
        <v>62</v>
      </c>
      <c r="C278" s="38" t="s">
        <v>134</v>
      </c>
      <c r="D278" s="38" t="s">
        <v>6</v>
      </c>
      <c r="E278" s="424">
        <f>E279</f>
        <v>1409168.98</v>
      </c>
    </row>
    <row r="279" spans="1:5" s="426" customFormat="1" x14ac:dyDescent="0.25">
      <c r="A279" s="24" t="s">
        <v>339</v>
      </c>
      <c r="B279" s="23" t="s">
        <v>62</v>
      </c>
      <c r="C279" s="23" t="s">
        <v>229</v>
      </c>
      <c r="D279" s="23" t="s">
        <v>6</v>
      </c>
      <c r="E279" s="424">
        <f>E280+E283+E286+E289</f>
        <v>1409168.98</v>
      </c>
    </row>
    <row r="280" spans="1:5" s="426" customFormat="1" ht="26" hidden="1" customHeight="1" x14ac:dyDescent="0.25">
      <c r="A280" s="24" t="s">
        <v>343</v>
      </c>
      <c r="B280" s="23" t="s">
        <v>62</v>
      </c>
      <c r="C280" s="23" t="s">
        <v>418</v>
      </c>
      <c r="D280" s="23" t="s">
        <v>6</v>
      </c>
      <c r="E280" s="424">
        <f>E281</f>
        <v>0</v>
      </c>
    </row>
    <row r="281" spans="1:5" s="426" customFormat="1" ht="16.5" hidden="1" customHeight="1" x14ac:dyDescent="0.25">
      <c r="A281" s="423" t="s">
        <v>15</v>
      </c>
      <c r="B281" s="23" t="s">
        <v>62</v>
      </c>
      <c r="C281" s="23" t="s">
        <v>418</v>
      </c>
      <c r="D281" s="23" t="s">
        <v>16</v>
      </c>
      <c r="E281" s="424">
        <f>E282</f>
        <v>0</v>
      </c>
    </row>
    <row r="282" spans="1:5" s="426" customFormat="1" ht="20.25" hidden="1" customHeight="1" x14ac:dyDescent="0.25">
      <c r="A282" s="423" t="s">
        <v>17</v>
      </c>
      <c r="B282" s="23" t="s">
        <v>62</v>
      </c>
      <c r="C282" s="23" t="s">
        <v>418</v>
      </c>
      <c r="D282" s="23" t="s">
        <v>18</v>
      </c>
      <c r="E282" s="424">
        <f>'прил 7 '!F268</f>
        <v>0</v>
      </c>
    </row>
    <row r="283" spans="1:5" s="426" customFormat="1" ht="36.700000000000003" x14ac:dyDescent="0.25">
      <c r="A283" s="24" t="s">
        <v>63</v>
      </c>
      <c r="B283" s="23" t="s">
        <v>62</v>
      </c>
      <c r="C283" s="23" t="s">
        <v>340</v>
      </c>
      <c r="D283" s="23" t="s">
        <v>6</v>
      </c>
      <c r="E283" s="424">
        <f>E284</f>
        <v>500000</v>
      </c>
    </row>
    <row r="284" spans="1:5" s="426" customFormat="1" ht="16.5" customHeight="1" x14ac:dyDescent="0.25">
      <c r="A284" s="24" t="s">
        <v>15</v>
      </c>
      <c r="B284" s="23" t="s">
        <v>62</v>
      </c>
      <c r="C284" s="23" t="s">
        <v>340</v>
      </c>
      <c r="D284" s="23" t="s">
        <v>16</v>
      </c>
      <c r="E284" s="424">
        <f>E285</f>
        <v>500000</v>
      </c>
    </row>
    <row r="285" spans="1:5" s="426" customFormat="1" ht="21.75" customHeight="1" x14ac:dyDescent="0.25">
      <c r="A285" s="24" t="s">
        <v>17</v>
      </c>
      <c r="B285" s="23" t="s">
        <v>62</v>
      </c>
      <c r="C285" s="23" t="s">
        <v>340</v>
      </c>
      <c r="D285" s="23" t="s">
        <v>18</v>
      </c>
      <c r="E285" s="424">
        <f>'прил 7 '!F271</f>
        <v>500000</v>
      </c>
    </row>
    <row r="286" spans="1:5" s="426" customFormat="1" ht="51.65" customHeight="1" x14ac:dyDescent="0.25">
      <c r="A286" s="315" t="s">
        <v>1125</v>
      </c>
      <c r="B286" s="392" t="s">
        <v>62</v>
      </c>
      <c r="C286" s="641" t="s">
        <v>1127</v>
      </c>
      <c r="D286" s="392" t="s">
        <v>6</v>
      </c>
      <c r="E286" s="424">
        <f>E287</f>
        <v>900077.29</v>
      </c>
    </row>
    <row r="287" spans="1:5" s="426" customFormat="1" ht="21.75" customHeight="1" x14ac:dyDescent="0.25">
      <c r="A287" s="189" t="s">
        <v>15</v>
      </c>
      <c r="B287" s="392" t="s">
        <v>62</v>
      </c>
      <c r="C287" s="641" t="s">
        <v>1127</v>
      </c>
      <c r="D287" s="392" t="s">
        <v>16</v>
      </c>
      <c r="E287" s="424">
        <f>E288</f>
        <v>900077.29</v>
      </c>
    </row>
    <row r="288" spans="1:5" s="426" customFormat="1" ht="21.75" customHeight="1" x14ac:dyDescent="0.25">
      <c r="A288" s="189" t="s">
        <v>17</v>
      </c>
      <c r="B288" s="392" t="s">
        <v>62</v>
      </c>
      <c r="C288" s="641" t="s">
        <v>1127</v>
      </c>
      <c r="D288" s="392" t="s">
        <v>18</v>
      </c>
      <c r="E288" s="424">
        <f>'прил 7 '!F274</f>
        <v>900077.29</v>
      </c>
    </row>
    <row r="289" spans="1:9" s="426" customFormat="1" ht="77.45" customHeight="1" x14ac:dyDescent="0.25">
      <c r="A289" s="315" t="s">
        <v>1126</v>
      </c>
      <c r="B289" s="392" t="s">
        <v>62</v>
      </c>
      <c r="C289" s="641" t="s">
        <v>1128</v>
      </c>
      <c r="D289" s="392" t="s">
        <v>6</v>
      </c>
      <c r="E289" s="424">
        <f>E290</f>
        <v>9091.69</v>
      </c>
    </row>
    <row r="290" spans="1:9" s="426" customFormat="1" ht="36.700000000000003" customHeight="1" x14ac:dyDescent="0.25">
      <c r="A290" s="189" t="s">
        <v>15</v>
      </c>
      <c r="B290" s="392" t="s">
        <v>62</v>
      </c>
      <c r="C290" s="641" t="s">
        <v>1128</v>
      </c>
      <c r="D290" s="392" t="s">
        <v>16</v>
      </c>
      <c r="E290" s="424">
        <f>E291</f>
        <v>9091.69</v>
      </c>
    </row>
    <row r="291" spans="1:9" s="426" customFormat="1" ht="21.75" customHeight="1" x14ac:dyDescent="0.25">
      <c r="A291" s="189" t="s">
        <v>17</v>
      </c>
      <c r="B291" s="392" t="s">
        <v>62</v>
      </c>
      <c r="C291" s="641" t="s">
        <v>1128</v>
      </c>
      <c r="D291" s="392" t="s">
        <v>18</v>
      </c>
      <c r="E291" s="424">
        <f>'прил 7 '!F277</f>
        <v>9091.69</v>
      </c>
    </row>
    <row r="292" spans="1:9" s="426" customFormat="1" ht="48.25" customHeight="1" x14ac:dyDescent="0.25">
      <c r="A292" s="37" t="s">
        <v>1160</v>
      </c>
      <c r="B292" s="38" t="s">
        <v>62</v>
      </c>
      <c r="C292" s="38" t="s">
        <v>464</v>
      </c>
      <c r="D292" s="38" t="s">
        <v>6</v>
      </c>
      <c r="E292" s="424">
        <f>E293</f>
        <v>25358307.810000002</v>
      </c>
    </row>
    <row r="293" spans="1:9" s="426" customFormat="1" ht="42.3" customHeight="1" x14ac:dyDescent="0.25">
      <c r="A293" s="24" t="s">
        <v>465</v>
      </c>
      <c r="B293" s="23" t="s">
        <v>62</v>
      </c>
      <c r="C293" s="23" t="s">
        <v>466</v>
      </c>
      <c r="D293" s="23" t="s">
        <v>6</v>
      </c>
      <c r="E293" s="424">
        <f>E294+E297+E300+E309+E303+E306</f>
        <v>25358307.810000002</v>
      </c>
    </row>
    <row r="294" spans="1:9" s="426" customFormat="1" ht="55.2" customHeight="1" x14ac:dyDescent="0.25">
      <c r="A294" s="24" t="s">
        <v>467</v>
      </c>
      <c r="B294" s="23" t="s">
        <v>62</v>
      </c>
      <c r="C294" s="23" t="s">
        <v>468</v>
      </c>
      <c r="D294" s="23" t="s">
        <v>6</v>
      </c>
      <c r="E294" s="424">
        <f>E295</f>
        <v>2320808.31</v>
      </c>
    </row>
    <row r="295" spans="1:9" s="426" customFormat="1" ht="30.6" customHeight="1" x14ac:dyDescent="0.25">
      <c r="A295" s="24" t="s">
        <v>15</v>
      </c>
      <c r="B295" s="23" t="s">
        <v>62</v>
      </c>
      <c r="C295" s="23" t="s">
        <v>468</v>
      </c>
      <c r="D295" s="23" t="s">
        <v>16</v>
      </c>
      <c r="E295" s="424">
        <f>E296</f>
        <v>2320808.31</v>
      </c>
    </row>
    <row r="296" spans="1:9" s="426" customFormat="1" ht="38.25" customHeight="1" x14ac:dyDescent="0.25">
      <c r="A296" s="24" t="s">
        <v>17</v>
      </c>
      <c r="B296" s="23" t="s">
        <v>62</v>
      </c>
      <c r="C296" s="23" t="s">
        <v>468</v>
      </c>
      <c r="D296" s="23" t="s">
        <v>18</v>
      </c>
      <c r="E296" s="424">
        <f>'прил 7 '!F282</f>
        <v>2320808.31</v>
      </c>
    </row>
    <row r="297" spans="1:9" s="426" customFormat="1" ht="44.15" customHeight="1" x14ac:dyDescent="0.25">
      <c r="A297" s="24" t="s">
        <v>469</v>
      </c>
      <c r="B297" s="23" t="s">
        <v>62</v>
      </c>
      <c r="C297" s="23" t="s">
        <v>470</v>
      </c>
      <c r="D297" s="23" t="s">
        <v>6</v>
      </c>
      <c r="E297" s="424">
        <f>E298</f>
        <v>8697000</v>
      </c>
    </row>
    <row r="298" spans="1:9" s="426" customFormat="1" ht="27.2" customHeight="1" x14ac:dyDescent="0.25">
      <c r="A298" s="24" t="s">
        <v>15</v>
      </c>
      <c r="B298" s="23" t="s">
        <v>62</v>
      </c>
      <c r="C298" s="23" t="s">
        <v>470</v>
      </c>
      <c r="D298" s="23" t="s">
        <v>16</v>
      </c>
      <c r="E298" s="424">
        <f>E299</f>
        <v>8697000</v>
      </c>
      <c r="H298" s="426" t="s">
        <v>51</v>
      </c>
    </row>
    <row r="299" spans="1:9" s="426" customFormat="1" ht="38.25" customHeight="1" x14ac:dyDescent="0.25">
      <c r="A299" s="24" t="s">
        <v>17</v>
      </c>
      <c r="B299" s="23" t="s">
        <v>62</v>
      </c>
      <c r="C299" s="23" t="s">
        <v>470</v>
      </c>
      <c r="D299" s="23" t="s">
        <v>18</v>
      </c>
      <c r="E299" s="424">
        <f>'прил 7 '!F285</f>
        <v>8697000</v>
      </c>
    </row>
    <row r="300" spans="1:9" s="426" customFormat="1" ht="38.25" customHeight="1" x14ac:dyDescent="0.25">
      <c r="A300" s="24" t="s">
        <v>471</v>
      </c>
      <c r="B300" s="23" t="s">
        <v>62</v>
      </c>
      <c r="C300" s="23" t="s">
        <v>472</v>
      </c>
      <c r="D300" s="23" t="s">
        <v>6</v>
      </c>
      <c r="E300" s="424">
        <f>E301</f>
        <v>3995000</v>
      </c>
    </row>
    <row r="301" spans="1:9" s="426" customFormat="1" ht="38.25" customHeight="1" x14ac:dyDescent="0.25">
      <c r="A301" s="24" t="s">
        <v>15</v>
      </c>
      <c r="B301" s="23" t="s">
        <v>62</v>
      </c>
      <c r="C301" s="23" t="s">
        <v>472</v>
      </c>
      <c r="D301" s="23" t="s">
        <v>16</v>
      </c>
      <c r="E301" s="424">
        <f>E302</f>
        <v>3995000</v>
      </c>
      <c r="I301" s="426" t="s">
        <v>51</v>
      </c>
    </row>
    <row r="302" spans="1:9" s="426" customFormat="1" ht="18.7" customHeight="1" x14ac:dyDescent="0.25">
      <c r="A302" s="24" t="s">
        <v>17</v>
      </c>
      <c r="B302" s="23" t="s">
        <v>62</v>
      </c>
      <c r="C302" s="23" t="s">
        <v>472</v>
      </c>
      <c r="D302" s="23" t="s">
        <v>18</v>
      </c>
      <c r="E302" s="424">
        <f>'прил 7 '!F288</f>
        <v>3995000</v>
      </c>
    </row>
    <row r="303" spans="1:9" s="426" customFormat="1" ht="28.55" customHeight="1" x14ac:dyDescent="0.25">
      <c r="A303" s="315" t="s">
        <v>1118</v>
      </c>
      <c r="B303" s="618" t="s">
        <v>62</v>
      </c>
      <c r="C303" s="639" t="s">
        <v>1147</v>
      </c>
      <c r="D303" s="618" t="s">
        <v>6</v>
      </c>
      <c r="E303" s="424">
        <f>E304</f>
        <v>10293772</v>
      </c>
    </row>
    <row r="304" spans="1:9" s="426" customFormat="1" ht="40.75" customHeight="1" x14ac:dyDescent="0.25">
      <c r="A304" s="189" t="s">
        <v>258</v>
      </c>
      <c r="B304" s="618" t="s">
        <v>62</v>
      </c>
      <c r="C304" s="639" t="s">
        <v>1147</v>
      </c>
      <c r="D304" s="618" t="s">
        <v>259</v>
      </c>
      <c r="E304" s="424">
        <f>E305</f>
        <v>10293772</v>
      </c>
    </row>
    <row r="305" spans="1:5" s="426" customFormat="1" ht="23.1" customHeight="1" x14ac:dyDescent="0.25">
      <c r="A305" s="189" t="s">
        <v>260</v>
      </c>
      <c r="B305" s="618" t="s">
        <v>62</v>
      </c>
      <c r="C305" s="639" t="s">
        <v>1147</v>
      </c>
      <c r="D305" s="618" t="s">
        <v>261</v>
      </c>
      <c r="E305" s="424">
        <f>'прил 7 '!F291</f>
        <v>10293772</v>
      </c>
    </row>
    <row r="306" spans="1:5" s="426" customFormat="1" ht="57.75" customHeight="1" x14ac:dyDescent="0.25">
      <c r="A306" s="235" t="s">
        <v>1121</v>
      </c>
      <c r="B306" s="618" t="s">
        <v>62</v>
      </c>
      <c r="C306" s="638" t="s">
        <v>1148</v>
      </c>
      <c r="D306" s="618" t="s">
        <v>6</v>
      </c>
      <c r="E306" s="424">
        <f>E307</f>
        <v>51727.5</v>
      </c>
    </row>
    <row r="307" spans="1:5" s="426" customFormat="1" ht="40.75" customHeight="1" x14ac:dyDescent="0.25">
      <c r="A307" s="189" t="s">
        <v>258</v>
      </c>
      <c r="B307" s="618" t="s">
        <v>62</v>
      </c>
      <c r="C307" s="638" t="s">
        <v>1148</v>
      </c>
      <c r="D307" s="618" t="s">
        <v>259</v>
      </c>
      <c r="E307" s="424">
        <f>E308</f>
        <v>51727.5</v>
      </c>
    </row>
    <row r="308" spans="1:5" s="426" customFormat="1" ht="18.7" customHeight="1" x14ac:dyDescent="0.25">
      <c r="A308" s="189" t="s">
        <v>260</v>
      </c>
      <c r="B308" s="618" t="s">
        <v>62</v>
      </c>
      <c r="C308" s="638" t="s">
        <v>1148</v>
      </c>
      <c r="D308" s="618" t="s">
        <v>261</v>
      </c>
      <c r="E308" s="424">
        <f>'прил 7 '!F294</f>
        <v>51727.5</v>
      </c>
    </row>
    <row r="309" spans="1:5" s="426" customFormat="1" ht="40.75" hidden="1" customHeight="1" x14ac:dyDescent="0.25">
      <c r="A309" s="427" t="s">
        <v>1082</v>
      </c>
      <c r="B309" s="425" t="s">
        <v>62</v>
      </c>
      <c r="C309" s="422">
        <v>1895894030</v>
      </c>
      <c r="D309" s="425" t="s">
        <v>6</v>
      </c>
      <c r="E309" s="424">
        <f>E310</f>
        <v>0</v>
      </c>
    </row>
    <row r="310" spans="1:5" s="426" customFormat="1" ht="37.549999999999997" hidden="1" customHeight="1" x14ac:dyDescent="0.25">
      <c r="A310" s="423" t="s">
        <v>15</v>
      </c>
      <c r="B310" s="425" t="s">
        <v>62</v>
      </c>
      <c r="C310" s="422">
        <v>1895894030</v>
      </c>
      <c r="D310" s="425" t="s">
        <v>16</v>
      </c>
      <c r="E310" s="424">
        <f>E311</f>
        <v>0</v>
      </c>
    </row>
    <row r="311" spans="1:5" s="426" customFormat="1" ht="40.75" hidden="1" customHeight="1" x14ac:dyDescent="0.25">
      <c r="A311" s="423" t="s">
        <v>17</v>
      </c>
      <c r="B311" s="425" t="s">
        <v>62</v>
      </c>
      <c r="C311" s="422">
        <v>1895894030</v>
      </c>
      <c r="D311" s="425" t="s">
        <v>18</v>
      </c>
      <c r="E311" s="424">
        <f>'прил 7 '!F297</f>
        <v>0</v>
      </c>
    </row>
    <row r="312" spans="1:5" s="426" customFormat="1" ht="57.75" customHeight="1" x14ac:dyDescent="0.25">
      <c r="A312" s="37" t="s">
        <v>473</v>
      </c>
      <c r="B312" s="38" t="s">
        <v>62</v>
      </c>
      <c r="C312" s="38" t="s">
        <v>474</v>
      </c>
      <c r="D312" s="38" t="s">
        <v>6</v>
      </c>
      <c r="E312" s="424">
        <f>E313+E321</f>
        <v>11465716.370000001</v>
      </c>
    </row>
    <row r="313" spans="1:5" s="426" customFormat="1" ht="55.05" hidden="1" x14ac:dyDescent="0.25">
      <c r="A313" s="37" t="s">
        <v>501</v>
      </c>
      <c r="B313" s="38" t="s">
        <v>62</v>
      </c>
      <c r="C313" s="38" t="s">
        <v>502</v>
      </c>
      <c r="D313" s="38" t="s">
        <v>6</v>
      </c>
      <c r="E313" s="424">
        <f>E314</f>
        <v>0</v>
      </c>
    </row>
    <row r="314" spans="1:5" s="426" customFormat="1" ht="23.3" hidden="1" customHeight="1" x14ac:dyDescent="0.25">
      <c r="A314" s="24" t="s">
        <v>931</v>
      </c>
      <c r="B314" s="23" t="s">
        <v>62</v>
      </c>
      <c r="C314" s="23" t="s">
        <v>503</v>
      </c>
      <c r="D314" s="23" t="s">
        <v>6</v>
      </c>
      <c r="E314" s="424">
        <f>E315+E318</f>
        <v>0</v>
      </c>
    </row>
    <row r="315" spans="1:5" s="426" customFormat="1" ht="36.700000000000003" hidden="1" x14ac:dyDescent="0.25">
      <c r="A315" s="24" t="s">
        <v>499</v>
      </c>
      <c r="B315" s="23" t="s">
        <v>62</v>
      </c>
      <c r="C315" s="23" t="s">
        <v>504</v>
      </c>
      <c r="D315" s="23" t="s">
        <v>6</v>
      </c>
      <c r="E315" s="424">
        <f>E316</f>
        <v>0</v>
      </c>
    </row>
    <row r="316" spans="1:5" s="426" customFormat="1" ht="36.700000000000003" hidden="1" x14ac:dyDescent="0.25">
      <c r="A316" s="24" t="s">
        <v>15</v>
      </c>
      <c r="B316" s="23" t="s">
        <v>62</v>
      </c>
      <c r="C316" s="23" t="s">
        <v>504</v>
      </c>
      <c r="D316" s="23" t="s">
        <v>16</v>
      </c>
      <c r="E316" s="424">
        <f>E317</f>
        <v>0</v>
      </c>
    </row>
    <row r="317" spans="1:5" s="426" customFormat="1" ht="36.700000000000003" hidden="1" x14ac:dyDescent="0.25">
      <c r="A317" s="24" t="s">
        <v>17</v>
      </c>
      <c r="B317" s="23" t="s">
        <v>62</v>
      </c>
      <c r="C317" s="23" t="s">
        <v>504</v>
      </c>
      <c r="D317" s="23" t="s">
        <v>18</v>
      </c>
      <c r="E317" s="424">
        <f>'прил 7 '!F303</f>
        <v>0</v>
      </c>
    </row>
    <row r="318" spans="1:5" s="426" customFormat="1" ht="36.700000000000003" hidden="1" x14ac:dyDescent="0.25">
      <c r="A318" s="423" t="s">
        <v>614</v>
      </c>
      <c r="B318" s="23" t="s">
        <v>62</v>
      </c>
      <c r="C318" s="23" t="s">
        <v>655</v>
      </c>
      <c r="D318" s="23" t="s">
        <v>6</v>
      </c>
      <c r="E318" s="424">
        <f>E319</f>
        <v>0</v>
      </c>
    </row>
    <row r="319" spans="1:5" s="426" customFormat="1" ht="36.700000000000003" hidden="1" x14ac:dyDescent="0.25">
      <c r="A319" s="24" t="s">
        <v>15</v>
      </c>
      <c r="B319" s="23" t="s">
        <v>62</v>
      </c>
      <c r="C319" s="23" t="s">
        <v>655</v>
      </c>
      <c r="D319" s="23" t="s">
        <v>16</v>
      </c>
      <c r="E319" s="424">
        <f>E320</f>
        <v>0</v>
      </c>
    </row>
    <row r="320" spans="1:5" s="426" customFormat="1" ht="36.700000000000003" hidden="1" x14ac:dyDescent="0.25">
      <c r="A320" s="24" t="s">
        <v>17</v>
      </c>
      <c r="B320" s="23" t="s">
        <v>62</v>
      </c>
      <c r="C320" s="23" t="s">
        <v>655</v>
      </c>
      <c r="D320" s="23" t="s">
        <v>18</v>
      </c>
      <c r="E320" s="424">
        <f>'прил 7 '!F306</f>
        <v>0</v>
      </c>
    </row>
    <row r="321" spans="1:5" s="426" customFormat="1" ht="36.700000000000003" x14ac:dyDescent="0.25">
      <c r="A321" s="45" t="s">
        <v>505</v>
      </c>
      <c r="B321" s="23" t="s">
        <v>62</v>
      </c>
      <c r="C321" s="38" t="s">
        <v>507</v>
      </c>
      <c r="D321" s="38" t="s">
        <v>6</v>
      </c>
      <c r="E321" s="424">
        <f>E322</f>
        <v>11465716.370000001</v>
      </c>
    </row>
    <row r="322" spans="1:5" s="426" customFormat="1" ht="36.700000000000003" x14ac:dyDescent="0.25">
      <c r="A322" s="45" t="s">
        <v>506</v>
      </c>
      <c r="B322" s="23" t="s">
        <v>62</v>
      </c>
      <c r="C322" s="38" t="s">
        <v>508</v>
      </c>
      <c r="D322" s="38" t="s">
        <v>6</v>
      </c>
      <c r="E322" s="424">
        <f>E323+E326+E329</f>
        <v>11465716.370000001</v>
      </c>
    </row>
    <row r="323" spans="1:5" s="426" customFormat="1" ht="36.700000000000003" customHeight="1" x14ac:dyDescent="0.25">
      <c r="A323" s="366" t="s">
        <v>951</v>
      </c>
      <c r="B323" s="23" t="s">
        <v>62</v>
      </c>
      <c r="C323" s="23" t="s">
        <v>531</v>
      </c>
      <c r="D323" s="23" t="s">
        <v>6</v>
      </c>
      <c r="E323" s="424">
        <f>E324</f>
        <v>11351059.210000001</v>
      </c>
    </row>
    <row r="324" spans="1:5" s="426" customFormat="1" ht="36.700000000000003" x14ac:dyDescent="0.25">
      <c r="A324" s="24" t="s">
        <v>15</v>
      </c>
      <c r="B324" s="23" t="s">
        <v>62</v>
      </c>
      <c r="C324" s="23" t="s">
        <v>531</v>
      </c>
      <c r="D324" s="23" t="s">
        <v>16</v>
      </c>
      <c r="E324" s="424">
        <f>E325</f>
        <v>11351059.210000001</v>
      </c>
    </row>
    <row r="325" spans="1:5" s="426" customFormat="1" ht="36.700000000000003" x14ac:dyDescent="0.25">
      <c r="A325" s="24" t="s">
        <v>17</v>
      </c>
      <c r="B325" s="23" t="s">
        <v>62</v>
      </c>
      <c r="C325" s="23" t="s">
        <v>531</v>
      </c>
      <c r="D325" s="23" t="s">
        <v>18</v>
      </c>
      <c r="E325" s="424">
        <f>'прил 7 '!F311</f>
        <v>11351059.210000001</v>
      </c>
    </row>
    <row r="326" spans="1:5" s="426" customFormat="1" ht="55.05" x14ac:dyDescent="0.25">
      <c r="A326" s="423" t="s">
        <v>510</v>
      </c>
      <c r="B326" s="23" t="s">
        <v>62</v>
      </c>
      <c r="C326" s="23" t="s">
        <v>509</v>
      </c>
      <c r="D326" s="23" t="s">
        <v>6</v>
      </c>
      <c r="E326" s="424">
        <f>E327</f>
        <v>114657.16</v>
      </c>
    </row>
    <row r="327" spans="1:5" s="426" customFormat="1" ht="36.700000000000003" x14ac:dyDescent="0.25">
      <c r="A327" s="24" t="s">
        <v>15</v>
      </c>
      <c r="B327" s="23" t="s">
        <v>62</v>
      </c>
      <c r="C327" s="23" t="s">
        <v>509</v>
      </c>
      <c r="D327" s="23" t="s">
        <v>16</v>
      </c>
      <c r="E327" s="424">
        <f>E328</f>
        <v>114657.16</v>
      </c>
    </row>
    <row r="328" spans="1:5" s="426" customFormat="1" ht="36.700000000000003" x14ac:dyDescent="0.25">
      <c r="A328" s="24" t="s">
        <v>17</v>
      </c>
      <c r="B328" s="23" t="s">
        <v>62</v>
      </c>
      <c r="C328" s="23" t="s">
        <v>509</v>
      </c>
      <c r="D328" s="23" t="s">
        <v>18</v>
      </c>
      <c r="E328" s="424">
        <f>'прил 7 '!F314</f>
        <v>114657.16</v>
      </c>
    </row>
    <row r="329" spans="1:5" s="426" customFormat="1" ht="36.700000000000003" hidden="1" x14ac:dyDescent="0.25">
      <c r="A329" s="24" t="s">
        <v>614</v>
      </c>
      <c r="B329" s="23" t="s">
        <v>62</v>
      </c>
      <c r="C329" s="23" t="s">
        <v>613</v>
      </c>
      <c r="D329" s="23" t="s">
        <v>6</v>
      </c>
      <c r="E329" s="424">
        <f>E330</f>
        <v>0</v>
      </c>
    </row>
    <row r="330" spans="1:5" s="426" customFormat="1" ht="36.700000000000003" hidden="1" x14ac:dyDescent="0.25">
      <c r="A330" s="24" t="s">
        <v>15</v>
      </c>
      <c r="B330" s="23" t="s">
        <v>62</v>
      </c>
      <c r="C330" s="23" t="s">
        <v>613</v>
      </c>
      <c r="D330" s="23" t="s">
        <v>16</v>
      </c>
      <c r="E330" s="424">
        <f>E331</f>
        <v>0</v>
      </c>
    </row>
    <row r="331" spans="1:5" s="426" customFormat="1" ht="36.700000000000003" hidden="1" customHeight="1" x14ac:dyDescent="0.25">
      <c r="A331" s="24" t="s">
        <v>17</v>
      </c>
      <c r="B331" s="23" t="s">
        <v>62</v>
      </c>
      <c r="C331" s="23" t="s">
        <v>613</v>
      </c>
      <c r="D331" s="23" t="s">
        <v>18</v>
      </c>
      <c r="E331" s="424">
        <f>'прил 7 '!F317</f>
        <v>0</v>
      </c>
    </row>
    <row r="332" spans="1:5" s="426" customFormat="1" x14ac:dyDescent="0.25">
      <c r="A332" s="24" t="s">
        <v>284</v>
      </c>
      <c r="B332" s="23" t="s">
        <v>285</v>
      </c>
      <c r="C332" s="23" t="s">
        <v>126</v>
      </c>
      <c r="D332" s="23" t="s">
        <v>6</v>
      </c>
      <c r="E332" s="424">
        <f>E333</f>
        <v>7458921.1500000004</v>
      </c>
    </row>
    <row r="333" spans="1:5" s="426" customFormat="1" ht="55.05" x14ac:dyDescent="0.25">
      <c r="A333" s="37" t="s">
        <v>1161</v>
      </c>
      <c r="B333" s="38" t="s">
        <v>285</v>
      </c>
      <c r="C333" s="38" t="s">
        <v>134</v>
      </c>
      <c r="D333" s="38" t="s">
        <v>6</v>
      </c>
      <c r="E333" s="424">
        <f>E334</f>
        <v>7458921.1500000004</v>
      </c>
    </row>
    <row r="334" spans="1:5" s="426" customFormat="1" ht="36.700000000000003" x14ac:dyDescent="0.25">
      <c r="A334" s="24" t="s">
        <v>738</v>
      </c>
      <c r="B334" s="23" t="s">
        <v>285</v>
      </c>
      <c r="C334" s="23" t="s">
        <v>335</v>
      </c>
      <c r="D334" s="23" t="s">
        <v>6</v>
      </c>
      <c r="E334" s="424">
        <f>E335+E338</f>
        <v>7458921.1500000004</v>
      </c>
    </row>
    <row r="335" spans="1:5" s="426" customFormat="1" ht="40.75" customHeight="1" x14ac:dyDescent="0.25">
      <c r="A335" s="31" t="s">
        <v>952</v>
      </c>
      <c r="B335" s="23" t="s">
        <v>285</v>
      </c>
      <c r="C335" s="23" t="s">
        <v>532</v>
      </c>
      <c r="D335" s="23" t="s">
        <v>6</v>
      </c>
      <c r="E335" s="424">
        <f>E336</f>
        <v>7384331.9400000004</v>
      </c>
    </row>
    <row r="336" spans="1:5" s="426" customFormat="1" x14ac:dyDescent="0.25">
      <c r="A336" s="24" t="s">
        <v>19</v>
      </c>
      <c r="B336" s="23" t="s">
        <v>285</v>
      </c>
      <c r="C336" s="23" t="s">
        <v>532</v>
      </c>
      <c r="D336" s="23" t="s">
        <v>20</v>
      </c>
      <c r="E336" s="424">
        <f>E337</f>
        <v>7384331.9400000004</v>
      </c>
    </row>
    <row r="337" spans="1:7" s="426" customFormat="1" ht="55.05" x14ac:dyDescent="0.25">
      <c r="A337" s="24" t="s">
        <v>963</v>
      </c>
      <c r="B337" s="23" t="s">
        <v>285</v>
      </c>
      <c r="C337" s="23" t="s">
        <v>532</v>
      </c>
      <c r="D337" s="23" t="s">
        <v>48</v>
      </c>
      <c r="E337" s="424">
        <f>'прил 7 '!F323</f>
        <v>7384331.9400000004</v>
      </c>
    </row>
    <row r="338" spans="1:7" s="426" customFormat="1" ht="36.700000000000003" x14ac:dyDescent="0.25">
      <c r="A338" s="24" t="s">
        <v>295</v>
      </c>
      <c r="B338" s="23" t="s">
        <v>285</v>
      </c>
      <c r="C338" s="23" t="s">
        <v>341</v>
      </c>
      <c r="D338" s="23" t="s">
        <v>6</v>
      </c>
      <c r="E338" s="424">
        <f>E339</f>
        <v>74589.210000000006</v>
      </c>
    </row>
    <row r="339" spans="1:7" s="426" customFormat="1" x14ac:dyDescent="0.25">
      <c r="A339" s="24" t="s">
        <v>19</v>
      </c>
      <c r="B339" s="23" t="s">
        <v>285</v>
      </c>
      <c r="C339" s="23" t="s">
        <v>341</v>
      </c>
      <c r="D339" s="23" t="s">
        <v>20</v>
      </c>
      <c r="E339" s="424">
        <f>E340</f>
        <v>74589.210000000006</v>
      </c>
    </row>
    <row r="340" spans="1:7" s="426" customFormat="1" ht="39.25" customHeight="1" x14ac:dyDescent="0.25">
      <c r="A340" s="24" t="s">
        <v>963</v>
      </c>
      <c r="B340" s="23" t="s">
        <v>285</v>
      </c>
      <c r="C340" s="23" t="s">
        <v>341</v>
      </c>
      <c r="D340" s="23" t="s">
        <v>48</v>
      </c>
      <c r="E340" s="424">
        <f>'прил 7 '!F326</f>
        <v>74589.210000000006</v>
      </c>
    </row>
    <row r="341" spans="1:7" s="426" customFormat="1" x14ac:dyDescent="0.25">
      <c r="A341" s="24" t="s">
        <v>64</v>
      </c>
      <c r="B341" s="35" t="s">
        <v>65</v>
      </c>
      <c r="C341" s="35" t="s">
        <v>126</v>
      </c>
      <c r="D341" s="35" t="s">
        <v>6</v>
      </c>
      <c r="E341" s="50">
        <f>E342</f>
        <v>755000</v>
      </c>
      <c r="G341" s="73">
        <f>E341/'прил 7 '!F693*100</f>
        <v>6.5456684437124074E-2</v>
      </c>
    </row>
    <row r="342" spans="1:7" outlineLevel="1" x14ac:dyDescent="0.25">
      <c r="A342" s="24" t="s">
        <v>66</v>
      </c>
      <c r="B342" s="23" t="s">
        <v>67</v>
      </c>
      <c r="C342" s="23" t="s">
        <v>126</v>
      </c>
      <c r="D342" s="23" t="s">
        <v>6</v>
      </c>
      <c r="E342" s="424">
        <f>E343+E352</f>
        <v>755000</v>
      </c>
    </row>
    <row r="343" spans="1:7" ht="36.700000000000003" outlineLevel="2" x14ac:dyDescent="0.25">
      <c r="A343" s="37" t="s">
        <v>1176</v>
      </c>
      <c r="B343" s="38" t="s">
        <v>67</v>
      </c>
      <c r="C343" s="38" t="s">
        <v>135</v>
      </c>
      <c r="D343" s="38" t="s">
        <v>6</v>
      </c>
      <c r="E343" s="424">
        <f>E344+E348</f>
        <v>470000</v>
      </c>
    </row>
    <row r="344" spans="1:7" ht="59.95" customHeight="1" outlineLevel="2" x14ac:dyDescent="0.25">
      <c r="A344" s="24" t="s">
        <v>736</v>
      </c>
      <c r="B344" s="23" t="s">
        <v>67</v>
      </c>
      <c r="C344" s="23" t="s">
        <v>371</v>
      </c>
      <c r="D344" s="23" t="s">
        <v>6</v>
      </c>
      <c r="E344" s="424">
        <f>E345</f>
        <v>440000</v>
      </c>
    </row>
    <row r="345" spans="1:7" ht="20.25" customHeight="1" outlineLevel="4" x14ac:dyDescent="0.25">
      <c r="A345" s="24" t="s">
        <v>240</v>
      </c>
      <c r="B345" s="23" t="s">
        <v>67</v>
      </c>
      <c r="C345" s="23" t="s">
        <v>344</v>
      </c>
      <c r="D345" s="23" t="s">
        <v>6</v>
      </c>
      <c r="E345" s="424">
        <f>E346</f>
        <v>440000</v>
      </c>
    </row>
    <row r="346" spans="1:7" ht="16.5" customHeight="1" outlineLevel="5" x14ac:dyDescent="0.25">
      <c r="A346" s="24" t="s">
        <v>15</v>
      </c>
      <c r="B346" s="23" t="s">
        <v>67</v>
      </c>
      <c r="C346" s="23" t="s">
        <v>344</v>
      </c>
      <c r="D346" s="23" t="s">
        <v>16</v>
      </c>
      <c r="E346" s="424">
        <f>E347</f>
        <v>440000</v>
      </c>
    </row>
    <row r="347" spans="1:7" ht="19.55" customHeight="1" outlineLevel="6" x14ac:dyDescent="0.25">
      <c r="A347" s="24" t="s">
        <v>17</v>
      </c>
      <c r="B347" s="23" t="s">
        <v>67</v>
      </c>
      <c r="C347" s="23" t="s">
        <v>344</v>
      </c>
      <c r="D347" s="23" t="s">
        <v>18</v>
      </c>
      <c r="E347" s="424">
        <f>'прил 7 '!F333</f>
        <v>440000</v>
      </c>
    </row>
    <row r="348" spans="1:7" ht="21.75" customHeight="1" outlineLevel="4" x14ac:dyDescent="0.25">
      <c r="A348" s="24" t="s">
        <v>345</v>
      </c>
      <c r="B348" s="23" t="s">
        <v>67</v>
      </c>
      <c r="C348" s="23" t="s">
        <v>242</v>
      </c>
      <c r="D348" s="23" t="s">
        <v>6</v>
      </c>
      <c r="E348" s="424">
        <f>E349</f>
        <v>30000</v>
      </c>
    </row>
    <row r="349" spans="1:7" outlineLevel="5" x14ac:dyDescent="0.25">
      <c r="A349" s="24" t="s">
        <v>68</v>
      </c>
      <c r="B349" s="23" t="s">
        <v>67</v>
      </c>
      <c r="C349" s="23" t="s">
        <v>241</v>
      </c>
      <c r="D349" s="23" t="s">
        <v>6</v>
      </c>
      <c r="E349" s="424">
        <f>E350</f>
        <v>30000</v>
      </c>
    </row>
    <row r="350" spans="1:7" ht="16.5" customHeight="1" outlineLevel="6" x14ac:dyDescent="0.25">
      <c r="A350" s="24" t="s">
        <v>15</v>
      </c>
      <c r="B350" s="23" t="s">
        <v>67</v>
      </c>
      <c r="C350" s="23" t="s">
        <v>241</v>
      </c>
      <c r="D350" s="23" t="s">
        <v>16</v>
      </c>
      <c r="E350" s="424">
        <f>E351</f>
        <v>30000</v>
      </c>
    </row>
    <row r="351" spans="1:7" ht="21.25" customHeight="1" outlineLevel="6" x14ac:dyDescent="0.25">
      <c r="A351" s="24" t="s">
        <v>17</v>
      </c>
      <c r="B351" s="23" t="s">
        <v>67</v>
      </c>
      <c r="C351" s="23" t="s">
        <v>241</v>
      </c>
      <c r="D351" s="23" t="s">
        <v>18</v>
      </c>
      <c r="E351" s="424">
        <f>'прил 7 '!F337</f>
        <v>30000</v>
      </c>
    </row>
    <row r="352" spans="1:7" ht="73.400000000000006" outlineLevel="6" x14ac:dyDescent="0.25">
      <c r="A352" s="37" t="s">
        <v>1177</v>
      </c>
      <c r="B352" s="38" t="s">
        <v>67</v>
      </c>
      <c r="C352" s="38" t="s">
        <v>346</v>
      </c>
      <c r="D352" s="38" t="s">
        <v>6</v>
      </c>
      <c r="E352" s="424">
        <f>E353</f>
        <v>285000</v>
      </c>
    </row>
    <row r="353" spans="1:7" ht="17.5" customHeight="1" outlineLevel="6" x14ac:dyDescent="0.25">
      <c r="A353" s="24" t="s">
        <v>347</v>
      </c>
      <c r="B353" s="23" t="s">
        <v>67</v>
      </c>
      <c r="C353" s="23" t="s">
        <v>348</v>
      </c>
      <c r="D353" s="23" t="s">
        <v>6</v>
      </c>
      <c r="E353" s="424">
        <f>E354</f>
        <v>285000</v>
      </c>
    </row>
    <row r="354" spans="1:7" outlineLevel="6" x14ac:dyDescent="0.25">
      <c r="A354" s="24" t="s">
        <v>349</v>
      </c>
      <c r="B354" s="23" t="s">
        <v>67</v>
      </c>
      <c r="C354" s="23" t="s">
        <v>350</v>
      </c>
      <c r="D354" s="23" t="s">
        <v>6</v>
      </c>
      <c r="E354" s="424">
        <f>E355</f>
        <v>285000</v>
      </c>
    </row>
    <row r="355" spans="1:7" ht="18" customHeight="1" outlineLevel="6" x14ac:dyDescent="0.25">
      <c r="A355" s="24" t="s">
        <v>15</v>
      </c>
      <c r="B355" s="23" t="s">
        <v>67</v>
      </c>
      <c r="C355" s="23" t="s">
        <v>350</v>
      </c>
      <c r="D355" s="23" t="s">
        <v>16</v>
      </c>
      <c r="E355" s="424">
        <f>E356</f>
        <v>285000</v>
      </c>
    </row>
    <row r="356" spans="1:7" ht="21.75" customHeight="1" outlineLevel="6" x14ac:dyDescent="0.25">
      <c r="A356" s="24" t="s">
        <v>17</v>
      </c>
      <c r="B356" s="23" t="s">
        <v>67</v>
      </c>
      <c r="C356" s="23" t="s">
        <v>350</v>
      </c>
      <c r="D356" s="23" t="s">
        <v>18</v>
      </c>
      <c r="E356" s="424">
        <f>'прил 7 '!F342</f>
        <v>285000</v>
      </c>
    </row>
    <row r="357" spans="1:7" s="426" customFormat="1" x14ac:dyDescent="0.25">
      <c r="A357" s="24" t="s">
        <v>69</v>
      </c>
      <c r="B357" s="35" t="s">
        <v>70</v>
      </c>
      <c r="C357" s="35" t="s">
        <v>126</v>
      </c>
      <c r="D357" s="35" t="s">
        <v>6</v>
      </c>
      <c r="E357" s="50">
        <f>E358+E387+E440+E463+E474</f>
        <v>819160057.02999985</v>
      </c>
      <c r="G357" s="73">
        <f>E357/'прил 7 '!F693*100</f>
        <v>71.019207094714261</v>
      </c>
    </row>
    <row r="358" spans="1:7" outlineLevel="1" x14ac:dyDescent="0.25">
      <c r="A358" s="24" t="s">
        <v>110</v>
      </c>
      <c r="B358" s="23" t="s">
        <v>111</v>
      </c>
      <c r="C358" s="23" t="s">
        <v>126</v>
      </c>
      <c r="D358" s="23" t="s">
        <v>6</v>
      </c>
      <c r="E358" s="424">
        <f>E359</f>
        <v>159500434.18000001</v>
      </c>
    </row>
    <row r="359" spans="1:7" ht="36.700000000000003" outlineLevel="2" x14ac:dyDescent="0.25">
      <c r="A359" s="37" t="s">
        <v>1169</v>
      </c>
      <c r="B359" s="38" t="s">
        <v>111</v>
      </c>
      <c r="C359" s="38" t="s">
        <v>138</v>
      </c>
      <c r="D359" s="38" t="s">
        <v>6</v>
      </c>
      <c r="E359" s="424">
        <f>E360</f>
        <v>159500434.18000001</v>
      </c>
    </row>
    <row r="360" spans="1:7" ht="36.700000000000003" outlineLevel="3" x14ac:dyDescent="0.25">
      <c r="A360" s="24" t="s">
        <v>1038</v>
      </c>
      <c r="B360" s="23" t="s">
        <v>111</v>
      </c>
      <c r="C360" s="23" t="s">
        <v>139</v>
      </c>
      <c r="D360" s="23" t="s">
        <v>6</v>
      </c>
      <c r="E360" s="424">
        <f>E361+E368</f>
        <v>159500434.18000001</v>
      </c>
    </row>
    <row r="361" spans="1:7" ht="36.700000000000003" outlineLevel="4" x14ac:dyDescent="0.25">
      <c r="A361" s="40" t="s">
        <v>200</v>
      </c>
      <c r="B361" s="23" t="s">
        <v>111</v>
      </c>
      <c r="C361" s="23" t="s">
        <v>216</v>
      </c>
      <c r="D361" s="23" t="s">
        <v>6</v>
      </c>
      <c r="E361" s="424">
        <f>E362+E365</f>
        <v>159342434.18000001</v>
      </c>
    </row>
    <row r="362" spans="1:7" ht="38.25" customHeight="1" outlineLevel="5" x14ac:dyDescent="0.25">
      <c r="A362" s="24" t="s">
        <v>113</v>
      </c>
      <c r="B362" s="23" t="s">
        <v>111</v>
      </c>
      <c r="C362" s="23" t="s">
        <v>144</v>
      </c>
      <c r="D362" s="23" t="s">
        <v>6</v>
      </c>
      <c r="E362" s="424">
        <f>E363</f>
        <v>54428438.18</v>
      </c>
    </row>
    <row r="363" spans="1:7" ht="36.700000000000003" outlineLevel="6" x14ac:dyDescent="0.25">
      <c r="A363" s="24" t="s">
        <v>37</v>
      </c>
      <c r="B363" s="23" t="s">
        <v>111</v>
      </c>
      <c r="C363" s="23" t="s">
        <v>144</v>
      </c>
      <c r="D363" s="23" t="s">
        <v>38</v>
      </c>
      <c r="E363" s="424">
        <f>E364</f>
        <v>54428438.18</v>
      </c>
    </row>
    <row r="364" spans="1:7" outlineLevel="4" x14ac:dyDescent="0.25">
      <c r="A364" s="24" t="s">
        <v>74</v>
      </c>
      <c r="B364" s="23" t="s">
        <v>111</v>
      </c>
      <c r="C364" s="23" t="s">
        <v>144</v>
      </c>
      <c r="D364" s="23" t="s">
        <v>75</v>
      </c>
      <c r="E364" s="424">
        <f>'прил 7 '!F496</f>
        <v>54428438.18</v>
      </c>
    </row>
    <row r="365" spans="1:7" ht="71.5" customHeight="1" outlineLevel="5" x14ac:dyDescent="0.25">
      <c r="A365" s="366" t="s">
        <v>935</v>
      </c>
      <c r="B365" s="23" t="s">
        <v>111</v>
      </c>
      <c r="C365" s="23" t="s">
        <v>145</v>
      </c>
      <c r="D365" s="23" t="s">
        <v>6</v>
      </c>
      <c r="E365" s="424">
        <f>E366</f>
        <v>104913996</v>
      </c>
    </row>
    <row r="366" spans="1:7" ht="36.700000000000003" outlineLevel="6" x14ac:dyDescent="0.25">
      <c r="A366" s="24" t="s">
        <v>37</v>
      </c>
      <c r="B366" s="23" t="s">
        <v>111</v>
      </c>
      <c r="C366" s="23" t="s">
        <v>145</v>
      </c>
      <c r="D366" s="23" t="s">
        <v>38</v>
      </c>
      <c r="E366" s="424">
        <f>E367</f>
        <v>104913996</v>
      </c>
    </row>
    <row r="367" spans="1:7" outlineLevel="3" x14ac:dyDescent="0.25">
      <c r="A367" s="24" t="s">
        <v>74</v>
      </c>
      <c r="B367" s="23" t="s">
        <v>111</v>
      </c>
      <c r="C367" s="23" t="s">
        <v>145</v>
      </c>
      <c r="D367" s="23" t="s">
        <v>75</v>
      </c>
      <c r="E367" s="424">
        <f>'прил 7 '!F499</f>
        <v>104913996</v>
      </c>
    </row>
    <row r="368" spans="1:7" ht="40.75" customHeight="1" outlineLevel="3" x14ac:dyDescent="0.25">
      <c r="A368" s="40" t="s">
        <v>201</v>
      </c>
      <c r="B368" s="23" t="s">
        <v>111</v>
      </c>
      <c r="C368" s="23" t="s">
        <v>218</v>
      </c>
      <c r="D368" s="23" t="s">
        <v>6</v>
      </c>
      <c r="E368" s="424">
        <f>E372+E375+E381+E369+E384+E378</f>
        <v>158000</v>
      </c>
    </row>
    <row r="369" spans="1:5" outlineLevel="6" x14ac:dyDescent="0.25">
      <c r="A369" s="24" t="s">
        <v>262</v>
      </c>
      <c r="B369" s="23" t="s">
        <v>111</v>
      </c>
      <c r="C369" s="23" t="s">
        <v>276</v>
      </c>
      <c r="D369" s="23" t="s">
        <v>6</v>
      </c>
      <c r="E369" s="424">
        <f>E370</f>
        <v>158000</v>
      </c>
    </row>
    <row r="370" spans="1:5" ht="36.700000000000003" outlineLevel="6" x14ac:dyDescent="0.25">
      <c r="A370" s="24" t="s">
        <v>37</v>
      </c>
      <c r="B370" s="23" t="s">
        <v>111</v>
      </c>
      <c r="C370" s="23" t="s">
        <v>276</v>
      </c>
      <c r="D370" s="23" t="s">
        <v>38</v>
      </c>
      <c r="E370" s="424">
        <f>E371</f>
        <v>158000</v>
      </c>
    </row>
    <row r="371" spans="1:5" outlineLevel="6" x14ac:dyDescent="0.25">
      <c r="A371" s="24" t="s">
        <v>74</v>
      </c>
      <c r="B371" s="23" t="s">
        <v>111</v>
      </c>
      <c r="C371" s="23" t="s">
        <v>276</v>
      </c>
      <c r="D371" s="23" t="s">
        <v>75</v>
      </c>
      <c r="E371" s="424">
        <f>'прил 7 '!F506</f>
        <v>158000</v>
      </c>
    </row>
    <row r="372" spans="1:5" hidden="1" outlineLevel="6" x14ac:dyDescent="0.25">
      <c r="A372" s="24" t="s">
        <v>300</v>
      </c>
      <c r="B372" s="23" t="s">
        <v>111</v>
      </c>
      <c r="C372" s="23" t="s">
        <v>488</v>
      </c>
      <c r="D372" s="23" t="s">
        <v>6</v>
      </c>
      <c r="E372" s="424">
        <f>E373</f>
        <v>0</v>
      </c>
    </row>
    <row r="373" spans="1:5" ht="36.700000000000003" hidden="1" outlineLevel="6" x14ac:dyDescent="0.25">
      <c r="A373" s="24" t="s">
        <v>37</v>
      </c>
      <c r="B373" s="23" t="s">
        <v>111</v>
      </c>
      <c r="C373" s="23" t="s">
        <v>488</v>
      </c>
      <c r="D373" s="23" t="s">
        <v>38</v>
      </c>
      <c r="E373" s="424">
        <f>E374</f>
        <v>0</v>
      </c>
    </row>
    <row r="374" spans="1:5" hidden="1" outlineLevel="6" x14ac:dyDescent="0.25">
      <c r="A374" s="24" t="s">
        <v>74</v>
      </c>
      <c r="B374" s="23" t="s">
        <v>111</v>
      </c>
      <c r="C374" s="23" t="s">
        <v>488</v>
      </c>
      <c r="D374" s="23" t="s">
        <v>75</v>
      </c>
      <c r="E374" s="424">
        <f>'прил 7 '!F509</f>
        <v>0</v>
      </c>
    </row>
    <row r="375" spans="1:5" ht="36.700000000000003" hidden="1" outlineLevel="6" x14ac:dyDescent="0.25">
      <c r="A375" s="40" t="s">
        <v>415</v>
      </c>
      <c r="B375" s="23" t="s">
        <v>111</v>
      </c>
      <c r="C375" s="23" t="s">
        <v>416</v>
      </c>
      <c r="D375" s="23" t="s">
        <v>6</v>
      </c>
      <c r="E375" s="424">
        <f>E376</f>
        <v>0</v>
      </c>
    </row>
    <row r="376" spans="1:5" ht="36.700000000000003" hidden="1" outlineLevel="6" x14ac:dyDescent="0.25">
      <c r="A376" s="24" t="s">
        <v>37</v>
      </c>
      <c r="B376" s="23" t="s">
        <v>111</v>
      </c>
      <c r="C376" s="23" t="s">
        <v>416</v>
      </c>
      <c r="D376" s="23" t="s">
        <v>38</v>
      </c>
      <c r="E376" s="424">
        <f>E377</f>
        <v>0</v>
      </c>
    </row>
    <row r="377" spans="1:5" ht="18" hidden="1" customHeight="1" outlineLevel="6" x14ac:dyDescent="0.25">
      <c r="A377" s="24" t="s">
        <v>74</v>
      </c>
      <c r="B377" s="23" t="s">
        <v>111</v>
      </c>
      <c r="C377" s="23" t="s">
        <v>416</v>
      </c>
      <c r="D377" s="23" t="s">
        <v>75</v>
      </c>
      <c r="E377" s="424">
        <f>'прил 7 '!F518</f>
        <v>0</v>
      </c>
    </row>
    <row r="378" spans="1:5" ht="41.45" hidden="1" customHeight="1" outlineLevel="6" x14ac:dyDescent="0.25">
      <c r="A378" s="423" t="s">
        <v>806</v>
      </c>
      <c r="B378" s="23" t="s">
        <v>111</v>
      </c>
      <c r="C378" s="23" t="s">
        <v>657</v>
      </c>
      <c r="D378" s="23" t="s">
        <v>6</v>
      </c>
      <c r="E378" s="424">
        <f>E379</f>
        <v>0</v>
      </c>
    </row>
    <row r="379" spans="1:5" ht="36.700000000000003" hidden="1" outlineLevel="6" x14ac:dyDescent="0.25">
      <c r="A379" s="24" t="s">
        <v>37</v>
      </c>
      <c r="B379" s="23" t="s">
        <v>111</v>
      </c>
      <c r="C379" s="23" t="s">
        <v>657</v>
      </c>
      <c r="D379" s="23" t="s">
        <v>38</v>
      </c>
      <c r="E379" s="424">
        <f>E380</f>
        <v>0</v>
      </c>
    </row>
    <row r="380" spans="1:5" ht="27.7" hidden="1" customHeight="1" outlineLevel="6" x14ac:dyDescent="0.25">
      <c r="A380" s="24" t="s">
        <v>74</v>
      </c>
      <c r="B380" s="23" t="s">
        <v>111</v>
      </c>
      <c r="C380" s="23" t="s">
        <v>657</v>
      </c>
      <c r="D380" s="23" t="s">
        <v>75</v>
      </c>
      <c r="E380" s="424">
        <f>'прил 7 '!F521</f>
        <v>0</v>
      </c>
    </row>
    <row r="381" spans="1:5" ht="55.05" hidden="1" outlineLevel="6" x14ac:dyDescent="0.25">
      <c r="A381" s="31" t="s">
        <v>949</v>
      </c>
      <c r="B381" s="23" t="s">
        <v>111</v>
      </c>
      <c r="C381" s="23" t="s">
        <v>534</v>
      </c>
      <c r="D381" s="23" t="s">
        <v>6</v>
      </c>
      <c r="E381" s="424">
        <f>E382</f>
        <v>0</v>
      </c>
    </row>
    <row r="382" spans="1:5" ht="36.700000000000003" hidden="1" outlineLevel="6" x14ac:dyDescent="0.25">
      <c r="A382" s="24" t="s">
        <v>37</v>
      </c>
      <c r="B382" s="23" t="s">
        <v>111</v>
      </c>
      <c r="C382" s="23" t="s">
        <v>534</v>
      </c>
      <c r="D382" s="23" t="s">
        <v>38</v>
      </c>
      <c r="E382" s="424">
        <f>E383</f>
        <v>0</v>
      </c>
    </row>
    <row r="383" spans="1:5" ht="18" hidden="1" customHeight="1" outlineLevel="6" thickBot="1" x14ac:dyDescent="0.3">
      <c r="A383" s="24" t="s">
        <v>74</v>
      </c>
      <c r="B383" s="23" t="s">
        <v>111</v>
      </c>
      <c r="C383" s="23" t="s">
        <v>534</v>
      </c>
      <c r="D383" s="23" t="s">
        <v>75</v>
      </c>
      <c r="E383" s="424">
        <v>0</v>
      </c>
    </row>
    <row r="384" spans="1:5" ht="74.05" hidden="1" outlineLevel="3" thickBot="1" x14ac:dyDescent="0.3">
      <c r="A384" s="394" t="s">
        <v>1010</v>
      </c>
      <c r="B384" s="23" t="s">
        <v>111</v>
      </c>
      <c r="C384" s="23" t="s">
        <v>406</v>
      </c>
      <c r="D384" s="23" t="s">
        <v>6</v>
      </c>
      <c r="E384" s="424">
        <f>E385</f>
        <v>0</v>
      </c>
    </row>
    <row r="385" spans="1:5" ht="36.700000000000003" hidden="1" outlineLevel="3" x14ac:dyDescent="0.25">
      <c r="A385" s="24" t="s">
        <v>37</v>
      </c>
      <c r="B385" s="23" t="s">
        <v>111</v>
      </c>
      <c r="C385" s="23" t="s">
        <v>406</v>
      </c>
      <c r="D385" s="23" t="s">
        <v>38</v>
      </c>
      <c r="E385" s="424">
        <f>E386</f>
        <v>0</v>
      </c>
    </row>
    <row r="386" spans="1:5" ht="18" hidden="1" customHeight="1" outlineLevel="3" x14ac:dyDescent="0.25">
      <c r="A386" s="24" t="s">
        <v>74</v>
      </c>
      <c r="B386" s="23" t="s">
        <v>111</v>
      </c>
      <c r="C386" s="23" t="s">
        <v>406</v>
      </c>
      <c r="D386" s="23" t="s">
        <v>75</v>
      </c>
      <c r="E386" s="424">
        <f>'прил 7 '!F527</f>
        <v>0</v>
      </c>
    </row>
    <row r="387" spans="1:5" ht="24.8" customHeight="1" outlineLevel="1" collapsed="1" x14ac:dyDescent="0.25">
      <c r="A387" s="24" t="s">
        <v>71</v>
      </c>
      <c r="B387" s="23" t="s">
        <v>72</v>
      </c>
      <c r="C387" s="23" t="s">
        <v>126</v>
      </c>
      <c r="D387" s="23" t="s">
        <v>6</v>
      </c>
      <c r="E387" s="424">
        <f>E388</f>
        <v>576915100.67999995</v>
      </c>
    </row>
    <row r="388" spans="1:5" ht="36.700000000000003" outlineLevel="2" x14ac:dyDescent="0.25">
      <c r="A388" s="37" t="s">
        <v>1169</v>
      </c>
      <c r="B388" s="38" t="s">
        <v>72</v>
      </c>
      <c r="C388" s="38" t="s">
        <v>138</v>
      </c>
      <c r="D388" s="38" t="s">
        <v>6</v>
      </c>
      <c r="E388" s="424">
        <f>E389</f>
        <v>576915100.67999995</v>
      </c>
    </row>
    <row r="389" spans="1:5" ht="36.700000000000003" outlineLevel="3" x14ac:dyDescent="0.25">
      <c r="A389" s="24" t="s">
        <v>1039</v>
      </c>
      <c r="B389" s="23" t="s">
        <v>72</v>
      </c>
      <c r="C389" s="23" t="s">
        <v>146</v>
      </c>
      <c r="D389" s="23" t="s">
        <v>6</v>
      </c>
      <c r="E389" s="424">
        <f>E390+E403+E425+E436+E432</f>
        <v>576915100.67999995</v>
      </c>
    </row>
    <row r="390" spans="1:5" ht="36.700000000000003" outlineLevel="4" x14ac:dyDescent="0.25">
      <c r="A390" s="40" t="s">
        <v>203</v>
      </c>
      <c r="B390" s="23" t="s">
        <v>72</v>
      </c>
      <c r="C390" s="23" t="s">
        <v>219</v>
      </c>
      <c r="D390" s="23" t="s">
        <v>6</v>
      </c>
      <c r="E390" s="424">
        <f>E391+E394+E397+E400</f>
        <v>560972113.84000003</v>
      </c>
    </row>
    <row r="391" spans="1:5" ht="55.05" outlineLevel="4" x14ac:dyDescent="0.25">
      <c r="A391" s="366" t="s">
        <v>961</v>
      </c>
      <c r="B391" s="23" t="s">
        <v>72</v>
      </c>
      <c r="C391" s="23" t="s">
        <v>538</v>
      </c>
      <c r="D391" s="23" t="s">
        <v>6</v>
      </c>
      <c r="E391" s="424">
        <f>E392</f>
        <v>23400000</v>
      </c>
    </row>
    <row r="392" spans="1:5" ht="36.700000000000003" outlineLevel="4" x14ac:dyDescent="0.25">
      <c r="A392" s="24" t="s">
        <v>37</v>
      </c>
      <c r="B392" s="23" t="s">
        <v>72</v>
      </c>
      <c r="C392" s="23" t="s">
        <v>538</v>
      </c>
      <c r="D392" s="23" t="s">
        <v>38</v>
      </c>
      <c r="E392" s="424">
        <f>E393</f>
        <v>23400000</v>
      </c>
    </row>
    <row r="393" spans="1:5" outlineLevel="4" x14ac:dyDescent="0.25">
      <c r="A393" s="24" t="s">
        <v>74</v>
      </c>
      <c r="B393" s="23" t="s">
        <v>72</v>
      </c>
      <c r="C393" s="23" t="s">
        <v>538</v>
      </c>
      <c r="D393" s="23" t="s">
        <v>75</v>
      </c>
      <c r="E393" s="424">
        <f>'прил 7 '!F534</f>
        <v>23400000</v>
      </c>
    </row>
    <row r="394" spans="1:5" ht="40.75" customHeight="1" outlineLevel="5" x14ac:dyDescent="0.25">
      <c r="A394" s="24" t="s">
        <v>114</v>
      </c>
      <c r="B394" s="23" t="s">
        <v>72</v>
      </c>
      <c r="C394" s="23" t="s">
        <v>147</v>
      </c>
      <c r="D394" s="23" t="s">
        <v>6</v>
      </c>
      <c r="E394" s="424">
        <f>E395</f>
        <v>120551069.84</v>
      </c>
    </row>
    <row r="395" spans="1:5" ht="36.700000000000003" outlineLevel="6" x14ac:dyDescent="0.25">
      <c r="A395" s="24" t="s">
        <v>37</v>
      </c>
      <c r="B395" s="23" t="s">
        <v>72</v>
      </c>
      <c r="C395" s="23" t="s">
        <v>147</v>
      </c>
      <c r="D395" s="23" t="s">
        <v>38</v>
      </c>
      <c r="E395" s="424">
        <f>E396</f>
        <v>120551069.84</v>
      </c>
    </row>
    <row r="396" spans="1:5" outlineLevel="4" x14ac:dyDescent="0.25">
      <c r="A396" s="24" t="s">
        <v>74</v>
      </c>
      <c r="B396" s="23" t="s">
        <v>72</v>
      </c>
      <c r="C396" s="23" t="s">
        <v>147</v>
      </c>
      <c r="D396" s="23" t="s">
        <v>75</v>
      </c>
      <c r="E396" s="424">
        <f>'прил 7 '!F537</f>
        <v>120551069.84</v>
      </c>
    </row>
    <row r="397" spans="1:5" ht="75.75" customHeight="1" outlineLevel="5" x14ac:dyDescent="0.3">
      <c r="A397" s="93" t="s">
        <v>936</v>
      </c>
      <c r="B397" s="23" t="s">
        <v>72</v>
      </c>
      <c r="C397" s="23" t="s">
        <v>148</v>
      </c>
      <c r="D397" s="23" t="s">
        <v>6</v>
      </c>
      <c r="E397" s="424">
        <f>E398</f>
        <v>402585494</v>
      </c>
    </row>
    <row r="398" spans="1:5" ht="36.700000000000003" outlineLevel="6" x14ac:dyDescent="0.25">
      <c r="A398" s="24" t="s">
        <v>37</v>
      </c>
      <c r="B398" s="23" t="s">
        <v>72</v>
      </c>
      <c r="C398" s="23" t="s">
        <v>148</v>
      </c>
      <c r="D398" s="23" t="s">
        <v>38</v>
      </c>
      <c r="E398" s="424">
        <f>E399</f>
        <v>402585494</v>
      </c>
    </row>
    <row r="399" spans="1:5" outlineLevel="6" x14ac:dyDescent="0.25">
      <c r="A399" s="24" t="s">
        <v>74</v>
      </c>
      <c r="B399" s="23" t="s">
        <v>72</v>
      </c>
      <c r="C399" s="23" t="s">
        <v>148</v>
      </c>
      <c r="D399" s="23" t="s">
        <v>75</v>
      </c>
      <c r="E399" s="424">
        <f>'прил 7 '!F540</f>
        <v>402585494</v>
      </c>
    </row>
    <row r="400" spans="1:5" ht="73.400000000000006" outlineLevel="6" x14ac:dyDescent="0.25">
      <c r="A400" s="366" t="s">
        <v>958</v>
      </c>
      <c r="B400" s="23" t="s">
        <v>72</v>
      </c>
      <c r="C400" s="23" t="s">
        <v>794</v>
      </c>
      <c r="D400" s="23" t="s">
        <v>6</v>
      </c>
      <c r="E400" s="424">
        <f>E401</f>
        <v>14435550</v>
      </c>
    </row>
    <row r="401" spans="1:5" ht="36.700000000000003" outlineLevel="6" x14ac:dyDescent="0.25">
      <c r="A401" s="24" t="s">
        <v>37</v>
      </c>
      <c r="B401" s="23" t="s">
        <v>72</v>
      </c>
      <c r="C401" s="23" t="s">
        <v>794</v>
      </c>
      <c r="D401" s="23" t="s">
        <v>38</v>
      </c>
      <c r="E401" s="424">
        <f>E402</f>
        <v>14435550</v>
      </c>
    </row>
    <row r="402" spans="1:5" outlineLevel="6" x14ac:dyDescent="0.25">
      <c r="A402" s="24" t="s">
        <v>74</v>
      </c>
      <c r="B402" s="23" t="s">
        <v>72</v>
      </c>
      <c r="C402" s="23" t="s">
        <v>794</v>
      </c>
      <c r="D402" s="23" t="s">
        <v>75</v>
      </c>
      <c r="E402" s="424">
        <f>'прил 7 '!F543</f>
        <v>14435550</v>
      </c>
    </row>
    <row r="403" spans="1:5" ht="42.45" customHeight="1" outlineLevel="6" x14ac:dyDescent="0.25">
      <c r="A403" s="40" t="s">
        <v>204</v>
      </c>
      <c r="B403" s="23" t="s">
        <v>72</v>
      </c>
      <c r="C403" s="23" t="s">
        <v>217</v>
      </c>
      <c r="D403" s="23" t="s">
        <v>6</v>
      </c>
      <c r="E403" s="424">
        <f>E404+E407+E413+E416+E410+E419+E422</f>
        <v>221200</v>
      </c>
    </row>
    <row r="404" spans="1:5" outlineLevel="6" x14ac:dyDescent="0.25">
      <c r="A404" s="24" t="s">
        <v>262</v>
      </c>
      <c r="B404" s="23" t="s">
        <v>72</v>
      </c>
      <c r="C404" s="23" t="s">
        <v>263</v>
      </c>
      <c r="D404" s="23" t="s">
        <v>6</v>
      </c>
      <c r="E404" s="424">
        <f>E405</f>
        <v>221200</v>
      </c>
    </row>
    <row r="405" spans="1:5" ht="36.700000000000003" outlineLevel="6" x14ac:dyDescent="0.25">
      <c r="A405" s="24" t="s">
        <v>37</v>
      </c>
      <c r="B405" s="23" t="s">
        <v>72</v>
      </c>
      <c r="C405" s="23" t="s">
        <v>263</v>
      </c>
      <c r="D405" s="23" t="s">
        <v>38</v>
      </c>
      <c r="E405" s="424">
        <f>E406</f>
        <v>221200</v>
      </c>
    </row>
    <row r="406" spans="1:5" outlineLevel="6" x14ac:dyDescent="0.25">
      <c r="A406" s="24" t="s">
        <v>74</v>
      </c>
      <c r="B406" s="23" t="s">
        <v>72</v>
      </c>
      <c r="C406" s="23" t="s">
        <v>263</v>
      </c>
      <c r="D406" s="23" t="s">
        <v>75</v>
      </c>
      <c r="E406" s="424">
        <f>'прил 7 '!F547</f>
        <v>221200</v>
      </c>
    </row>
    <row r="407" spans="1:5" hidden="1" outlineLevel="6" x14ac:dyDescent="0.25">
      <c r="A407" s="54" t="s">
        <v>300</v>
      </c>
      <c r="B407" s="23" t="s">
        <v>72</v>
      </c>
      <c r="C407" s="23" t="s">
        <v>301</v>
      </c>
      <c r="D407" s="23" t="s">
        <v>6</v>
      </c>
      <c r="E407" s="424">
        <f>E408</f>
        <v>0</v>
      </c>
    </row>
    <row r="408" spans="1:5" ht="36.700000000000003" hidden="1" outlineLevel="6" x14ac:dyDescent="0.25">
      <c r="A408" s="24" t="s">
        <v>37</v>
      </c>
      <c r="B408" s="23" t="s">
        <v>72</v>
      </c>
      <c r="C408" s="23" t="s">
        <v>301</v>
      </c>
      <c r="D408" s="23" t="s">
        <v>38</v>
      </c>
      <c r="E408" s="424">
        <f>E409</f>
        <v>0</v>
      </c>
    </row>
    <row r="409" spans="1:5" hidden="1" outlineLevel="6" x14ac:dyDescent="0.25">
      <c r="A409" s="24" t="s">
        <v>74</v>
      </c>
      <c r="B409" s="23" t="s">
        <v>72</v>
      </c>
      <c r="C409" s="23" t="s">
        <v>301</v>
      </c>
      <c r="D409" s="23" t="s">
        <v>75</v>
      </c>
      <c r="E409" s="424">
        <f>'прил 7 '!F550</f>
        <v>0</v>
      </c>
    </row>
    <row r="410" spans="1:5" ht="36.700000000000003" hidden="1" outlineLevel="6" x14ac:dyDescent="0.25">
      <c r="A410" s="40" t="s">
        <v>415</v>
      </c>
      <c r="B410" s="23" t="s">
        <v>72</v>
      </c>
      <c r="C410" s="23" t="s">
        <v>651</v>
      </c>
      <c r="D410" s="23" t="s">
        <v>6</v>
      </c>
      <c r="E410" s="424">
        <f>E411</f>
        <v>0</v>
      </c>
    </row>
    <row r="411" spans="1:5" ht="36.700000000000003" hidden="1" outlineLevel="6" x14ac:dyDescent="0.25">
      <c r="A411" s="24" t="s">
        <v>37</v>
      </c>
      <c r="B411" s="23" t="s">
        <v>72</v>
      </c>
      <c r="C411" s="23" t="s">
        <v>651</v>
      </c>
      <c r="D411" s="23" t="s">
        <v>38</v>
      </c>
      <c r="E411" s="424">
        <f>E412</f>
        <v>0</v>
      </c>
    </row>
    <row r="412" spans="1:5" hidden="1" outlineLevel="6" x14ac:dyDescent="0.25">
      <c r="A412" s="24" t="s">
        <v>74</v>
      </c>
      <c r="B412" s="23" t="s">
        <v>72</v>
      </c>
      <c r="C412" s="23" t="s">
        <v>651</v>
      </c>
      <c r="D412" s="23" t="s">
        <v>75</v>
      </c>
      <c r="E412" s="424">
        <f>'прил 7 '!F553</f>
        <v>0</v>
      </c>
    </row>
    <row r="413" spans="1:5" ht="36.700000000000003" hidden="1" outlineLevel="6" x14ac:dyDescent="0.25">
      <c r="A413" s="423" t="s">
        <v>950</v>
      </c>
      <c r="B413" s="23" t="s">
        <v>72</v>
      </c>
      <c r="C413" s="23" t="s">
        <v>540</v>
      </c>
      <c r="D413" s="23" t="s">
        <v>6</v>
      </c>
      <c r="E413" s="424">
        <f>E414</f>
        <v>0</v>
      </c>
    </row>
    <row r="414" spans="1:5" ht="36.700000000000003" hidden="1" outlineLevel="6" x14ac:dyDescent="0.25">
      <c r="A414" s="24" t="s">
        <v>37</v>
      </c>
      <c r="B414" s="23" t="s">
        <v>72</v>
      </c>
      <c r="C414" s="23" t="s">
        <v>540</v>
      </c>
      <c r="D414" s="23" t="s">
        <v>38</v>
      </c>
      <c r="E414" s="424">
        <f>E415</f>
        <v>0</v>
      </c>
    </row>
    <row r="415" spans="1:5" hidden="1" outlineLevel="6" x14ac:dyDescent="0.25">
      <c r="A415" s="24" t="s">
        <v>74</v>
      </c>
      <c r="B415" s="23" t="s">
        <v>72</v>
      </c>
      <c r="C415" s="23" t="s">
        <v>540</v>
      </c>
      <c r="D415" s="23" t="s">
        <v>75</v>
      </c>
      <c r="E415" s="424">
        <f>'прил 7 '!F556</f>
        <v>0</v>
      </c>
    </row>
    <row r="416" spans="1:5" ht="20.25" hidden="1" customHeight="1" outlineLevel="6" x14ac:dyDescent="0.25">
      <c r="A416" s="24" t="s">
        <v>407</v>
      </c>
      <c r="B416" s="23" t="s">
        <v>72</v>
      </c>
      <c r="C416" s="23" t="s">
        <v>408</v>
      </c>
      <c r="D416" s="23" t="s">
        <v>6</v>
      </c>
      <c r="E416" s="424">
        <f>E417</f>
        <v>0</v>
      </c>
    </row>
    <row r="417" spans="1:5" ht="39.25" hidden="1" customHeight="1" outlineLevel="6" x14ac:dyDescent="0.25">
      <c r="A417" s="24" t="s">
        <v>37</v>
      </c>
      <c r="B417" s="23" t="s">
        <v>72</v>
      </c>
      <c r="C417" s="23" t="s">
        <v>408</v>
      </c>
      <c r="D417" s="23" t="s">
        <v>38</v>
      </c>
      <c r="E417" s="424">
        <f>E418</f>
        <v>0</v>
      </c>
    </row>
    <row r="418" spans="1:5" ht="19.05" hidden="1" outlineLevel="6" thickBot="1" x14ac:dyDescent="0.3">
      <c r="A418" s="24" t="s">
        <v>74</v>
      </c>
      <c r="B418" s="23" t="s">
        <v>72</v>
      </c>
      <c r="C418" s="23" t="s">
        <v>408</v>
      </c>
      <c r="D418" s="23" t="s">
        <v>75</v>
      </c>
      <c r="E418" s="424">
        <f>'прил 7 '!F559</f>
        <v>0</v>
      </c>
    </row>
    <row r="419" spans="1:5" ht="53.7" hidden="1" customHeight="1" outlineLevel="6" thickBot="1" x14ac:dyDescent="0.3">
      <c r="A419" s="395" t="s">
        <v>806</v>
      </c>
      <c r="B419" s="23" t="s">
        <v>72</v>
      </c>
      <c r="C419" s="425" t="s">
        <v>807</v>
      </c>
      <c r="D419" s="23" t="s">
        <v>6</v>
      </c>
      <c r="E419" s="424">
        <f>E420</f>
        <v>0</v>
      </c>
    </row>
    <row r="420" spans="1:5" ht="36.700000000000003" hidden="1" outlineLevel="6" x14ac:dyDescent="0.25">
      <c r="A420" s="423" t="s">
        <v>37</v>
      </c>
      <c r="B420" s="23" t="s">
        <v>72</v>
      </c>
      <c r="C420" s="425" t="s">
        <v>807</v>
      </c>
      <c r="D420" s="23" t="s">
        <v>38</v>
      </c>
      <c r="E420" s="424">
        <f>E421</f>
        <v>0</v>
      </c>
    </row>
    <row r="421" spans="1:5" ht="19.05" hidden="1" outlineLevel="6" thickBot="1" x14ac:dyDescent="0.3">
      <c r="A421" s="423" t="s">
        <v>74</v>
      </c>
      <c r="B421" s="23" t="s">
        <v>72</v>
      </c>
      <c r="C421" s="425" t="s">
        <v>807</v>
      </c>
      <c r="D421" s="23" t="s">
        <v>75</v>
      </c>
      <c r="E421" s="424">
        <f>'прил 7 '!F562</f>
        <v>0</v>
      </c>
    </row>
    <row r="422" spans="1:5" ht="55.7" hidden="1" outlineLevel="6" thickBot="1" x14ac:dyDescent="0.3">
      <c r="A422" s="154" t="s">
        <v>806</v>
      </c>
      <c r="B422" s="23" t="s">
        <v>72</v>
      </c>
      <c r="C422" s="23" t="s">
        <v>807</v>
      </c>
      <c r="D422" s="23" t="s">
        <v>6</v>
      </c>
      <c r="E422" s="424">
        <f>E423</f>
        <v>0</v>
      </c>
    </row>
    <row r="423" spans="1:5" ht="36.700000000000003" hidden="1" outlineLevel="6" x14ac:dyDescent="0.25">
      <c r="A423" s="24" t="s">
        <v>37</v>
      </c>
      <c r="B423" s="23" t="s">
        <v>72</v>
      </c>
      <c r="C423" s="23" t="s">
        <v>807</v>
      </c>
      <c r="D423" s="23" t="s">
        <v>38</v>
      </c>
      <c r="E423" s="424">
        <f>E424</f>
        <v>0</v>
      </c>
    </row>
    <row r="424" spans="1:5" hidden="1" outlineLevel="6" x14ac:dyDescent="0.25">
      <c r="A424" s="24" t="s">
        <v>74</v>
      </c>
      <c r="B424" s="23" t="s">
        <v>72</v>
      </c>
      <c r="C424" s="23" t="s">
        <v>807</v>
      </c>
      <c r="D424" s="23" t="s">
        <v>75</v>
      </c>
      <c r="E424" s="424"/>
    </row>
    <row r="425" spans="1:5" ht="36.700000000000003" outlineLevel="6" x14ac:dyDescent="0.25">
      <c r="A425" s="40" t="s">
        <v>267</v>
      </c>
      <c r="B425" s="23" t="s">
        <v>72</v>
      </c>
      <c r="C425" s="23" t="s">
        <v>220</v>
      </c>
      <c r="D425" s="23" t="s">
        <v>6</v>
      </c>
      <c r="E425" s="424">
        <f>E426+E429</f>
        <v>8647450</v>
      </c>
    </row>
    <row r="426" spans="1:5" ht="55.05" outlineLevel="6" x14ac:dyDescent="0.25">
      <c r="A426" s="55" t="s">
        <v>942</v>
      </c>
      <c r="B426" s="23" t="s">
        <v>72</v>
      </c>
      <c r="C426" s="23" t="s">
        <v>596</v>
      </c>
      <c r="D426" s="23" t="s">
        <v>6</v>
      </c>
      <c r="E426" s="424">
        <f>E427</f>
        <v>8225450</v>
      </c>
    </row>
    <row r="427" spans="1:5" ht="36.700000000000003" outlineLevel="6" x14ac:dyDescent="0.25">
      <c r="A427" s="24" t="s">
        <v>37</v>
      </c>
      <c r="B427" s="23" t="s">
        <v>72</v>
      </c>
      <c r="C427" s="23" t="s">
        <v>596</v>
      </c>
      <c r="D427" s="23" t="s">
        <v>38</v>
      </c>
      <c r="E427" s="424">
        <f>E428</f>
        <v>8225450</v>
      </c>
    </row>
    <row r="428" spans="1:5" ht="18.7" customHeight="1" outlineLevel="6" x14ac:dyDescent="0.25">
      <c r="A428" s="24" t="s">
        <v>74</v>
      </c>
      <c r="B428" s="23" t="s">
        <v>72</v>
      </c>
      <c r="C428" s="23" t="s">
        <v>596</v>
      </c>
      <c r="D428" s="23" t="s">
        <v>75</v>
      </c>
      <c r="E428" s="424">
        <f>'прил 7 '!F566</f>
        <v>8225450</v>
      </c>
    </row>
    <row r="429" spans="1:5" ht="54.35" customHeight="1" outlineLevel="6" x14ac:dyDescent="0.25">
      <c r="A429" s="412" t="s">
        <v>1057</v>
      </c>
      <c r="B429" s="425" t="s">
        <v>72</v>
      </c>
      <c r="C429" s="425" t="s">
        <v>1058</v>
      </c>
      <c r="D429" s="425" t="s">
        <v>6</v>
      </c>
      <c r="E429" s="424">
        <f>E430</f>
        <v>422000</v>
      </c>
    </row>
    <row r="430" spans="1:5" ht="18.7" customHeight="1" outlineLevel="6" x14ac:dyDescent="0.25">
      <c r="A430" s="423" t="s">
        <v>37</v>
      </c>
      <c r="B430" s="425" t="s">
        <v>72</v>
      </c>
      <c r="C430" s="425" t="s">
        <v>1058</v>
      </c>
      <c r="D430" s="425" t="s">
        <v>38</v>
      </c>
      <c r="E430" s="424">
        <f>E431</f>
        <v>422000</v>
      </c>
    </row>
    <row r="431" spans="1:5" ht="18.7" customHeight="1" outlineLevel="6" x14ac:dyDescent="0.25">
      <c r="A431" s="423" t="s">
        <v>74</v>
      </c>
      <c r="B431" s="425" t="s">
        <v>72</v>
      </c>
      <c r="C431" s="425" t="s">
        <v>1058</v>
      </c>
      <c r="D431" s="425" t="s">
        <v>75</v>
      </c>
      <c r="E431" s="424">
        <f>'прил 7 '!F569</f>
        <v>422000</v>
      </c>
    </row>
    <row r="432" spans="1:5" ht="18.7" customHeight="1" outlineLevel="6" x14ac:dyDescent="0.25">
      <c r="A432" s="604" t="s">
        <v>880</v>
      </c>
      <c r="B432" s="425" t="s">
        <v>72</v>
      </c>
      <c r="C432" s="425" t="s">
        <v>302</v>
      </c>
      <c r="D432" s="401" t="s">
        <v>6</v>
      </c>
      <c r="E432" s="424">
        <f>E433</f>
        <v>2992959.54</v>
      </c>
    </row>
    <row r="433" spans="1:5" ht="72" customHeight="1" outlineLevel="6" x14ac:dyDescent="0.25">
      <c r="A433" s="7" t="s">
        <v>964</v>
      </c>
      <c r="B433" s="425" t="s">
        <v>72</v>
      </c>
      <c r="C433" s="425" t="s">
        <v>969</v>
      </c>
      <c r="D433" s="401" t="s">
        <v>6</v>
      </c>
      <c r="E433" s="424">
        <f>E434</f>
        <v>2992959.54</v>
      </c>
    </row>
    <row r="434" spans="1:5" ht="39.6" customHeight="1" outlineLevel="6" x14ac:dyDescent="0.25">
      <c r="A434" s="423" t="s">
        <v>37</v>
      </c>
      <c r="B434" s="425" t="s">
        <v>72</v>
      </c>
      <c r="C434" s="425" t="s">
        <v>969</v>
      </c>
      <c r="D434" s="401" t="s">
        <v>38</v>
      </c>
      <c r="E434" s="424">
        <f>E435</f>
        <v>2992959.54</v>
      </c>
    </row>
    <row r="435" spans="1:5" ht="18.7" customHeight="1" outlineLevel="6" x14ac:dyDescent="0.25">
      <c r="A435" s="423" t="s">
        <v>74</v>
      </c>
      <c r="B435" s="425" t="s">
        <v>72</v>
      </c>
      <c r="C435" s="425" t="s">
        <v>969</v>
      </c>
      <c r="D435" s="401" t="s">
        <v>75</v>
      </c>
      <c r="E435" s="424">
        <f>'прил 7 '!F573</f>
        <v>2992959.54</v>
      </c>
    </row>
    <row r="436" spans="1:5" ht="36.700000000000003" outlineLevel="6" x14ac:dyDescent="0.3">
      <c r="A436" s="603" t="s">
        <v>995</v>
      </c>
      <c r="B436" s="23" t="s">
        <v>72</v>
      </c>
      <c r="C436" s="23" t="s">
        <v>997</v>
      </c>
      <c r="D436" s="23" t="s">
        <v>6</v>
      </c>
      <c r="E436" s="424">
        <f>E437</f>
        <v>4081377.3</v>
      </c>
    </row>
    <row r="437" spans="1:5" ht="73.400000000000006" outlineLevel="6" x14ac:dyDescent="0.3">
      <c r="A437" s="411" t="s">
        <v>996</v>
      </c>
      <c r="B437" s="23" t="s">
        <v>72</v>
      </c>
      <c r="C437" s="23" t="s">
        <v>997</v>
      </c>
      <c r="D437" s="23" t="s">
        <v>6</v>
      </c>
      <c r="E437" s="424">
        <f>E438</f>
        <v>4081377.3</v>
      </c>
    </row>
    <row r="438" spans="1:5" ht="36.700000000000003" outlineLevel="6" x14ac:dyDescent="0.25">
      <c r="A438" s="24" t="s">
        <v>37</v>
      </c>
      <c r="B438" s="23" t="s">
        <v>72</v>
      </c>
      <c r="C438" s="23" t="s">
        <v>997</v>
      </c>
      <c r="D438" s="23" t="s">
        <v>38</v>
      </c>
      <c r="E438" s="424">
        <f>E439</f>
        <v>4081377.3</v>
      </c>
    </row>
    <row r="439" spans="1:5" outlineLevel="6" x14ac:dyDescent="0.25">
      <c r="A439" s="24" t="s">
        <v>74</v>
      </c>
      <c r="B439" s="23" t="s">
        <v>72</v>
      </c>
      <c r="C439" s="23" t="s">
        <v>997</v>
      </c>
      <c r="D439" s="23" t="s">
        <v>75</v>
      </c>
      <c r="E439" s="424">
        <f>'прил 7 '!F577</f>
        <v>4081377.3</v>
      </c>
    </row>
    <row r="440" spans="1:5" outlineLevel="6" x14ac:dyDescent="0.25">
      <c r="A440" s="24" t="s">
        <v>251</v>
      </c>
      <c r="B440" s="23" t="s">
        <v>250</v>
      </c>
      <c r="C440" s="23" t="s">
        <v>126</v>
      </c>
      <c r="D440" s="23" t="s">
        <v>6</v>
      </c>
      <c r="E440" s="424">
        <f>E441+E458</f>
        <v>51879442.170000002</v>
      </c>
    </row>
    <row r="441" spans="1:5" ht="36.700000000000003" outlineLevel="6" x14ac:dyDescent="0.25">
      <c r="A441" s="37" t="s">
        <v>1169</v>
      </c>
      <c r="B441" s="38" t="s">
        <v>250</v>
      </c>
      <c r="C441" s="38" t="s">
        <v>138</v>
      </c>
      <c r="D441" s="38" t="s">
        <v>6</v>
      </c>
      <c r="E441" s="424">
        <f>E442</f>
        <v>28502775.140000001</v>
      </c>
    </row>
    <row r="442" spans="1:5" ht="36.700000000000003" outlineLevel="3" x14ac:dyDescent="0.25">
      <c r="A442" s="24" t="s">
        <v>1018</v>
      </c>
      <c r="B442" s="23" t="s">
        <v>250</v>
      </c>
      <c r="C442" s="23" t="s">
        <v>149</v>
      </c>
      <c r="D442" s="23" t="s">
        <v>6</v>
      </c>
      <c r="E442" s="424">
        <f>E443+E447+E454</f>
        <v>28502775.140000001</v>
      </c>
    </row>
    <row r="443" spans="1:5" ht="36.700000000000003" outlineLevel="4" x14ac:dyDescent="0.25">
      <c r="A443" s="42" t="s">
        <v>205</v>
      </c>
      <c r="B443" s="23" t="s">
        <v>250</v>
      </c>
      <c r="C443" s="23" t="s">
        <v>221</v>
      </c>
      <c r="D443" s="23" t="s">
        <v>6</v>
      </c>
      <c r="E443" s="424">
        <f>E444</f>
        <v>26734985.140000001</v>
      </c>
    </row>
    <row r="444" spans="1:5" ht="55.05" outlineLevel="5" x14ac:dyDescent="0.25">
      <c r="A444" s="24" t="s">
        <v>115</v>
      </c>
      <c r="B444" s="23" t="s">
        <v>250</v>
      </c>
      <c r="C444" s="23" t="s">
        <v>151</v>
      </c>
      <c r="D444" s="23" t="s">
        <v>6</v>
      </c>
      <c r="E444" s="424">
        <f>E445</f>
        <v>26734985.140000001</v>
      </c>
    </row>
    <row r="445" spans="1:5" ht="36.700000000000003" outlineLevel="6" x14ac:dyDescent="0.25">
      <c r="A445" s="24" t="s">
        <v>37</v>
      </c>
      <c r="B445" s="23" t="s">
        <v>250</v>
      </c>
      <c r="C445" s="23" t="s">
        <v>151</v>
      </c>
      <c r="D445" s="23" t="s">
        <v>38</v>
      </c>
      <c r="E445" s="424">
        <f>E446</f>
        <v>26734985.140000001</v>
      </c>
    </row>
    <row r="446" spans="1:5" outlineLevel="6" x14ac:dyDescent="0.25">
      <c r="A446" s="24" t="s">
        <v>74</v>
      </c>
      <c r="B446" s="23" t="s">
        <v>250</v>
      </c>
      <c r="C446" s="23" t="s">
        <v>151</v>
      </c>
      <c r="D446" s="23" t="s">
        <v>75</v>
      </c>
      <c r="E446" s="424">
        <f>'прил 7 '!F584</f>
        <v>26734985.140000001</v>
      </c>
    </row>
    <row r="447" spans="1:5" ht="36.700000000000003" outlineLevel="5" x14ac:dyDescent="0.25">
      <c r="A447" s="40" t="s">
        <v>377</v>
      </c>
      <c r="B447" s="23" t="s">
        <v>250</v>
      </c>
      <c r="C447" s="23" t="s">
        <v>222</v>
      </c>
      <c r="D447" s="23" t="s">
        <v>6</v>
      </c>
      <c r="E447" s="424">
        <f>E448+E451</f>
        <v>31600</v>
      </c>
    </row>
    <row r="448" spans="1:5" outlineLevel="6" x14ac:dyDescent="0.25">
      <c r="A448" s="24" t="s">
        <v>262</v>
      </c>
      <c r="B448" s="23" t="s">
        <v>250</v>
      </c>
      <c r="C448" s="23" t="s">
        <v>280</v>
      </c>
      <c r="D448" s="23" t="s">
        <v>6</v>
      </c>
      <c r="E448" s="424">
        <f>E449</f>
        <v>31600</v>
      </c>
    </row>
    <row r="449" spans="1:5" ht="36.700000000000003" outlineLevel="6" x14ac:dyDescent="0.25">
      <c r="A449" s="24" t="s">
        <v>37</v>
      </c>
      <c r="B449" s="23" t="s">
        <v>250</v>
      </c>
      <c r="C449" s="23" t="s">
        <v>280</v>
      </c>
      <c r="D449" s="23" t="s">
        <v>38</v>
      </c>
      <c r="E449" s="424">
        <f>E450</f>
        <v>31600</v>
      </c>
    </row>
    <row r="450" spans="1:5" outlineLevel="6" x14ac:dyDescent="0.25">
      <c r="A450" s="24" t="s">
        <v>74</v>
      </c>
      <c r="B450" s="23" t="s">
        <v>250</v>
      </c>
      <c r="C450" s="23" t="s">
        <v>280</v>
      </c>
      <c r="D450" s="23" t="s">
        <v>75</v>
      </c>
      <c r="E450" s="424">
        <f>'прил 7 '!F588</f>
        <v>31600</v>
      </c>
    </row>
    <row r="451" spans="1:5" hidden="1" outlineLevel="6" x14ac:dyDescent="0.25">
      <c r="A451" s="54" t="s">
        <v>300</v>
      </c>
      <c r="B451" s="23" t="s">
        <v>250</v>
      </c>
      <c r="C451" s="23" t="s">
        <v>666</v>
      </c>
      <c r="D451" s="23" t="s">
        <v>6</v>
      </c>
      <c r="E451" s="424">
        <f>E452</f>
        <v>0</v>
      </c>
    </row>
    <row r="452" spans="1:5" ht="23.3" hidden="1" customHeight="1" outlineLevel="6" x14ac:dyDescent="0.25">
      <c r="A452" s="24" t="s">
        <v>37</v>
      </c>
      <c r="B452" s="23" t="s">
        <v>250</v>
      </c>
      <c r="C452" s="23" t="s">
        <v>666</v>
      </c>
      <c r="D452" s="23" t="s">
        <v>38</v>
      </c>
      <c r="E452" s="424">
        <f>E453</f>
        <v>0</v>
      </c>
    </row>
    <row r="453" spans="1:5" ht="18" hidden="1" customHeight="1" outlineLevel="6" x14ac:dyDescent="0.25">
      <c r="A453" s="24" t="s">
        <v>74</v>
      </c>
      <c r="B453" s="23" t="s">
        <v>250</v>
      </c>
      <c r="C453" s="23" t="s">
        <v>666</v>
      </c>
      <c r="D453" s="23" t="s">
        <v>75</v>
      </c>
      <c r="E453" s="424">
        <f>'прил 7 '!F591</f>
        <v>0</v>
      </c>
    </row>
    <row r="454" spans="1:5" ht="44.85" customHeight="1" outlineLevel="6" x14ac:dyDescent="0.25">
      <c r="A454" s="423" t="s">
        <v>1087</v>
      </c>
      <c r="B454" s="425" t="s">
        <v>250</v>
      </c>
      <c r="C454" s="425" t="s">
        <v>1088</v>
      </c>
      <c r="D454" s="425" t="s">
        <v>6</v>
      </c>
      <c r="E454" s="424">
        <f>E455</f>
        <v>1736190</v>
      </c>
    </row>
    <row r="455" spans="1:5" ht="60.45" customHeight="1" outlineLevel="6" x14ac:dyDescent="0.25">
      <c r="A455" s="423" t="s">
        <v>1089</v>
      </c>
      <c r="B455" s="425" t="s">
        <v>250</v>
      </c>
      <c r="C455" s="425" t="s">
        <v>1090</v>
      </c>
      <c r="D455" s="425" t="s">
        <v>6</v>
      </c>
      <c r="E455" s="424">
        <f>E456</f>
        <v>1736190</v>
      </c>
    </row>
    <row r="456" spans="1:5" ht="44.85" customHeight="1" outlineLevel="6" x14ac:dyDescent="0.25">
      <c r="A456" s="423" t="s">
        <v>37</v>
      </c>
      <c r="B456" s="425" t="s">
        <v>250</v>
      </c>
      <c r="C456" s="425" t="s">
        <v>1090</v>
      </c>
      <c r="D456" s="425" t="s">
        <v>38</v>
      </c>
      <c r="E456" s="424">
        <f>E457</f>
        <v>1736190</v>
      </c>
    </row>
    <row r="457" spans="1:5" ht="32.950000000000003" customHeight="1" outlineLevel="6" x14ac:dyDescent="0.25">
      <c r="A457" s="423" t="s">
        <v>74</v>
      </c>
      <c r="B457" s="425" t="s">
        <v>250</v>
      </c>
      <c r="C457" s="425" t="s">
        <v>1090</v>
      </c>
      <c r="D457" s="425" t="s">
        <v>75</v>
      </c>
      <c r="E457" s="424">
        <f>'прил 7 '!F598</f>
        <v>1736190</v>
      </c>
    </row>
    <row r="458" spans="1:5" ht="36.700000000000003" outlineLevel="6" x14ac:dyDescent="0.25">
      <c r="A458" s="37" t="s">
        <v>1178</v>
      </c>
      <c r="B458" s="23" t="s">
        <v>250</v>
      </c>
      <c r="C458" s="23" t="s">
        <v>136</v>
      </c>
      <c r="D458" s="23" t="s">
        <v>6</v>
      </c>
      <c r="E458" s="424">
        <f>E459</f>
        <v>23376667.030000001</v>
      </c>
    </row>
    <row r="459" spans="1:5" ht="45" customHeight="1" outlineLevel="6" x14ac:dyDescent="0.25">
      <c r="A459" s="24" t="s">
        <v>351</v>
      </c>
      <c r="B459" s="23" t="s">
        <v>250</v>
      </c>
      <c r="C459" s="23" t="s">
        <v>225</v>
      </c>
      <c r="D459" s="23" t="s">
        <v>6</v>
      </c>
      <c r="E459" s="424">
        <f>E460</f>
        <v>23376667.030000001</v>
      </c>
    </row>
    <row r="460" spans="1:5" ht="41.3" customHeight="1" outlineLevel="6" x14ac:dyDescent="0.25">
      <c r="A460" s="24" t="s">
        <v>73</v>
      </c>
      <c r="B460" s="23" t="s">
        <v>250</v>
      </c>
      <c r="C460" s="23" t="s">
        <v>137</v>
      </c>
      <c r="D460" s="23" t="s">
        <v>6</v>
      </c>
      <c r="E460" s="424">
        <f>E461</f>
        <v>23376667.030000001</v>
      </c>
    </row>
    <row r="461" spans="1:5" ht="36.700000000000003" outlineLevel="6" x14ac:dyDescent="0.25">
      <c r="A461" s="24" t="s">
        <v>37</v>
      </c>
      <c r="B461" s="23" t="s">
        <v>250</v>
      </c>
      <c r="C461" s="23" t="s">
        <v>137</v>
      </c>
      <c r="D461" s="23" t="s">
        <v>38</v>
      </c>
      <c r="E461" s="424">
        <f>E462</f>
        <v>23376667.030000001</v>
      </c>
    </row>
    <row r="462" spans="1:5" ht="18" customHeight="1" outlineLevel="6" x14ac:dyDescent="0.25">
      <c r="A462" s="24" t="s">
        <v>74</v>
      </c>
      <c r="B462" s="23" t="s">
        <v>250</v>
      </c>
      <c r="C462" s="23" t="s">
        <v>137</v>
      </c>
      <c r="D462" s="23" t="s">
        <v>75</v>
      </c>
      <c r="E462" s="424">
        <f>'прил 7 '!F349</f>
        <v>23376667.030000001</v>
      </c>
    </row>
    <row r="463" spans="1:5" outlineLevel="1" x14ac:dyDescent="0.25">
      <c r="A463" s="24" t="s">
        <v>1073</v>
      </c>
      <c r="B463" s="23" t="s">
        <v>77</v>
      </c>
      <c r="C463" s="23" t="s">
        <v>126</v>
      </c>
      <c r="D463" s="23" t="s">
        <v>6</v>
      </c>
      <c r="E463" s="424">
        <f>E464</f>
        <v>195000</v>
      </c>
    </row>
    <row r="464" spans="1:5" s="90" customFormat="1" ht="36.700000000000003" outlineLevel="2" x14ac:dyDescent="0.25">
      <c r="A464" s="37" t="s">
        <v>1169</v>
      </c>
      <c r="B464" s="38" t="s">
        <v>77</v>
      </c>
      <c r="C464" s="38" t="s">
        <v>138</v>
      </c>
      <c r="D464" s="38" t="s">
        <v>6</v>
      </c>
      <c r="E464" s="28">
        <f>E465+E470</f>
        <v>195000</v>
      </c>
    </row>
    <row r="465" spans="1:5" ht="36.700000000000003" outlineLevel="3" x14ac:dyDescent="0.25">
      <c r="A465" s="24" t="s">
        <v>1040</v>
      </c>
      <c r="B465" s="23" t="s">
        <v>77</v>
      </c>
      <c r="C465" s="23" t="s">
        <v>146</v>
      </c>
      <c r="D465" s="23" t="s">
        <v>6</v>
      </c>
      <c r="E465" s="424">
        <f>E466</f>
        <v>70000</v>
      </c>
    </row>
    <row r="466" spans="1:5" ht="43.5" customHeight="1" outlineLevel="3" x14ac:dyDescent="0.25">
      <c r="A466" s="40" t="s">
        <v>204</v>
      </c>
      <c r="B466" s="23" t="s">
        <v>77</v>
      </c>
      <c r="C466" s="23" t="s">
        <v>217</v>
      </c>
      <c r="D466" s="23" t="s">
        <v>6</v>
      </c>
      <c r="E466" s="424">
        <f>E467</f>
        <v>70000</v>
      </c>
    </row>
    <row r="467" spans="1:5" outlineLevel="3" x14ac:dyDescent="0.25">
      <c r="A467" s="24" t="s">
        <v>395</v>
      </c>
      <c r="B467" s="23" t="s">
        <v>77</v>
      </c>
      <c r="C467" s="23" t="s">
        <v>232</v>
      </c>
      <c r="D467" s="23" t="s">
        <v>6</v>
      </c>
      <c r="E467" s="424">
        <f>E468</f>
        <v>70000</v>
      </c>
    </row>
    <row r="468" spans="1:5" ht="17.5" customHeight="1" outlineLevel="3" x14ac:dyDescent="0.25">
      <c r="A468" s="24" t="s">
        <v>15</v>
      </c>
      <c r="B468" s="23" t="s">
        <v>77</v>
      </c>
      <c r="C468" s="23" t="s">
        <v>232</v>
      </c>
      <c r="D468" s="23" t="s">
        <v>16</v>
      </c>
      <c r="E468" s="424">
        <f>E469</f>
        <v>70000</v>
      </c>
    </row>
    <row r="469" spans="1:5" ht="21.25" customHeight="1" outlineLevel="4" x14ac:dyDescent="0.25">
      <c r="A469" s="24" t="s">
        <v>17</v>
      </c>
      <c r="B469" s="23" t="s">
        <v>77</v>
      </c>
      <c r="C469" s="23" t="s">
        <v>232</v>
      </c>
      <c r="D469" s="23" t="s">
        <v>18</v>
      </c>
      <c r="E469" s="424">
        <f>'прил 7 '!F605</f>
        <v>70000</v>
      </c>
    </row>
    <row r="470" spans="1:5" outlineLevel="6" x14ac:dyDescent="0.25">
      <c r="A470" s="423" t="s">
        <v>234</v>
      </c>
      <c r="B470" s="23" t="s">
        <v>77</v>
      </c>
      <c r="C470" s="23" t="s">
        <v>233</v>
      </c>
      <c r="D470" s="23" t="s">
        <v>6</v>
      </c>
      <c r="E470" s="424">
        <f>E471</f>
        <v>125000</v>
      </c>
    </row>
    <row r="471" spans="1:5" outlineLevel="6" x14ac:dyDescent="0.25">
      <c r="A471" s="24" t="s">
        <v>78</v>
      </c>
      <c r="B471" s="23" t="s">
        <v>77</v>
      </c>
      <c r="C471" s="23" t="s">
        <v>153</v>
      </c>
      <c r="D471" s="23" t="s">
        <v>6</v>
      </c>
      <c r="E471" s="424">
        <f>E472</f>
        <v>125000</v>
      </c>
    </row>
    <row r="472" spans="1:5" ht="18" customHeight="1" outlineLevel="6" x14ac:dyDescent="0.25">
      <c r="A472" s="24" t="s">
        <v>15</v>
      </c>
      <c r="B472" s="23" t="s">
        <v>77</v>
      </c>
      <c r="C472" s="23" t="s">
        <v>153</v>
      </c>
      <c r="D472" s="23" t="s">
        <v>16</v>
      </c>
      <c r="E472" s="424">
        <f>E473</f>
        <v>125000</v>
      </c>
    </row>
    <row r="473" spans="1:5" ht="21.75" customHeight="1" outlineLevel="6" x14ac:dyDescent="0.25">
      <c r="A473" s="24" t="s">
        <v>17</v>
      </c>
      <c r="B473" s="23" t="s">
        <v>77</v>
      </c>
      <c r="C473" s="23" t="s">
        <v>153</v>
      </c>
      <c r="D473" s="23" t="s">
        <v>18</v>
      </c>
      <c r="E473" s="424">
        <f>'прил 7 '!F609</f>
        <v>125000</v>
      </c>
    </row>
    <row r="474" spans="1:5" outlineLevel="1" x14ac:dyDescent="0.25">
      <c r="A474" s="24" t="s">
        <v>116</v>
      </c>
      <c r="B474" s="23" t="s">
        <v>117</v>
      </c>
      <c r="C474" s="23" t="s">
        <v>126</v>
      </c>
      <c r="D474" s="23" t="s">
        <v>6</v>
      </c>
      <c r="E474" s="424">
        <f>E475</f>
        <v>30670080</v>
      </c>
    </row>
    <row r="475" spans="1:5" ht="36.700000000000003" outlineLevel="2" x14ac:dyDescent="0.25">
      <c r="A475" s="37" t="s">
        <v>1170</v>
      </c>
      <c r="B475" s="38" t="s">
        <v>117</v>
      </c>
      <c r="C475" s="38" t="s">
        <v>138</v>
      </c>
      <c r="D475" s="38" t="s">
        <v>6</v>
      </c>
      <c r="E475" s="424">
        <f>E476+E494</f>
        <v>30670080</v>
      </c>
    </row>
    <row r="476" spans="1:5" ht="36.700000000000003" outlineLevel="4" x14ac:dyDescent="0.25">
      <c r="A476" s="40" t="s">
        <v>206</v>
      </c>
      <c r="B476" s="23" t="s">
        <v>117</v>
      </c>
      <c r="C476" s="23" t="s">
        <v>223</v>
      </c>
      <c r="D476" s="23" t="s">
        <v>6</v>
      </c>
      <c r="E476" s="424">
        <f>E477+E484+E491</f>
        <v>26621706</v>
      </c>
    </row>
    <row r="477" spans="1:5" ht="39.75" customHeight="1" outlineLevel="5" x14ac:dyDescent="0.25">
      <c r="A477" s="24" t="s">
        <v>449</v>
      </c>
      <c r="B477" s="23" t="s">
        <v>117</v>
      </c>
      <c r="C477" s="23" t="s">
        <v>489</v>
      </c>
      <c r="D477" s="23" t="s">
        <v>6</v>
      </c>
      <c r="E477" s="424">
        <f>E478+E480+E482</f>
        <v>6139000</v>
      </c>
    </row>
    <row r="478" spans="1:5" ht="73.400000000000006" outlineLevel="6" x14ac:dyDescent="0.25">
      <c r="A478" s="24" t="s">
        <v>11</v>
      </c>
      <c r="B478" s="23" t="s">
        <v>117</v>
      </c>
      <c r="C478" s="23" t="s">
        <v>489</v>
      </c>
      <c r="D478" s="23" t="s">
        <v>12</v>
      </c>
      <c r="E478" s="424">
        <f>E479</f>
        <v>5859000</v>
      </c>
    </row>
    <row r="479" spans="1:5" ht="18" customHeight="1" outlineLevel="5" x14ac:dyDescent="0.25">
      <c r="A479" s="24" t="s">
        <v>13</v>
      </c>
      <c r="B479" s="23" t="s">
        <v>117</v>
      </c>
      <c r="C479" s="23" t="s">
        <v>489</v>
      </c>
      <c r="D479" s="23" t="s">
        <v>14</v>
      </c>
      <c r="E479" s="424">
        <f>'прил 7 '!F615</f>
        <v>5859000</v>
      </c>
    </row>
    <row r="480" spans="1:5" ht="18" customHeight="1" outlineLevel="6" x14ac:dyDescent="0.25">
      <c r="A480" s="24" t="s">
        <v>15</v>
      </c>
      <c r="B480" s="23" t="s">
        <v>117</v>
      </c>
      <c r="C480" s="23" t="s">
        <v>489</v>
      </c>
      <c r="D480" s="23" t="s">
        <v>16</v>
      </c>
      <c r="E480" s="424">
        <f>E481</f>
        <v>280000</v>
      </c>
    </row>
    <row r="481" spans="1:5" ht="18" customHeight="1" outlineLevel="6" x14ac:dyDescent="0.25">
      <c r="A481" s="24" t="s">
        <v>17</v>
      </c>
      <c r="B481" s="23" t="s">
        <v>117</v>
      </c>
      <c r="C481" s="23" t="s">
        <v>489</v>
      </c>
      <c r="D481" s="23" t="s">
        <v>18</v>
      </c>
      <c r="E481" s="424">
        <f>'прил 7 '!F617</f>
        <v>280000</v>
      </c>
    </row>
    <row r="482" spans="1:5" hidden="1" outlineLevel="6" x14ac:dyDescent="0.25">
      <c r="A482" s="24" t="s">
        <v>19</v>
      </c>
      <c r="B482" s="23" t="s">
        <v>117</v>
      </c>
      <c r="C482" s="23" t="s">
        <v>489</v>
      </c>
      <c r="D482" s="23" t="s">
        <v>20</v>
      </c>
      <c r="E482" s="424">
        <f>E483</f>
        <v>0</v>
      </c>
    </row>
    <row r="483" spans="1:5" hidden="1" outlineLevel="4" x14ac:dyDescent="0.25">
      <c r="A483" s="24" t="s">
        <v>21</v>
      </c>
      <c r="B483" s="23" t="s">
        <v>117</v>
      </c>
      <c r="C483" s="23" t="s">
        <v>489</v>
      </c>
      <c r="D483" s="23" t="s">
        <v>22</v>
      </c>
      <c r="E483" s="424">
        <f>'прил 7 '!F619</f>
        <v>0</v>
      </c>
    </row>
    <row r="484" spans="1:5" ht="36.700000000000003" outlineLevel="5" x14ac:dyDescent="0.25">
      <c r="A484" s="24" t="s">
        <v>33</v>
      </c>
      <c r="B484" s="23" t="s">
        <v>117</v>
      </c>
      <c r="C484" s="23" t="s">
        <v>154</v>
      </c>
      <c r="D484" s="23" t="s">
        <v>6</v>
      </c>
      <c r="E484" s="424">
        <f>E485+E487+E489</f>
        <v>17608682</v>
      </c>
    </row>
    <row r="485" spans="1:5" ht="73.400000000000006" outlineLevel="6" x14ac:dyDescent="0.25">
      <c r="A485" s="24" t="s">
        <v>11</v>
      </c>
      <c r="B485" s="23" t="s">
        <v>117</v>
      </c>
      <c r="C485" s="23" t="s">
        <v>154</v>
      </c>
      <c r="D485" s="23" t="s">
        <v>12</v>
      </c>
      <c r="E485" s="424">
        <f>E486</f>
        <v>14549508</v>
      </c>
    </row>
    <row r="486" spans="1:5" outlineLevel="5" x14ac:dyDescent="0.25">
      <c r="A486" s="24" t="s">
        <v>34</v>
      </c>
      <c r="B486" s="23" t="s">
        <v>117</v>
      </c>
      <c r="C486" s="23" t="s">
        <v>154</v>
      </c>
      <c r="D486" s="23" t="s">
        <v>35</v>
      </c>
      <c r="E486" s="424">
        <f>'прил 7 '!F622</f>
        <v>14549508</v>
      </c>
    </row>
    <row r="487" spans="1:5" ht="16.5" customHeight="1" outlineLevel="6" x14ac:dyDescent="0.25">
      <c r="A487" s="24" t="s">
        <v>15</v>
      </c>
      <c r="B487" s="23" t="s">
        <v>117</v>
      </c>
      <c r="C487" s="23" t="s">
        <v>154</v>
      </c>
      <c r="D487" s="23" t="s">
        <v>16</v>
      </c>
      <c r="E487" s="424">
        <f>E488</f>
        <v>3027694</v>
      </c>
    </row>
    <row r="488" spans="1:5" ht="20.25" customHeight="1" outlineLevel="6" x14ac:dyDescent="0.25">
      <c r="A488" s="24" t="s">
        <v>17</v>
      </c>
      <c r="B488" s="23" t="s">
        <v>117</v>
      </c>
      <c r="C488" s="23" t="s">
        <v>154</v>
      </c>
      <c r="D488" s="23" t="s">
        <v>18</v>
      </c>
      <c r="E488" s="424">
        <f>'прил 7 '!F624</f>
        <v>3027694</v>
      </c>
    </row>
    <row r="489" spans="1:5" outlineLevel="6" x14ac:dyDescent="0.25">
      <c r="A489" s="24" t="s">
        <v>19</v>
      </c>
      <c r="B489" s="23" t="s">
        <v>117</v>
      </c>
      <c r="C489" s="23" t="s">
        <v>154</v>
      </c>
      <c r="D489" s="23" t="s">
        <v>20</v>
      </c>
      <c r="E489" s="424">
        <f>E490</f>
        <v>31480</v>
      </c>
    </row>
    <row r="490" spans="1:5" outlineLevel="6" x14ac:dyDescent="0.25">
      <c r="A490" s="24" t="s">
        <v>21</v>
      </c>
      <c r="B490" s="23" t="s">
        <v>117</v>
      </c>
      <c r="C490" s="23" t="s">
        <v>154</v>
      </c>
      <c r="D490" s="23" t="s">
        <v>22</v>
      </c>
      <c r="E490" s="424">
        <f>'прил 7 '!F626</f>
        <v>31480</v>
      </c>
    </row>
    <row r="491" spans="1:5" ht="36.700000000000003" outlineLevel="6" x14ac:dyDescent="0.25">
      <c r="A491" s="423" t="s">
        <v>36</v>
      </c>
      <c r="B491" s="23" t="s">
        <v>117</v>
      </c>
      <c r="C491" s="23" t="s">
        <v>155</v>
      </c>
      <c r="D491" s="23" t="s">
        <v>6</v>
      </c>
      <c r="E491" s="424">
        <f>E492</f>
        <v>2874024</v>
      </c>
    </row>
    <row r="492" spans="1:5" ht="36.700000000000003" outlineLevel="6" x14ac:dyDescent="0.25">
      <c r="A492" s="24" t="s">
        <v>37</v>
      </c>
      <c r="B492" s="23" t="s">
        <v>117</v>
      </c>
      <c r="C492" s="23" t="s">
        <v>155</v>
      </c>
      <c r="D492" s="23" t="s">
        <v>38</v>
      </c>
      <c r="E492" s="424">
        <f>E493</f>
        <v>2874024</v>
      </c>
    </row>
    <row r="493" spans="1:5" outlineLevel="6" x14ac:dyDescent="0.25">
      <c r="A493" s="24" t="s">
        <v>39</v>
      </c>
      <c r="B493" s="23" t="s">
        <v>117</v>
      </c>
      <c r="C493" s="23" t="s">
        <v>155</v>
      </c>
      <c r="D493" s="23" t="s">
        <v>40</v>
      </c>
      <c r="E493" s="424">
        <f>'прил 7 '!F629</f>
        <v>2874024</v>
      </c>
    </row>
    <row r="494" spans="1:5" ht="36.700000000000003" outlineLevel="6" x14ac:dyDescent="0.25">
      <c r="A494" s="24" t="s">
        <v>1040</v>
      </c>
      <c r="B494" s="23" t="s">
        <v>117</v>
      </c>
      <c r="C494" s="23" t="s">
        <v>146</v>
      </c>
      <c r="D494" s="23" t="s">
        <v>6</v>
      </c>
      <c r="E494" s="424">
        <f>E495</f>
        <v>4048374</v>
      </c>
    </row>
    <row r="495" spans="1:5" ht="36.700000000000003" outlineLevel="6" x14ac:dyDescent="0.25">
      <c r="A495" s="40" t="s">
        <v>267</v>
      </c>
      <c r="B495" s="23" t="s">
        <v>117</v>
      </c>
      <c r="C495" s="23" t="s">
        <v>220</v>
      </c>
      <c r="D495" s="23" t="s">
        <v>6</v>
      </c>
      <c r="E495" s="424">
        <f>E496</f>
        <v>4048374</v>
      </c>
    </row>
    <row r="496" spans="1:5" ht="55.05" outlineLevel="6" x14ac:dyDescent="0.25">
      <c r="A496" s="31" t="s">
        <v>937</v>
      </c>
      <c r="B496" s="23" t="s">
        <v>117</v>
      </c>
      <c r="C496" s="23" t="s">
        <v>152</v>
      </c>
      <c r="D496" s="23" t="s">
        <v>6</v>
      </c>
      <c r="E496" s="424">
        <f>E497+E499+E501</f>
        <v>4048374</v>
      </c>
    </row>
    <row r="497" spans="1:7" ht="36.700000000000003" outlineLevel="6" x14ac:dyDescent="0.25">
      <c r="A497" s="24" t="s">
        <v>15</v>
      </c>
      <c r="B497" s="23" t="s">
        <v>117</v>
      </c>
      <c r="C497" s="23" t="s">
        <v>152</v>
      </c>
      <c r="D497" s="23" t="s">
        <v>16</v>
      </c>
      <c r="E497" s="424">
        <f>E498</f>
        <v>2000</v>
      </c>
    </row>
    <row r="498" spans="1:7" ht="36.700000000000003" outlineLevel="6" x14ac:dyDescent="0.25">
      <c r="A498" s="24" t="s">
        <v>17</v>
      </c>
      <c r="B498" s="23" t="s">
        <v>117</v>
      </c>
      <c r="C498" s="23" t="s">
        <v>152</v>
      </c>
      <c r="D498" s="23" t="s">
        <v>18</v>
      </c>
      <c r="E498" s="424">
        <f>'прил 7 '!F634</f>
        <v>2000</v>
      </c>
    </row>
    <row r="499" spans="1:7" outlineLevel="6" x14ac:dyDescent="0.25">
      <c r="A499" s="24" t="s">
        <v>90</v>
      </c>
      <c r="B499" s="23" t="s">
        <v>117</v>
      </c>
      <c r="C499" s="23" t="s">
        <v>152</v>
      </c>
      <c r="D499" s="23" t="s">
        <v>91</v>
      </c>
      <c r="E499" s="424">
        <f>E500</f>
        <v>320000</v>
      </c>
    </row>
    <row r="500" spans="1:7" ht="36.700000000000003" outlineLevel="6" x14ac:dyDescent="0.25">
      <c r="A500" s="24" t="s">
        <v>97</v>
      </c>
      <c r="B500" s="23" t="s">
        <v>117</v>
      </c>
      <c r="C500" s="23" t="s">
        <v>152</v>
      </c>
      <c r="D500" s="23" t="s">
        <v>98</v>
      </c>
      <c r="E500" s="424">
        <f>'прил 7 '!F636</f>
        <v>320000</v>
      </c>
    </row>
    <row r="501" spans="1:7" ht="36.700000000000003" outlineLevel="6" x14ac:dyDescent="0.25">
      <c r="A501" s="24" t="s">
        <v>37</v>
      </c>
      <c r="B501" s="23" t="s">
        <v>117</v>
      </c>
      <c r="C501" s="23" t="s">
        <v>152</v>
      </c>
      <c r="D501" s="23" t="s">
        <v>38</v>
      </c>
      <c r="E501" s="424">
        <f>E502</f>
        <v>3726374</v>
      </c>
    </row>
    <row r="502" spans="1:7" outlineLevel="6" x14ac:dyDescent="0.25">
      <c r="A502" s="24" t="s">
        <v>74</v>
      </c>
      <c r="B502" s="23" t="s">
        <v>117</v>
      </c>
      <c r="C502" s="23" t="s">
        <v>152</v>
      </c>
      <c r="D502" s="23" t="s">
        <v>75</v>
      </c>
      <c r="E502" s="424">
        <f>'прил 7 '!F638</f>
        <v>3726374</v>
      </c>
    </row>
    <row r="503" spans="1:7" s="426" customFormat="1" x14ac:dyDescent="0.25">
      <c r="A503" s="24" t="s">
        <v>79</v>
      </c>
      <c r="B503" s="35" t="s">
        <v>80</v>
      </c>
      <c r="C503" s="35" t="s">
        <v>126</v>
      </c>
      <c r="D503" s="35" t="s">
        <v>6</v>
      </c>
      <c r="E503" s="50">
        <f>E504</f>
        <v>39611430.129999995</v>
      </c>
      <c r="G503" s="73">
        <f>E503/'прил 7 '!F693*100</f>
        <v>3.4342157379107263</v>
      </c>
    </row>
    <row r="504" spans="1:7" outlineLevel="1" x14ac:dyDescent="0.25">
      <c r="A504" s="24" t="s">
        <v>81</v>
      </c>
      <c r="B504" s="23" t="s">
        <v>82</v>
      </c>
      <c r="C504" s="23" t="s">
        <v>126</v>
      </c>
      <c r="D504" s="23" t="s">
        <v>6</v>
      </c>
      <c r="E504" s="424">
        <f>E505</f>
        <v>39611430.129999995</v>
      </c>
    </row>
    <row r="505" spans="1:7" ht="36.700000000000003" outlineLevel="2" x14ac:dyDescent="0.25">
      <c r="A505" s="37" t="s">
        <v>1164</v>
      </c>
      <c r="B505" s="38" t="s">
        <v>82</v>
      </c>
      <c r="C505" s="38" t="s">
        <v>136</v>
      </c>
      <c r="D505" s="38" t="s">
        <v>6</v>
      </c>
      <c r="E505" s="424">
        <f>E506+E520+E516</f>
        <v>39611430.129999995</v>
      </c>
    </row>
    <row r="506" spans="1:7" ht="48.75" customHeight="1" outlineLevel="2" x14ac:dyDescent="0.25">
      <c r="A506" s="24" t="s">
        <v>353</v>
      </c>
      <c r="B506" s="23" t="s">
        <v>82</v>
      </c>
      <c r="C506" s="23" t="s">
        <v>224</v>
      </c>
      <c r="D506" s="23" t="s">
        <v>6</v>
      </c>
      <c r="E506" s="424">
        <f>E507+E510+E513</f>
        <v>12712813.279999999</v>
      </c>
    </row>
    <row r="507" spans="1:7" ht="36.700000000000003" outlineLevel="6" x14ac:dyDescent="0.25">
      <c r="A507" s="423" t="s">
        <v>84</v>
      </c>
      <c r="B507" s="23" t="s">
        <v>82</v>
      </c>
      <c r="C507" s="23" t="s">
        <v>141</v>
      </c>
      <c r="D507" s="23" t="s">
        <v>6</v>
      </c>
      <c r="E507" s="424">
        <f>E508</f>
        <v>12543111.26</v>
      </c>
    </row>
    <row r="508" spans="1:7" ht="36.700000000000003" outlineLevel="6" x14ac:dyDescent="0.25">
      <c r="A508" s="24" t="s">
        <v>37</v>
      </c>
      <c r="B508" s="23" t="s">
        <v>82</v>
      </c>
      <c r="C508" s="23" t="s">
        <v>141</v>
      </c>
      <c r="D508" s="23" t="s">
        <v>38</v>
      </c>
      <c r="E508" s="424">
        <f>E509</f>
        <v>12543111.26</v>
      </c>
    </row>
    <row r="509" spans="1:7" outlineLevel="6" x14ac:dyDescent="0.25">
      <c r="A509" s="24" t="s">
        <v>74</v>
      </c>
      <c r="B509" s="23" t="s">
        <v>82</v>
      </c>
      <c r="C509" s="23" t="s">
        <v>141</v>
      </c>
      <c r="D509" s="23" t="s">
        <v>75</v>
      </c>
      <c r="E509" s="424">
        <f>'прил 7 '!F356</f>
        <v>12543111.26</v>
      </c>
    </row>
    <row r="510" spans="1:7" ht="73.400000000000006" outlineLevel="6" x14ac:dyDescent="0.3">
      <c r="A510" s="366" t="s">
        <v>953</v>
      </c>
      <c r="B510" s="214" t="s">
        <v>82</v>
      </c>
      <c r="C510" s="293" t="s">
        <v>286</v>
      </c>
      <c r="D510" s="301" t="s">
        <v>6</v>
      </c>
      <c r="E510" s="424">
        <f>E511</f>
        <v>168005</v>
      </c>
    </row>
    <row r="511" spans="1:7" ht="36.700000000000003" outlineLevel="6" x14ac:dyDescent="0.3">
      <c r="A511" s="24" t="s">
        <v>37</v>
      </c>
      <c r="B511" s="214" t="s">
        <v>82</v>
      </c>
      <c r="C511" s="293" t="s">
        <v>286</v>
      </c>
      <c r="D511" s="301" t="s">
        <v>38</v>
      </c>
      <c r="E511" s="424">
        <f>E512</f>
        <v>168005</v>
      </c>
    </row>
    <row r="512" spans="1:7" outlineLevel="6" x14ac:dyDescent="0.3">
      <c r="A512" s="24" t="s">
        <v>74</v>
      </c>
      <c r="B512" s="214" t="s">
        <v>82</v>
      </c>
      <c r="C512" s="293" t="s">
        <v>286</v>
      </c>
      <c r="D512" s="301" t="s">
        <v>75</v>
      </c>
      <c r="E512" s="424">
        <f>'прил 7 '!F359</f>
        <v>168005</v>
      </c>
    </row>
    <row r="513" spans="1:7" ht="55.05" outlineLevel="6" x14ac:dyDescent="0.3">
      <c r="A513" s="24" t="s">
        <v>296</v>
      </c>
      <c r="B513" s="214" t="s">
        <v>82</v>
      </c>
      <c r="C513" s="293" t="s">
        <v>297</v>
      </c>
      <c r="D513" s="301" t="s">
        <v>6</v>
      </c>
      <c r="E513" s="424">
        <f>E514</f>
        <v>1697.02</v>
      </c>
    </row>
    <row r="514" spans="1:7" ht="36.700000000000003" outlineLevel="6" x14ac:dyDescent="0.3">
      <c r="A514" s="24" t="s">
        <v>37</v>
      </c>
      <c r="B514" s="214" t="s">
        <v>82</v>
      </c>
      <c r="C514" s="293" t="s">
        <v>297</v>
      </c>
      <c r="D514" s="301" t="s">
        <v>38</v>
      </c>
      <c r="E514" s="424">
        <f>E515</f>
        <v>1697.02</v>
      </c>
    </row>
    <row r="515" spans="1:7" outlineLevel="6" x14ac:dyDescent="0.3">
      <c r="A515" s="24" t="s">
        <v>74</v>
      </c>
      <c r="B515" s="214" t="s">
        <v>82</v>
      </c>
      <c r="C515" s="293" t="s">
        <v>297</v>
      </c>
      <c r="D515" s="301" t="s">
        <v>75</v>
      </c>
      <c r="E515" s="424">
        <f>'прил 7 '!F362</f>
        <v>1697.02</v>
      </c>
    </row>
    <row r="516" spans="1:7" ht="36.700000000000003" outlineLevel="6" x14ac:dyDescent="0.25">
      <c r="A516" s="24" t="s">
        <v>612</v>
      </c>
      <c r="B516" s="23" t="s">
        <v>82</v>
      </c>
      <c r="C516" s="23" t="s">
        <v>611</v>
      </c>
      <c r="D516" s="23" t="s">
        <v>6</v>
      </c>
      <c r="E516" s="424">
        <f>E517</f>
        <v>26266116.849999998</v>
      </c>
    </row>
    <row r="517" spans="1:7" ht="36.700000000000003" outlineLevel="6" x14ac:dyDescent="0.25">
      <c r="A517" s="423" t="s">
        <v>84</v>
      </c>
      <c r="B517" s="23" t="s">
        <v>82</v>
      </c>
      <c r="C517" s="23" t="s">
        <v>610</v>
      </c>
      <c r="D517" s="23" t="s">
        <v>6</v>
      </c>
      <c r="E517" s="424">
        <f>E518</f>
        <v>26266116.849999998</v>
      </c>
    </row>
    <row r="518" spans="1:7" ht="36.700000000000003" outlineLevel="6" x14ac:dyDescent="0.25">
      <c r="A518" s="24" t="s">
        <v>37</v>
      </c>
      <c r="B518" s="23" t="s">
        <v>82</v>
      </c>
      <c r="C518" s="23" t="s">
        <v>610</v>
      </c>
      <c r="D518" s="23" t="s">
        <v>38</v>
      </c>
      <c r="E518" s="424">
        <f>E519</f>
        <v>26266116.849999998</v>
      </c>
    </row>
    <row r="519" spans="1:7" ht="17.5" customHeight="1" outlineLevel="6" x14ac:dyDescent="0.25">
      <c r="A519" s="24" t="s">
        <v>74</v>
      </c>
      <c r="B519" s="23" t="s">
        <v>82</v>
      </c>
      <c r="C519" s="23" t="s">
        <v>610</v>
      </c>
      <c r="D519" s="23" t="s">
        <v>75</v>
      </c>
      <c r="E519" s="424">
        <f>'прил 7 '!F366</f>
        <v>26266116.849999998</v>
      </c>
    </row>
    <row r="520" spans="1:7" ht="21.25" customHeight="1" outlineLevel="5" x14ac:dyDescent="0.25">
      <c r="A520" s="24" t="s">
        <v>208</v>
      </c>
      <c r="B520" s="23" t="s">
        <v>82</v>
      </c>
      <c r="C520" s="23" t="s">
        <v>226</v>
      </c>
      <c r="D520" s="23" t="s">
        <v>6</v>
      </c>
      <c r="E520" s="424">
        <f>E521+E524</f>
        <v>632500</v>
      </c>
    </row>
    <row r="521" spans="1:7" outlineLevel="6" x14ac:dyDescent="0.25">
      <c r="A521" s="24" t="s">
        <v>83</v>
      </c>
      <c r="B521" s="23" t="s">
        <v>82</v>
      </c>
      <c r="C521" s="23" t="s">
        <v>140</v>
      </c>
      <c r="D521" s="23" t="s">
        <v>6</v>
      </c>
      <c r="E521" s="424">
        <f>E522</f>
        <v>632500</v>
      </c>
    </row>
    <row r="522" spans="1:7" ht="36.700000000000003" outlineLevel="6" x14ac:dyDescent="0.25">
      <c r="A522" s="24" t="s">
        <v>37</v>
      </c>
      <c r="B522" s="23" t="s">
        <v>82</v>
      </c>
      <c r="C522" s="23" t="s">
        <v>140</v>
      </c>
      <c r="D522" s="23" t="s">
        <v>38</v>
      </c>
      <c r="E522" s="424">
        <f>E523</f>
        <v>632500</v>
      </c>
    </row>
    <row r="523" spans="1:7" outlineLevel="6" x14ac:dyDescent="0.25">
      <c r="A523" s="24" t="s">
        <v>74</v>
      </c>
      <c r="B523" s="23" t="s">
        <v>82</v>
      </c>
      <c r="C523" s="23" t="s">
        <v>140</v>
      </c>
      <c r="D523" s="23" t="s">
        <v>75</v>
      </c>
      <c r="E523" s="424">
        <f>'прил 7 '!F370</f>
        <v>632500</v>
      </c>
    </row>
    <row r="524" spans="1:7" ht="73.400000000000006" hidden="1" outlineLevel="6" x14ac:dyDescent="0.25">
      <c r="A524" s="423" t="s">
        <v>1048</v>
      </c>
      <c r="B524" s="23" t="s">
        <v>82</v>
      </c>
      <c r="C524" s="23" t="s">
        <v>823</v>
      </c>
      <c r="D524" s="23" t="s">
        <v>6</v>
      </c>
      <c r="E524" s="424">
        <f>E525</f>
        <v>0</v>
      </c>
    </row>
    <row r="525" spans="1:7" ht="36.700000000000003" hidden="1" outlineLevel="6" x14ac:dyDescent="0.25">
      <c r="A525" s="24" t="s">
        <v>37</v>
      </c>
      <c r="B525" s="23" t="s">
        <v>82</v>
      </c>
      <c r="C525" s="23" t="s">
        <v>823</v>
      </c>
      <c r="D525" s="23" t="s">
        <v>38</v>
      </c>
      <c r="E525" s="424">
        <f>E526</f>
        <v>0</v>
      </c>
    </row>
    <row r="526" spans="1:7" hidden="1" outlineLevel="6" x14ac:dyDescent="0.25">
      <c r="A526" s="24" t="s">
        <v>74</v>
      </c>
      <c r="B526" s="23" t="s">
        <v>82</v>
      </c>
      <c r="C526" s="23" t="s">
        <v>823</v>
      </c>
      <c r="D526" s="23" t="s">
        <v>75</v>
      </c>
      <c r="E526" s="424">
        <f>'прил 7 '!F373</f>
        <v>0</v>
      </c>
    </row>
    <row r="527" spans="1:7" s="426" customFormat="1" collapsed="1" x14ac:dyDescent="0.25">
      <c r="A527" s="24" t="s">
        <v>85</v>
      </c>
      <c r="B527" s="35" t="s">
        <v>86</v>
      </c>
      <c r="C527" s="35" t="s">
        <v>126</v>
      </c>
      <c r="D527" s="35" t="s">
        <v>6</v>
      </c>
      <c r="E527" s="50">
        <f>E528+E556+E533+E578</f>
        <v>54751350.669999994</v>
      </c>
      <c r="G527" s="73">
        <f>E527/'прил 7 '!F693*100</f>
        <v>4.7468104414735262</v>
      </c>
    </row>
    <row r="528" spans="1:7" outlineLevel="1" x14ac:dyDescent="0.25">
      <c r="A528" s="24" t="s">
        <v>87</v>
      </c>
      <c r="B528" s="23" t="s">
        <v>88</v>
      </c>
      <c r="C528" s="23" t="s">
        <v>126</v>
      </c>
      <c r="D528" s="23" t="s">
        <v>6</v>
      </c>
      <c r="E528" s="424">
        <f>E529</f>
        <v>6906246.1199999992</v>
      </c>
    </row>
    <row r="529" spans="1:5" outlineLevel="3" x14ac:dyDescent="0.25">
      <c r="A529" s="24" t="s">
        <v>196</v>
      </c>
      <c r="B529" s="23" t="s">
        <v>88</v>
      </c>
      <c r="C529" s="23" t="s">
        <v>127</v>
      </c>
      <c r="D529" s="23" t="s">
        <v>6</v>
      </c>
      <c r="E529" s="424">
        <f>E530</f>
        <v>6906246.1199999992</v>
      </c>
    </row>
    <row r="530" spans="1:5" outlineLevel="4" x14ac:dyDescent="0.25">
      <c r="A530" s="24" t="s">
        <v>89</v>
      </c>
      <c r="B530" s="23" t="s">
        <v>88</v>
      </c>
      <c r="C530" s="23" t="s">
        <v>142</v>
      </c>
      <c r="D530" s="23" t="s">
        <v>6</v>
      </c>
      <c r="E530" s="424">
        <f>E531</f>
        <v>6906246.1199999992</v>
      </c>
    </row>
    <row r="531" spans="1:5" outlineLevel="5" x14ac:dyDescent="0.25">
      <c r="A531" s="24" t="s">
        <v>90</v>
      </c>
      <c r="B531" s="23" t="s">
        <v>88</v>
      </c>
      <c r="C531" s="23" t="s">
        <v>142</v>
      </c>
      <c r="D531" s="23" t="s">
        <v>91</v>
      </c>
      <c r="E531" s="424">
        <f>E532</f>
        <v>6906246.1199999992</v>
      </c>
    </row>
    <row r="532" spans="1:5" outlineLevel="6" x14ac:dyDescent="0.25">
      <c r="A532" s="24" t="s">
        <v>92</v>
      </c>
      <c r="B532" s="23" t="s">
        <v>88</v>
      </c>
      <c r="C532" s="23" t="s">
        <v>142</v>
      </c>
      <c r="D532" s="23" t="s">
        <v>93</v>
      </c>
      <c r="E532" s="424">
        <f>'прил 7 '!F385</f>
        <v>6906246.1199999992</v>
      </c>
    </row>
    <row r="533" spans="1:5" outlineLevel="6" x14ac:dyDescent="0.25">
      <c r="A533" s="24" t="s">
        <v>94</v>
      </c>
      <c r="B533" s="23" t="s">
        <v>95</v>
      </c>
      <c r="C533" s="23" t="s">
        <v>126</v>
      </c>
      <c r="D533" s="23" t="s">
        <v>6</v>
      </c>
      <c r="E533" s="424">
        <f>E534+E539+E544+E549</f>
        <v>2282101.61</v>
      </c>
    </row>
    <row r="534" spans="1:5" ht="36.700000000000003" outlineLevel="6" x14ac:dyDescent="0.25">
      <c r="A534" s="37" t="s">
        <v>1169</v>
      </c>
      <c r="B534" s="38" t="s">
        <v>95</v>
      </c>
      <c r="C534" s="38" t="s">
        <v>138</v>
      </c>
      <c r="D534" s="38" t="s">
        <v>6</v>
      </c>
      <c r="E534" s="424">
        <f>E535</f>
        <v>1160000</v>
      </c>
    </row>
    <row r="535" spans="1:5" outlineLevel="6" x14ac:dyDescent="0.25">
      <c r="A535" s="40" t="s">
        <v>886</v>
      </c>
      <c r="B535" s="23" t="s">
        <v>95</v>
      </c>
      <c r="C535" s="23" t="s">
        <v>667</v>
      </c>
      <c r="D535" s="23" t="s">
        <v>6</v>
      </c>
      <c r="E535" s="424">
        <f>E536</f>
        <v>1160000</v>
      </c>
    </row>
    <row r="536" spans="1:5" ht="57.75" customHeight="1" outlineLevel="6" x14ac:dyDescent="0.25">
      <c r="A536" s="31" t="s">
        <v>379</v>
      </c>
      <c r="B536" s="23" t="s">
        <v>95</v>
      </c>
      <c r="C536" s="23" t="s">
        <v>668</v>
      </c>
      <c r="D536" s="23" t="s">
        <v>6</v>
      </c>
      <c r="E536" s="424">
        <f>E537</f>
        <v>1160000</v>
      </c>
    </row>
    <row r="537" spans="1:5" outlineLevel="6" x14ac:dyDescent="0.25">
      <c r="A537" s="24" t="s">
        <v>90</v>
      </c>
      <c r="B537" s="23" t="s">
        <v>95</v>
      </c>
      <c r="C537" s="23" t="s">
        <v>668</v>
      </c>
      <c r="D537" s="23" t="s">
        <v>91</v>
      </c>
      <c r="E537" s="424">
        <f>E538</f>
        <v>1160000</v>
      </c>
    </row>
    <row r="538" spans="1:5" ht="21.25" customHeight="1" outlineLevel="6" x14ac:dyDescent="0.25">
      <c r="A538" s="24" t="s">
        <v>97</v>
      </c>
      <c r="B538" s="23" t="s">
        <v>95</v>
      </c>
      <c r="C538" s="23" t="s">
        <v>668</v>
      </c>
      <c r="D538" s="23" t="s">
        <v>98</v>
      </c>
      <c r="E538" s="424">
        <f>'прил 7 '!F645</f>
        <v>1160000</v>
      </c>
    </row>
    <row r="539" spans="1:5" ht="55.05" outlineLevel="6" x14ac:dyDescent="0.25">
      <c r="A539" s="37" t="s">
        <v>1179</v>
      </c>
      <c r="B539" s="38" t="s">
        <v>95</v>
      </c>
      <c r="C539" s="38" t="s">
        <v>129</v>
      </c>
      <c r="D539" s="38" t="s">
        <v>6</v>
      </c>
      <c r="E539" s="424">
        <f>E540</f>
        <v>150000</v>
      </c>
    </row>
    <row r="540" spans="1:5" ht="36.700000000000003" outlineLevel="6" x14ac:dyDescent="0.25">
      <c r="A540" s="24" t="s">
        <v>355</v>
      </c>
      <c r="B540" s="23" t="s">
        <v>95</v>
      </c>
      <c r="C540" s="23" t="s">
        <v>386</v>
      </c>
      <c r="D540" s="23" t="s">
        <v>6</v>
      </c>
      <c r="E540" s="424">
        <f>E541</f>
        <v>150000</v>
      </c>
    </row>
    <row r="541" spans="1:5" ht="44.85" customHeight="1" outlineLevel="6" x14ac:dyDescent="0.25">
      <c r="A541" s="24" t="s">
        <v>99</v>
      </c>
      <c r="B541" s="23" t="s">
        <v>95</v>
      </c>
      <c r="C541" s="23" t="s">
        <v>388</v>
      </c>
      <c r="D541" s="23" t="s">
        <v>6</v>
      </c>
      <c r="E541" s="424">
        <f>E542</f>
        <v>150000</v>
      </c>
    </row>
    <row r="542" spans="1:5" outlineLevel="6" x14ac:dyDescent="0.25">
      <c r="A542" s="24" t="s">
        <v>90</v>
      </c>
      <c r="B542" s="23" t="s">
        <v>95</v>
      </c>
      <c r="C542" s="23" t="s">
        <v>388</v>
      </c>
      <c r="D542" s="23" t="s">
        <v>91</v>
      </c>
      <c r="E542" s="424">
        <f>E543</f>
        <v>150000</v>
      </c>
    </row>
    <row r="543" spans="1:5" ht="18" customHeight="1" outlineLevel="6" x14ac:dyDescent="0.25">
      <c r="A543" s="24" t="s">
        <v>97</v>
      </c>
      <c r="B543" s="23" t="s">
        <v>95</v>
      </c>
      <c r="C543" s="23" t="s">
        <v>388</v>
      </c>
      <c r="D543" s="23" t="s">
        <v>98</v>
      </c>
      <c r="E543" s="424">
        <f>'прил 7 '!F391</f>
        <v>150000</v>
      </c>
    </row>
    <row r="544" spans="1:5" ht="36.700000000000003" outlineLevel="6" x14ac:dyDescent="0.25">
      <c r="A544" s="37" t="s">
        <v>1174</v>
      </c>
      <c r="B544" s="38" t="s">
        <v>95</v>
      </c>
      <c r="C544" s="38" t="s">
        <v>356</v>
      </c>
      <c r="D544" s="38" t="s">
        <v>6</v>
      </c>
      <c r="E544" s="424">
        <f>E545</f>
        <v>872101.61</v>
      </c>
    </row>
    <row r="545" spans="1:5" ht="36.700000000000003" outlineLevel="6" x14ac:dyDescent="0.25">
      <c r="A545" s="24" t="s">
        <v>373</v>
      </c>
      <c r="B545" s="23" t="s">
        <v>95</v>
      </c>
      <c r="C545" s="23" t="s">
        <v>357</v>
      </c>
      <c r="D545" s="23" t="s">
        <v>6</v>
      </c>
      <c r="E545" s="424">
        <f>E546</f>
        <v>872101.61</v>
      </c>
    </row>
    <row r="546" spans="1:5" ht="31.75" customHeight="1" outlineLevel="6" x14ac:dyDescent="0.25">
      <c r="A546" s="24" t="s">
        <v>847</v>
      </c>
      <c r="B546" s="23" t="s">
        <v>95</v>
      </c>
      <c r="C546" s="23" t="s">
        <v>358</v>
      </c>
      <c r="D546" s="23" t="s">
        <v>6</v>
      </c>
      <c r="E546" s="424">
        <f>E547</f>
        <v>872101.61</v>
      </c>
    </row>
    <row r="547" spans="1:5" outlineLevel="6" x14ac:dyDescent="0.25">
      <c r="A547" s="24" t="s">
        <v>90</v>
      </c>
      <c r="B547" s="23" t="s">
        <v>95</v>
      </c>
      <c r="C547" s="23" t="s">
        <v>358</v>
      </c>
      <c r="D547" s="23" t="s">
        <v>91</v>
      </c>
      <c r="E547" s="424">
        <f>E548</f>
        <v>872101.61</v>
      </c>
    </row>
    <row r="548" spans="1:5" ht="19.55" customHeight="1" outlineLevel="6" x14ac:dyDescent="0.25">
      <c r="A548" s="24" t="s">
        <v>97</v>
      </c>
      <c r="B548" s="23" t="s">
        <v>95</v>
      </c>
      <c r="C548" s="23" t="s">
        <v>358</v>
      </c>
      <c r="D548" s="23" t="s">
        <v>98</v>
      </c>
      <c r="E548" s="424">
        <f>'прил 7 '!F396</f>
        <v>872101.61</v>
      </c>
    </row>
    <row r="549" spans="1:5" ht="19.55" customHeight="1" outlineLevel="6" x14ac:dyDescent="0.25">
      <c r="A549" s="24" t="s">
        <v>132</v>
      </c>
      <c r="B549" s="23" t="s">
        <v>95</v>
      </c>
      <c r="C549" s="23" t="s">
        <v>127</v>
      </c>
      <c r="D549" s="23" t="s">
        <v>6</v>
      </c>
      <c r="E549" s="424">
        <f>E550+E553</f>
        <v>100000</v>
      </c>
    </row>
    <row r="550" spans="1:5" ht="36.700000000000003" outlineLevel="6" x14ac:dyDescent="0.25">
      <c r="A550" s="24" t="s">
        <v>480</v>
      </c>
      <c r="B550" s="23" t="s">
        <v>95</v>
      </c>
      <c r="C550" s="23" t="s">
        <v>493</v>
      </c>
      <c r="D550" s="23" t="s">
        <v>6</v>
      </c>
      <c r="E550" s="424">
        <f>E551</f>
        <v>100000</v>
      </c>
    </row>
    <row r="551" spans="1:5" outlineLevel="6" x14ac:dyDescent="0.25">
      <c r="A551" s="24" t="s">
        <v>90</v>
      </c>
      <c r="B551" s="23" t="s">
        <v>95</v>
      </c>
      <c r="C551" s="23" t="s">
        <v>493</v>
      </c>
      <c r="D551" s="23" t="s">
        <v>91</v>
      </c>
      <c r="E551" s="424">
        <f>E552</f>
        <v>100000</v>
      </c>
    </row>
    <row r="552" spans="1:5" outlineLevel="6" x14ac:dyDescent="0.25">
      <c r="A552" s="24" t="s">
        <v>298</v>
      </c>
      <c r="B552" s="23" t="s">
        <v>95</v>
      </c>
      <c r="C552" s="23" t="s">
        <v>493</v>
      </c>
      <c r="D552" s="23" t="s">
        <v>299</v>
      </c>
      <c r="E552" s="424">
        <f>'прил 7 '!F400</f>
        <v>100000</v>
      </c>
    </row>
    <row r="553" spans="1:5" ht="165.1" hidden="1" outlineLevel="6" x14ac:dyDescent="0.25">
      <c r="A553" s="389" t="s">
        <v>808</v>
      </c>
      <c r="B553" s="23" t="s">
        <v>95</v>
      </c>
      <c r="C553" s="23" t="s">
        <v>809</v>
      </c>
      <c r="D553" s="23" t="s">
        <v>6</v>
      </c>
      <c r="E553" s="424">
        <f>E554</f>
        <v>0</v>
      </c>
    </row>
    <row r="554" spans="1:5" hidden="1" outlineLevel="6" x14ac:dyDescent="0.25">
      <c r="A554" s="24" t="s">
        <v>90</v>
      </c>
      <c r="B554" s="23" t="s">
        <v>95</v>
      </c>
      <c r="C554" s="23" t="s">
        <v>809</v>
      </c>
      <c r="D554" s="23" t="s">
        <v>91</v>
      </c>
      <c r="E554" s="424">
        <f>E555</f>
        <v>0</v>
      </c>
    </row>
    <row r="555" spans="1:5" hidden="1" outlineLevel="6" x14ac:dyDescent="0.25">
      <c r="A555" s="24" t="s">
        <v>298</v>
      </c>
      <c r="B555" s="23" t="s">
        <v>95</v>
      </c>
      <c r="C555" s="23" t="s">
        <v>809</v>
      </c>
      <c r="D555" s="23" t="s">
        <v>299</v>
      </c>
      <c r="E555" s="424">
        <f>'прил 7 '!F403</f>
        <v>0</v>
      </c>
    </row>
    <row r="556" spans="1:5" outlineLevel="1" collapsed="1" x14ac:dyDescent="0.25">
      <c r="A556" s="24" t="s">
        <v>123</v>
      </c>
      <c r="B556" s="23" t="s">
        <v>124</v>
      </c>
      <c r="C556" s="23" t="s">
        <v>126</v>
      </c>
      <c r="D556" s="23" t="s">
        <v>6</v>
      </c>
      <c r="E556" s="424">
        <f>E557+E567</f>
        <v>45449002.939999998</v>
      </c>
    </row>
    <row r="557" spans="1:5" ht="36.700000000000003" outlineLevel="2" x14ac:dyDescent="0.25">
      <c r="A557" s="37" t="s">
        <v>1170</v>
      </c>
      <c r="B557" s="38" t="s">
        <v>124</v>
      </c>
      <c r="C557" s="38" t="s">
        <v>138</v>
      </c>
      <c r="D557" s="38" t="s">
        <v>6</v>
      </c>
      <c r="E557" s="424">
        <f>E558</f>
        <v>3925411</v>
      </c>
    </row>
    <row r="558" spans="1:5" ht="36.700000000000003" outlineLevel="3" x14ac:dyDescent="0.25">
      <c r="A558" s="24" t="s">
        <v>1038</v>
      </c>
      <c r="B558" s="23" t="s">
        <v>124</v>
      </c>
      <c r="C558" s="23" t="s">
        <v>139</v>
      </c>
      <c r="D558" s="23" t="s">
        <v>6</v>
      </c>
      <c r="E558" s="424">
        <f>E559</f>
        <v>3925411</v>
      </c>
    </row>
    <row r="559" spans="1:5" ht="29.25" customHeight="1" outlineLevel="4" x14ac:dyDescent="0.25">
      <c r="A559" s="40" t="s">
        <v>202</v>
      </c>
      <c r="B559" s="23" t="s">
        <v>124</v>
      </c>
      <c r="C559" s="23" t="s">
        <v>231</v>
      </c>
      <c r="D559" s="23" t="s">
        <v>6</v>
      </c>
      <c r="E559" s="424">
        <f>E560</f>
        <v>3925411</v>
      </c>
    </row>
    <row r="560" spans="1:5" ht="119.9" customHeight="1" outlineLevel="5" x14ac:dyDescent="0.25">
      <c r="A560" s="31" t="s">
        <v>594</v>
      </c>
      <c r="B560" s="23" t="s">
        <v>124</v>
      </c>
      <c r="C560" s="23" t="s">
        <v>156</v>
      </c>
      <c r="D560" s="23" t="s">
        <v>6</v>
      </c>
      <c r="E560" s="424">
        <f>E565+E561</f>
        <v>3925411</v>
      </c>
    </row>
    <row r="561" spans="1:5" ht="24.8" customHeight="1" outlineLevel="5" x14ac:dyDescent="0.25">
      <c r="A561" s="24" t="s">
        <v>15</v>
      </c>
      <c r="B561" s="23" t="s">
        <v>124</v>
      </c>
      <c r="C561" s="23" t="s">
        <v>156</v>
      </c>
      <c r="D561" s="23" t="s">
        <v>16</v>
      </c>
      <c r="E561" s="424">
        <f>E562</f>
        <v>30000</v>
      </c>
    </row>
    <row r="562" spans="1:5" ht="37.549999999999997" customHeight="1" outlineLevel="5" x14ac:dyDescent="0.25">
      <c r="A562" s="24" t="s">
        <v>17</v>
      </c>
      <c r="B562" s="23" t="s">
        <v>124</v>
      </c>
      <c r="C562" s="23" t="s">
        <v>156</v>
      </c>
      <c r="D562" s="23" t="s">
        <v>18</v>
      </c>
      <c r="E562" s="424">
        <f>'прил 7 '!F652</f>
        <v>30000</v>
      </c>
    </row>
    <row r="563" spans="1:5" ht="37.549999999999997" hidden="1" customHeight="1" outlineLevel="5" x14ac:dyDescent="0.25">
      <c r="A563" s="24" t="s">
        <v>15</v>
      </c>
      <c r="B563" s="23" t="s">
        <v>124</v>
      </c>
      <c r="C563" s="23" t="s">
        <v>156</v>
      </c>
      <c r="D563" s="23" t="s">
        <v>16</v>
      </c>
      <c r="E563" s="424">
        <f>E564</f>
        <v>0</v>
      </c>
    </row>
    <row r="564" spans="1:5" ht="37.549999999999997" hidden="1" customHeight="1" outlineLevel="5" x14ac:dyDescent="0.25">
      <c r="A564" s="24" t="s">
        <v>17</v>
      </c>
      <c r="B564" s="23" t="s">
        <v>124</v>
      </c>
      <c r="C564" s="23" t="s">
        <v>156</v>
      </c>
      <c r="D564" s="23" t="s">
        <v>18</v>
      </c>
      <c r="E564" s="424">
        <v>0</v>
      </c>
    </row>
    <row r="565" spans="1:5" outlineLevel="6" x14ac:dyDescent="0.25">
      <c r="A565" s="24" t="s">
        <v>90</v>
      </c>
      <c r="B565" s="23" t="s">
        <v>124</v>
      </c>
      <c r="C565" s="23" t="s">
        <v>156</v>
      </c>
      <c r="D565" s="23" t="s">
        <v>91</v>
      </c>
      <c r="E565" s="424">
        <f>E566</f>
        <v>3895411</v>
      </c>
    </row>
    <row r="566" spans="1:5" ht="17.5" customHeight="1" outlineLevel="6" x14ac:dyDescent="0.25">
      <c r="A566" s="24" t="s">
        <v>92</v>
      </c>
      <c r="B566" s="23" t="s">
        <v>124</v>
      </c>
      <c r="C566" s="23" t="s">
        <v>156</v>
      </c>
      <c r="D566" s="23" t="s">
        <v>93</v>
      </c>
      <c r="E566" s="424">
        <f>'прил 7 '!F654</f>
        <v>3895411</v>
      </c>
    </row>
    <row r="567" spans="1:5" ht="20.25" customHeight="1" outlineLevel="6" x14ac:dyDescent="0.25">
      <c r="A567" s="24" t="s">
        <v>132</v>
      </c>
      <c r="B567" s="23" t="s">
        <v>124</v>
      </c>
      <c r="C567" s="23" t="s">
        <v>127</v>
      </c>
      <c r="D567" s="23" t="s">
        <v>6</v>
      </c>
      <c r="E567" s="424">
        <f>E568</f>
        <v>41523591.939999998</v>
      </c>
    </row>
    <row r="568" spans="1:5" outlineLevel="6" x14ac:dyDescent="0.25">
      <c r="A568" s="24" t="s">
        <v>269</v>
      </c>
      <c r="B568" s="23" t="s">
        <v>124</v>
      </c>
      <c r="C568" s="23" t="s">
        <v>268</v>
      </c>
      <c r="D568" s="23" t="s">
        <v>6</v>
      </c>
      <c r="E568" s="424">
        <f>E575+E569</f>
        <v>41523591.939999998</v>
      </c>
    </row>
    <row r="569" spans="1:5" ht="78.8" customHeight="1" outlineLevel="6" x14ac:dyDescent="0.25">
      <c r="A569" s="31" t="s">
        <v>398</v>
      </c>
      <c r="B569" s="23" t="s">
        <v>124</v>
      </c>
      <c r="C569" s="23" t="s">
        <v>399</v>
      </c>
      <c r="D569" s="23" t="s">
        <v>6</v>
      </c>
      <c r="E569" s="424">
        <f>E570+E572</f>
        <v>16624054.49</v>
      </c>
    </row>
    <row r="570" spans="1:5" ht="17.5" customHeight="1" outlineLevel="6" x14ac:dyDescent="0.25">
      <c r="A570" s="24" t="s">
        <v>15</v>
      </c>
      <c r="B570" s="23" t="s">
        <v>124</v>
      </c>
      <c r="C570" s="23" t="s">
        <v>399</v>
      </c>
      <c r="D570" s="23" t="s">
        <v>16</v>
      </c>
      <c r="E570" s="424">
        <f>E571</f>
        <v>130000</v>
      </c>
    </row>
    <row r="571" spans="1:5" ht="23.3" customHeight="1" outlineLevel="6" x14ac:dyDescent="0.25">
      <c r="A571" s="24" t="s">
        <v>17</v>
      </c>
      <c r="B571" s="23" t="s">
        <v>124</v>
      </c>
      <c r="C571" s="23" t="s">
        <v>399</v>
      </c>
      <c r="D571" s="23" t="s">
        <v>18</v>
      </c>
      <c r="E571" s="424">
        <f>'прил 7 '!F409</f>
        <v>130000</v>
      </c>
    </row>
    <row r="572" spans="1:5" outlineLevel="6" x14ac:dyDescent="0.25">
      <c r="A572" s="24" t="s">
        <v>90</v>
      </c>
      <c r="B572" s="23" t="s">
        <v>124</v>
      </c>
      <c r="C572" s="23" t="s">
        <v>399</v>
      </c>
      <c r="D572" s="23" t="s">
        <v>91</v>
      </c>
      <c r="E572" s="424">
        <f>E573+E574</f>
        <v>16494054.49</v>
      </c>
    </row>
    <row r="573" spans="1:5" outlineLevel="6" x14ac:dyDescent="0.25">
      <c r="A573" s="24" t="s">
        <v>92</v>
      </c>
      <c r="B573" s="23" t="s">
        <v>124</v>
      </c>
      <c r="C573" s="23" t="s">
        <v>399</v>
      </c>
      <c r="D573" s="23" t="s">
        <v>93</v>
      </c>
      <c r="E573" s="424">
        <f>'прил 7 '!F411</f>
        <v>14494054.49</v>
      </c>
    </row>
    <row r="574" spans="1:5" ht="18.7" customHeight="1" outlineLevel="6" x14ac:dyDescent="0.25">
      <c r="A574" s="24" t="s">
        <v>97</v>
      </c>
      <c r="B574" s="23" t="s">
        <v>124</v>
      </c>
      <c r="C574" s="23" t="s">
        <v>399</v>
      </c>
      <c r="D574" s="23" t="s">
        <v>98</v>
      </c>
      <c r="E574" s="424">
        <f>'прил 7 '!F412</f>
        <v>2000000</v>
      </c>
    </row>
    <row r="575" spans="1:5" ht="94.75" customHeight="1" outlineLevel="6" x14ac:dyDescent="0.25">
      <c r="A575" s="366" t="s">
        <v>959</v>
      </c>
      <c r="B575" s="23" t="s">
        <v>124</v>
      </c>
      <c r="C575" s="23" t="s">
        <v>1114</v>
      </c>
      <c r="D575" s="23" t="s">
        <v>6</v>
      </c>
      <c r="E575" s="424">
        <f>E576</f>
        <v>24899537.449999999</v>
      </c>
    </row>
    <row r="576" spans="1:5" ht="36.700000000000003" outlineLevel="6" x14ac:dyDescent="0.25">
      <c r="A576" s="24" t="s">
        <v>258</v>
      </c>
      <c r="B576" s="23" t="s">
        <v>124</v>
      </c>
      <c r="C576" s="23" t="s">
        <v>1114</v>
      </c>
      <c r="D576" s="23" t="s">
        <v>259</v>
      </c>
      <c r="E576" s="424">
        <f>E577</f>
        <v>24899537.449999999</v>
      </c>
    </row>
    <row r="577" spans="1:7" outlineLevel="6" x14ac:dyDescent="0.25">
      <c r="A577" s="24" t="s">
        <v>260</v>
      </c>
      <c r="B577" s="23" t="s">
        <v>124</v>
      </c>
      <c r="C577" s="23" t="s">
        <v>1114</v>
      </c>
      <c r="D577" s="23" t="s">
        <v>261</v>
      </c>
      <c r="E577" s="424">
        <f>'прил 7 '!F415</f>
        <v>24899537.449999999</v>
      </c>
    </row>
    <row r="578" spans="1:7" outlineLevel="6" x14ac:dyDescent="0.25">
      <c r="A578" s="423" t="s">
        <v>1052</v>
      </c>
      <c r="B578" s="425" t="s">
        <v>1053</v>
      </c>
      <c r="C578" s="425" t="s">
        <v>126</v>
      </c>
      <c r="D578" s="425" t="s">
        <v>6</v>
      </c>
      <c r="E578" s="424">
        <f>E579</f>
        <v>114000</v>
      </c>
    </row>
    <row r="579" spans="1:7" ht="36.700000000000003" outlineLevel="6" x14ac:dyDescent="0.25">
      <c r="A579" s="45" t="s">
        <v>1164</v>
      </c>
      <c r="B579" s="425" t="s">
        <v>1053</v>
      </c>
      <c r="C579" s="425" t="s">
        <v>136</v>
      </c>
      <c r="D579" s="425" t="s">
        <v>6</v>
      </c>
      <c r="E579" s="424">
        <f>E580</f>
        <v>114000</v>
      </c>
    </row>
    <row r="580" spans="1:7" outlineLevel="6" x14ac:dyDescent="0.25">
      <c r="A580" s="423" t="s">
        <v>208</v>
      </c>
      <c r="B580" s="425" t="s">
        <v>1053</v>
      </c>
      <c r="C580" s="425" t="s">
        <v>226</v>
      </c>
      <c r="D580" s="425" t="s">
        <v>6</v>
      </c>
      <c r="E580" s="424">
        <f>E584+E587+E581</f>
        <v>114000</v>
      </c>
    </row>
    <row r="581" spans="1:7" ht="128.4" hidden="1" outlineLevel="6" x14ac:dyDescent="0.25">
      <c r="A581" s="423" t="s">
        <v>1067</v>
      </c>
      <c r="B581" s="425" t="s">
        <v>1053</v>
      </c>
      <c r="C581" s="425" t="s">
        <v>1066</v>
      </c>
      <c r="D581" s="425" t="s">
        <v>6</v>
      </c>
      <c r="E581" s="424">
        <f>E582</f>
        <v>0</v>
      </c>
    </row>
    <row r="582" spans="1:7" ht="36.700000000000003" hidden="1" outlineLevel="6" x14ac:dyDescent="0.25">
      <c r="A582" s="423" t="s">
        <v>37</v>
      </c>
      <c r="B582" s="425" t="s">
        <v>1053</v>
      </c>
      <c r="C582" s="425" t="s">
        <v>1066</v>
      </c>
      <c r="D582" s="425" t="s">
        <v>38</v>
      </c>
      <c r="E582" s="424">
        <f>E583</f>
        <v>0</v>
      </c>
    </row>
    <row r="583" spans="1:7" ht="55.05" hidden="1" outlineLevel="6" x14ac:dyDescent="0.25">
      <c r="A583" s="423" t="s">
        <v>1055</v>
      </c>
      <c r="B583" s="425" t="s">
        <v>1053</v>
      </c>
      <c r="C583" s="425" t="s">
        <v>1066</v>
      </c>
      <c r="D583" s="425" t="s">
        <v>248</v>
      </c>
      <c r="E583" s="424">
        <v>0</v>
      </c>
    </row>
    <row r="584" spans="1:7" ht="81.7" hidden="1" customHeight="1" outlineLevel="6" x14ac:dyDescent="0.25">
      <c r="A584" s="423" t="s">
        <v>1059</v>
      </c>
      <c r="B584" s="425" t="s">
        <v>1053</v>
      </c>
      <c r="C584" s="425" t="s">
        <v>1054</v>
      </c>
      <c r="D584" s="425" t="s">
        <v>6</v>
      </c>
      <c r="E584" s="424">
        <f>E585</f>
        <v>0</v>
      </c>
    </row>
    <row r="585" spans="1:7" ht="36.700000000000003" hidden="1" outlineLevel="6" x14ac:dyDescent="0.25">
      <c r="A585" s="423" t="s">
        <v>37</v>
      </c>
      <c r="B585" s="425" t="s">
        <v>1053</v>
      </c>
      <c r="C585" s="425" t="s">
        <v>1054</v>
      </c>
      <c r="D585" s="425" t="s">
        <v>38</v>
      </c>
      <c r="E585" s="424">
        <f>E586</f>
        <v>0</v>
      </c>
    </row>
    <row r="586" spans="1:7" ht="55.05" hidden="1" outlineLevel="6" x14ac:dyDescent="0.25">
      <c r="A586" s="423" t="s">
        <v>1055</v>
      </c>
      <c r="B586" s="425" t="s">
        <v>1053</v>
      </c>
      <c r="C586" s="425" t="s">
        <v>1054</v>
      </c>
      <c r="D586" s="425" t="s">
        <v>248</v>
      </c>
      <c r="E586" s="424">
        <f>'прил 7 '!F424</f>
        <v>0</v>
      </c>
    </row>
    <row r="587" spans="1:7" outlineLevel="6" x14ac:dyDescent="0.25">
      <c r="A587" s="423" t="s">
        <v>83</v>
      </c>
      <c r="B587" s="425" t="s">
        <v>1053</v>
      </c>
      <c r="C587" s="425" t="s">
        <v>140</v>
      </c>
      <c r="D587" s="425" t="s">
        <v>6</v>
      </c>
      <c r="E587" s="424">
        <f>E588</f>
        <v>114000</v>
      </c>
    </row>
    <row r="588" spans="1:7" ht="36.700000000000003" outlineLevel="6" x14ac:dyDescent="0.25">
      <c r="A588" s="423" t="s">
        <v>37</v>
      </c>
      <c r="B588" s="425" t="s">
        <v>1053</v>
      </c>
      <c r="C588" s="425" t="s">
        <v>140</v>
      </c>
      <c r="D588" s="425" t="s">
        <v>38</v>
      </c>
      <c r="E588" s="424">
        <f>E589</f>
        <v>114000</v>
      </c>
    </row>
    <row r="589" spans="1:7" ht="55.05" outlineLevel="6" x14ac:dyDescent="0.25">
      <c r="A589" s="423" t="s">
        <v>1055</v>
      </c>
      <c r="B589" s="425" t="s">
        <v>1053</v>
      </c>
      <c r="C589" s="425" t="s">
        <v>140</v>
      </c>
      <c r="D589" s="425" t="s">
        <v>248</v>
      </c>
      <c r="E589" s="424">
        <f>'прил 7 '!F427</f>
        <v>114000</v>
      </c>
    </row>
    <row r="590" spans="1:7" s="426" customFormat="1" x14ac:dyDescent="0.25">
      <c r="A590" s="24" t="s">
        <v>100</v>
      </c>
      <c r="B590" s="35" t="s">
        <v>101</v>
      </c>
      <c r="C590" s="35" t="s">
        <v>126</v>
      </c>
      <c r="D590" s="35" t="s">
        <v>6</v>
      </c>
      <c r="E590" s="50">
        <f>E591</f>
        <v>3477021.75</v>
      </c>
      <c r="G590" s="73">
        <f>E590/'прил 7 '!F693*100</f>
        <v>0.301449424464592</v>
      </c>
    </row>
    <row r="591" spans="1:7" outlineLevel="1" x14ac:dyDescent="0.25">
      <c r="A591" s="24" t="s">
        <v>291</v>
      </c>
      <c r="B591" s="23" t="s">
        <v>290</v>
      </c>
      <c r="C591" s="23" t="s">
        <v>126</v>
      </c>
      <c r="D591" s="23" t="s">
        <v>6</v>
      </c>
      <c r="E591" s="424">
        <f>E592+E616</f>
        <v>3477021.75</v>
      </c>
    </row>
    <row r="592" spans="1:7" ht="45.7" customHeight="1" outlineLevel="2" x14ac:dyDescent="0.25">
      <c r="A592" s="37" t="s">
        <v>1167</v>
      </c>
      <c r="B592" s="38" t="s">
        <v>290</v>
      </c>
      <c r="C592" s="38" t="s">
        <v>198</v>
      </c>
      <c r="D592" s="38" t="s">
        <v>6</v>
      </c>
      <c r="E592" s="424">
        <f>E593</f>
        <v>3427021.75</v>
      </c>
    </row>
    <row r="593" spans="1:6" ht="36.700000000000003" outlineLevel="6" x14ac:dyDescent="0.25">
      <c r="A593" s="24" t="s">
        <v>1015</v>
      </c>
      <c r="B593" s="23" t="s">
        <v>290</v>
      </c>
      <c r="C593" s="23" t="s">
        <v>227</v>
      </c>
      <c r="D593" s="23" t="s">
        <v>6</v>
      </c>
      <c r="E593" s="424">
        <f>E594+E601+E604+E607+E610+E613</f>
        <v>3427021.75</v>
      </c>
      <c r="F593" s="68"/>
    </row>
    <row r="594" spans="1:6" outlineLevel="6" x14ac:dyDescent="0.25">
      <c r="A594" s="24" t="s">
        <v>102</v>
      </c>
      <c r="B594" s="23" t="s">
        <v>290</v>
      </c>
      <c r="C594" s="23" t="s">
        <v>199</v>
      </c>
      <c r="D594" s="23" t="s">
        <v>6</v>
      </c>
      <c r="E594" s="424">
        <f>E595+E597+E599</f>
        <v>661000</v>
      </c>
    </row>
    <row r="595" spans="1:6" ht="18.7" customHeight="1" outlineLevel="6" x14ac:dyDescent="0.25">
      <c r="A595" s="24" t="s">
        <v>15</v>
      </c>
      <c r="B595" s="23" t="s">
        <v>290</v>
      </c>
      <c r="C595" s="23" t="s">
        <v>199</v>
      </c>
      <c r="D595" s="23" t="s">
        <v>16</v>
      </c>
      <c r="E595" s="424">
        <f>E596</f>
        <v>631000</v>
      </c>
    </row>
    <row r="596" spans="1:6" ht="19.55" customHeight="1" outlineLevel="6" x14ac:dyDescent="0.25">
      <c r="A596" s="24" t="s">
        <v>17</v>
      </c>
      <c r="B596" s="23" t="s">
        <v>290</v>
      </c>
      <c r="C596" s="23" t="s">
        <v>199</v>
      </c>
      <c r="D596" s="23" t="s">
        <v>18</v>
      </c>
      <c r="E596" s="424">
        <f>'прил 7 '!F434</f>
        <v>631000</v>
      </c>
    </row>
    <row r="597" spans="1:6" ht="21.25" customHeight="1" outlineLevel="6" x14ac:dyDescent="0.25">
      <c r="A597" s="24" t="s">
        <v>265</v>
      </c>
      <c r="B597" s="23" t="s">
        <v>290</v>
      </c>
      <c r="C597" s="23" t="s">
        <v>199</v>
      </c>
      <c r="D597" s="23" t="s">
        <v>20</v>
      </c>
      <c r="E597" s="424">
        <f>E598</f>
        <v>30000</v>
      </c>
    </row>
    <row r="598" spans="1:6" ht="21.25" customHeight="1" outlineLevel="6" x14ac:dyDescent="0.25">
      <c r="A598" s="24" t="s">
        <v>266</v>
      </c>
      <c r="B598" s="23" t="s">
        <v>290</v>
      </c>
      <c r="C598" s="23" t="s">
        <v>199</v>
      </c>
      <c r="D598" s="23" t="s">
        <v>22</v>
      </c>
      <c r="E598" s="424">
        <f>'прил 7 '!F436</f>
        <v>30000</v>
      </c>
    </row>
    <row r="599" spans="1:6" ht="53.7" hidden="1" customHeight="1" outlineLevel="6" x14ac:dyDescent="0.25">
      <c r="A599" s="24" t="s">
        <v>37</v>
      </c>
      <c r="B599" s="23" t="s">
        <v>290</v>
      </c>
      <c r="C599" s="23" t="s">
        <v>199</v>
      </c>
      <c r="D599" s="23" t="s">
        <v>38</v>
      </c>
      <c r="E599" s="424">
        <f>E600</f>
        <v>0</v>
      </c>
    </row>
    <row r="600" spans="1:6" ht="21.25" hidden="1" customHeight="1" outlineLevel="6" x14ac:dyDescent="0.25">
      <c r="A600" s="24" t="s">
        <v>74</v>
      </c>
      <c r="B600" s="23" t="s">
        <v>290</v>
      </c>
      <c r="C600" s="23" t="s">
        <v>199</v>
      </c>
      <c r="D600" s="23" t="s">
        <v>75</v>
      </c>
      <c r="E600" s="424">
        <v>0</v>
      </c>
    </row>
    <row r="601" spans="1:6" ht="38.049999999999997" customHeight="1" outlineLevel="6" x14ac:dyDescent="0.3">
      <c r="A601" s="24" t="s">
        <v>955</v>
      </c>
      <c r="B601" s="23" t="s">
        <v>290</v>
      </c>
      <c r="C601" s="325" t="s">
        <v>860</v>
      </c>
      <c r="D601" s="325" t="s">
        <v>6</v>
      </c>
      <c r="E601" s="424">
        <f>E602</f>
        <v>114861.53</v>
      </c>
    </row>
    <row r="602" spans="1:6" ht="21.25" customHeight="1" outlineLevel="6" x14ac:dyDescent="0.3">
      <c r="A602" s="24" t="s">
        <v>15</v>
      </c>
      <c r="B602" s="23" t="s">
        <v>290</v>
      </c>
      <c r="C602" s="325" t="s">
        <v>860</v>
      </c>
      <c r="D602" s="325" t="s">
        <v>16</v>
      </c>
      <c r="E602" s="424">
        <f>E603</f>
        <v>114861.53</v>
      </c>
    </row>
    <row r="603" spans="1:6" ht="21.25" customHeight="1" outlineLevel="6" x14ac:dyDescent="0.3">
      <c r="A603" s="24" t="s">
        <v>17</v>
      </c>
      <c r="B603" s="23" t="s">
        <v>290</v>
      </c>
      <c r="C603" s="325" t="s">
        <v>860</v>
      </c>
      <c r="D603" s="325" t="s">
        <v>18</v>
      </c>
      <c r="E603" s="424">
        <f>'прил 7 '!F439</f>
        <v>114861.53</v>
      </c>
    </row>
    <row r="604" spans="1:6" ht="42.45" customHeight="1" outlineLevel="6" x14ac:dyDescent="0.3">
      <c r="A604" s="24" t="s">
        <v>861</v>
      </c>
      <c r="B604" s="23" t="s">
        <v>290</v>
      </c>
      <c r="C604" s="325" t="s">
        <v>862</v>
      </c>
      <c r="D604" s="325" t="s">
        <v>6</v>
      </c>
      <c r="E604" s="424">
        <f>E605</f>
        <v>1160.2200000000003</v>
      </c>
    </row>
    <row r="605" spans="1:6" ht="21.25" customHeight="1" outlineLevel="6" x14ac:dyDescent="0.3">
      <c r="A605" s="24" t="s">
        <v>15</v>
      </c>
      <c r="B605" s="23" t="s">
        <v>290</v>
      </c>
      <c r="C605" s="325" t="s">
        <v>862</v>
      </c>
      <c r="D605" s="325" t="s">
        <v>16</v>
      </c>
      <c r="E605" s="424">
        <f>E606</f>
        <v>1160.2200000000003</v>
      </c>
    </row>
    <row r="606" spans="1:6" ht="21.25" customHeight="1" outlineLevel="6" x14ac:dyDescent="0.3">
      <c r="A606" s="24" t="s">
        <v>17</v>
      </c>
      <c r="B606" s="23" t="s">
        <v>290</v>
      </c>
      <c r="C606" s="325" t="s">
        <v>862</v>
      </c>
      <c r="D606" s="325" t="s">
        <v>18</v>
      </c>
      <c r="E606" s="424">
        <f>'прил 7 '!F442</f>
        <v>1160.2200000000003</v>
      </c>
    </row>
    <row r="607" spans="1:6" ht="44.85" customHeight="1" outlineLevel="4" x14ac:dyDescent="0.25">
      <c r="A607" s="24" t="s">
        <v>848</v>
      </c>
      <c r="B607" s="23" t="s">
        <v>290</v>
      </c>
      <c r="C607" s="23" t="s">
        <v>867</v>
      </c>
      <c r="D607" s="26" t="s">
        <v>6</v>
      </c>
      <c r="E607" s="424">
        <f>E608</f>
        <v>742500</v>
      </c>
    </row>
    <row r="608" spans="1:6" ht="36.700000000000003" outlineLevel="4" x14ac:dyDescent="0.25">
      <c r="A608" s="24" t="s">
        <v>15</v>
      </c>
      <c r="B608" s="23" t="s">
        <v>290</v>
      </c>
      <c r="C608" s="23" t="s">
        <v>867</v>
      </c>
      <c r="D608" s="26" t="s">
        <v>16</v>
      </c>
      <c r="E608" s="424">
        <f>E609</f>
        <v>742500</v>
      </c>
    </row>
    <row r="609" spans="1:7" ht="36.700000000000003" outlineLevel="4" x14ac:dyDescent="0.25">
      <c r="A609" s="24" t="s">
        <v>17</v>
      </c>
      <c r="B609" s="23" t="s">
        <v>290</v>
      </c>
      <c r="C609" s="23" t="s">
        <v>867</v>
      </c>
      <c r="D609" s="26" t="s">
        <v>18</v>
      </c>
      <c r="E609" s="424">
        <f>'прил 7 '!F445</f>
        <v>742500</v>
      </c>
    </row>
    <row r="610" spans="1:7" ht="55.05" outlineLevel="4" x14ac:dyDescent="0.25">
      <c r="A610" s="24" t="s">
        <v>787</v>
      </c>
      <c r="B610" s="23" t="s">
        <v>290</v>
      </c>
      <c r="C610" s="23" t="s">
        <v>868</v>
      </c>
      <c r="D610" s="26" t="s">
        <v>6</v>
      </c>
      <c r="E610" s="424">
        <f>E611</f>
        <v>7500</v>
      </c>
    </row>
    <row r="611" spans="1:7" ht="36.700000000000003" outlineLevel="4" x14ac:dyDescent="0.25">
      <c r="A611" s="24" t="s">
        <v>15</v>
      </c>
      <c r="B611" s="23" t="s">
        <v>290</v>
      </c>
      <c r="C611" s="23" t="s">
        <v>868</v>
      </c>
      <c r="D611" s="26" t="s">
        <v>16</v>
      </c>
      <c r="E611" s="424">
        <f>E612</f>
        <v>7500</v>
      </c>
    </row>
    <row r="612" spans="1:7" ht="36.700000000000003" outlineLevel="4" x14ac:dyDescent="0.25">
      <c r="A612" s="24" t="s">
        <v>17</v>
      </c>
      <c r="B612" s="23" t="s">
        <v>290</v>
      </c>
      <c r="C612" s="23" t="s">
        <v>868</v>
      </c>
      <c r="D612" s="26" t="s">
        <v>18</v>
      </c>
      <c r="E612" s="424">
        <f>'прил 7 '!F448</f>
        <v>7500</v>
      </c>
    </row>
    <row r="613" spans="1:7" ht="36.700000000000003" outlineLevel="4" x14ac:dyDescent="0.25">
      <c r="A613" s="24" t="s">
        <v>797</v>
      </c>
      <c r="B613" s="23" t="s">
        <v>290</v>
      </c>
      <c r="C613" s="23" t="s">
        <v>798</v>
      </c>
      <c r="D613" s="425" t="s">
        <v>6</v>
      </c>
      <c r="E613" s="424">
        <f>E614</f>
        <v>1900000</v>
      </c>
    </row>
    <row r="614" spans="1:7" ht="36.700000000000003" outlineLevel="4" x14ac:dyDescent="0.25">
      <c r="A614" s="24" t="s">
        <v>37</v>
      </c>
      <c r="B614" s="23" t="s">
        <v>290</v>
      </c>
      <c r="C614" s="23" t="s">
        <v>798</v>
      </c>
      <c r="D614" s="425" t="s">
        <v>38</v>
      </c>
      <c r="E614" s="424">
        <f>E615</f>
        <v>1900000</v>
      </c>
    </row>
    <row r="615" spans="1:7" outlineLevel="4" x14ac:dyDescent="0.25">
      <c r="A615" s="24" t="s">
        <v>74</v>
      </c>
      <c r="B615" s="23" t="s">
        <v>290</v>
      </c>
      <c r="C615" s="23" t="s">
        <v>798</v>
      </c>
      <c r="D615" s="425" t="s">
        <v>75</v>
      </c>
      <c r="E615" s="424">
        <f>'прил 7 '!F661</f>
        <v>1900000</v>
      </c>
    </row>
    <row r="616" spans="1:7" ht="44.5" customHeight="1" outlineLevel="6" x14ac:dyDescent="0.25">
      <c r="A616" s="37" t="s">
        <v>1168</v>
      </c>
      <c r="B616" s="38" t="s">
        <v>290</v>
      </c>
      <c r="C616" s="38" t="s">
        <v>419</v>
      </c>
      <c r="D616" s="38" t="s">
        <v>6</v>
      </c>
      <c r="E616" s="424">
        <f>E617</f>
        <v>50000</v>
      </c>
    </row>
    <row r="617" spans="1:7" ht="34.5" customHeight="1" outlineLevel="6" x14ac:dyDescent="0.25">
      <c r="A617" s="24" t="s">
        <v>420</v>
      </c>
      <c r="B617" s="23" t="s">
        <v>290</v>
      </c>
      <c r="C617" s="23" t="s">
        <v>421</v>
      </c>
      <c r="D617" s="23" t="s">
        <v>6</v>
      </c>
      <c r="E617" s="424">
        <f>E618</f>
        <v>50000</v>
      </c>
    </row>
    <row r="618" spans="1:7" ht="36.700000000000003" outlineLevel="6" x14ac:dyDescent="0.25">
      <c r="A618" s="24" t="s">
        <v>422</v>
      </c>
      <c r="B618" s="23" t="s">
        <v>290</v>
      </c>
      <c r="C618" s="23" t="s">
        <v>423</v>
      </c>
      <c r="D618" s="23" t="s">
        <v>6</v>
      </c>
      <c r="E618" s="424">
        <f>E619</f>
        <v>50000</v>
      </c>
    </row>
    <row r="619" spans="1:7" ht="20.25" customHeight="1" outlineLevel="6" x14ac:dyDescent="0.25">
      <c r="A619" s="24" t="s">
        <v>15</v>
      </c>
      <c r="B619" s="23" t="s">
        <v>290</v>
      </c>
      <c r="C619" s="23" t="s">
        <v>423</v>
      </c>
      <c r="D619" s="23" t="s">
        <v>16</v>
      </c>
      <c r="E619" s="424">
        <f>E620</f>
        <v>50000</v>
      </c>
    </row>
    <row r="620" spans="1:7" ht="22.75" customHeight="1" outlineLevel="6" x14ac:dyDescent="0.25">
      <c r="A620" s="24" t="s">
        <v>17</v>
      </c>
      <c r="B620" s="23" t="s">
        <v>290</v>
      </c>
      <c r="C620" s="23" t="s">
        <v>423</v>
      </c>
      <c r="D620" s="23" t="s">
        <v>18</v>
      </c>
      <c r="E620" s="424">
        <f>'прил 7 '!F453</f>
        <v>50000</v>
      </c>
    </row>
    <row r="621" spans="1:7" s="426" customFormat="1" x14ac:dyDescent="0.25">
      <c r="A621" s="24" t="s">
        <v>103</v>
      </c>
      <c r="B621" s="35" t="s">
        <v>104</v>
      </c>
      <c r="C621" s="35" t="s">
        <v>126</v>
      </c>
      <c r="D621" s="35" t="s">
        <v>6</v>
      </c>
      <c r="E621" s="50">
        <f t="shared" ref="E621:E626" si="1">E622</f>
        <v>3965254.82</v>
      </c>
      <c r="G621" s="73">
        <f>E621/'прил 7 '!F693*100</f>
        <v>0.34377805757023211</v>
      </c>
    </row>
    <row r="622" spans="1:7" outlineLevel="1" x14ac:dyDescent="0.25">
      <c r="A622" s="24" t="s">
        <v>105</v>
      </c>
      <c r="B622" s="23" t="s">
        <v>106</v>
      </c>
      <c r="C622" s="23" t="s">
        <v>126</v>
      </c>
      <c r="D622" s="23" t="s">
        <v>6</v>
      </c>
      <c r="E622" s="424">
        <f t="shared" si="1"/>
        <v>3965254.82</v>
      </c>
    </row>
    <row r="623" spans="1:7" ht="39.75" customHeight="1" outlineLevel="2" x14ac:dyDescent="0.25">
      <c r="A623" s="37" t="s">
        <v>1150</v>
      </c>
      <c r="B623" s="38" t="s">
        <v>106</v>
      </c>
      <c r="C623" s="38" t="s">
        <v>305</v>
      </c>
      <c r="D623" s="38" t="s">
        <v>6</v>
      </c>
      <c r="E623" s="424">
        <f t="shared" si="1"/>
        <v>3965254.82</v>
      </c>
    </row>
    <row r="624" spans="1:7" ht="45.7" customHeight="1" outlineLevel="3" x14ac:dyDescent="0.25">
      <c r="A624" s="40" t="s">
        <v>315</v>
      </c>
      <c r="B624" s="23" t="s">
        <v>106</v>
      </c>
      <c r="C624" s="23" t="s">
        <v>306</v>
      </c>
      <c r="D624" s="23" t="s">
        <v>6</v>
      </c>
      <c r="E624" s="424">
        <f t="shared" si="1"/>
        <v>3965254.82</v>
      </c>
    </row>
    <row r="625" spans="1:5" ht="36.700000000000003" outlineLevel="4" x14ac:dyDescent="0.25">
      <c r="A625" s="24" t="s">
        <v>107</v>
      </c>
      <c r="B625" s="23" t="s">
        <v>106</v>
      </c>
      <c r="C625" s="23" t="s">
        <v>307</v>
      </c>
      <c r="D625" s="23" t="s">
        <v>6</v>
      </c>
      <c r="E625" s="424">
        <f t="shared" si="1"/>
        <v>3965254.82</v>
      </c>
    </row>
    <row r="626" spans="1:5" ht="36.700000000000003" outlineLevel="5" x14ac:dyDescent="0.25">
      <c r="A626" s="24" t="s">
        <v>37</v>
      </c>
      <c r="B626" s="23" t="s">
        <v>106</v>
      </c>
      <c r="C626" s="23" t="s">
        <v>307</v>
      </c>
      <c r="D626" s="23" t="s">
        <v>38</v>
      </c>
      <c r="E626" s="424">
        <f t="shared" si="1"/>
        <v>3965254.82</v>
      </c>
    </row>
    <row r="627" spans="1:5" outlineLevel="6" x14ac:dyDescent="0.25">
      <c r="A627" s="24" t="s">
        <v>39</v>
      </c>
      <c r="B627" s="23" t="s">
        <v>106</v>
      </c>
      <c r="C627" s="23" t="s">
        <v>307</v>
      </c>
      <c r="D627" s="23" t="s">
        <v>40</v>
      </c>
      <c r="E627" s="424">
        <f>'прил 7 '!F460</f>
        <v>3965254.82</v>
      </c>
    </row>
    <row r="628" spans="1:5" s="426" customFormat="1" x14ac:dyDescent="0.3">
      <c r="A628" s="662" t="s">
        <v>118</v>
      </c>
      <c r="B628" s="662"/>
      <c r="C628" s="662"/>
      <c r="D628" s="662"/>
      <c r="E628" s="91">
        <f>E16+E176+E186+E197+E248+E341+E357+E503+E527+E590+E621</f>
        <v>1153434529.2499998</v>
      </c>
    </row>
    <row r="629" spans="1:5" s="426" customFormat="1" ht="15.65" x14ac:dyDescent="0.25"/>
    <row r="630" spans="1:5" s="426" customFormat="1" ht="15.65" x14ac:dyDescent="0.25"/>
    <row r="631" spans="1:5" s="426" customFormat="1" ht="15.65" x14ac:dyDescent="0.25"/>
    <row r="632" spans="1:5" s="426" customFormat="1" ht="15.65" x14ac:dyDescent="0.25"/>
    <row r="633" spans="1:5" s="426" customFormat="1" ht="15.65" x14ac:dyDescent="0.25"/>
    <row r="634" spans="1:5" s="426" customFormat="1" ht="15.65" x14ac:dyDescent="0.25"/>
    <row r="635" spans="1:5" s="426" customFormat="1" x14ac:dyDescent="0.3">
      <c r="A635" s="352"/>
      <c r="B635" s="352"/>
      <c r="C635" s="352"/>
      <c r="D635" s="352"/>
      <c r="E635" s="148"/>
    </row>
    <row r="636" spans="1:5" s="426" customFormat="1" x14ac:dyDescent="0.3">
      <c r="A636" s="352"/>
      <c r="B636" s="352"/>
      <c r="C636" s="352"/>
      <c r="D636" s="352"/>
      <c r="E636" s="148"/>
    </row>
    <row r="637" spans="1:5" s="426" customFormat="1" x14ac:dyDescent="0.3">
      <c r="A637" s="352"/>
      <c r="B637" s="352"/>
      <c r="C637" s="352"/>
      <c r="D637" s="352"/>
      <c r="E637" s="148"/>
    </row>
    <row r="638" spans="1:5" s="426" customFormat="1" x14ac:dyDescent="0.3">
      <c r="A638" s="352"/>
      <c r="B638" s="352"/>
      <c r="C638" s="352"/>
      <c r="D638" s="352"/>
      <c r="E638" s="148"/>
    </row>
    <row r="639" spans="1:5" x14ac:dyDescent="0.3">
      <c r="A639" s="33"/>
      <c r="B639" s="33"/>
      <c r="C639" s="33"/>
      <c r="D639" s="33"/>
      <c r="E639" s="92"/>
    </row>
    <row r="640" spans="1:5" x14ac:dyDescent="0.3">
      <c r="A640" s="93"/>
      <c r="B640" s="93"/>
      <c r="C640" s="93"/>
      <c r="D640" s="93"/>
      <c r="E640" s="94"/>
    </row>
    <row r="641" spans="2:8" x14ac:dyDescent="0.3">
      <c r="C641" s="95"/>
      <c r="E641" s="96"/>
    </row>
    <row r="642" spans="2:8" x14ac:dyDescent="0.3">
      <c r="B642" s="95" t="s">
        <v>8</v>
      </c>
      <c r="C642" s="96">
        <f>E359+E388+E441+E464+E475+E534+E557</f>
        <v>800868800.99999988</v>
      </c>
      <c r="E642" s="96"/>
    </row>
    <row r="643" spans="2:8" x14ac:dyDescent="0.3">
      <c r="B643" s="95" t="s">
        <v>26</v>
      </c>
      <c r="C643" s="96">
        <f>E458+E505+E579</f>
        <v>63102097.159999996</v>
      </c>
      <c r="E643" s="96"/>
      <c r="G643" s="95"/>
      <c r="H643" s="95"/>
    </row>
    <row r="644" spans="2:8" x14ac:dyDescent="0.3">
      <c r="B644" s="95" t="s">
        <v>42</v>
      </c>
      <c r="C644" s="96">
        <f>E343</f>
        <v>470000</v>
      </c>
      <c r="E644" s="96"/>
      <c r="G644" s="95"/>
      <c r="H644" s="95"/>
    </row>
    <row r="645" spans="2:8" x14ac:dyDescent="0.3">
      <c r="B645" s="95" t="s">
        <v>46</v>
      </c>
      <c r="C645" s="96">
        <f>E592</f>
        <v>3427021.75</v>
      </c>
      <c r="E645" s="96"/>
      <c r="G645" s="95"/>
      <c r="H645" s="95"/>
    </row>
    <row r="646" spans="2:8" x14ac:dyDescent="0.3">
      <c r="B646" s="95" t="s">
        <v>55</v>
      </c>
      <c r="C646" s="96">
        <f>E539</f>
        <v>150000</v>
      </c>
      <c r="E646" s="96"/>
      <c r="G646" s="95"/>
      <c r="H646" s="95"/>
    </row>
    <row r="647" spans="2:8" x14ac:dyDescent="0.3">
      <c r="B647" s="95" t="s">
        <v>65</v>
      </c>
      <c r="C647" s="96">
        <f>E71</f>
        <v>29939801</v>
      </c>
      <c r="E647" s="96"/>
      <c r="G647" s="95"/>
      <c r="H647" s="95"/>
    </row>
    <row r="648" spans="2:8" x14ac:dyDescent="0.3">
      <c r="B648" s="95" t="s">
        <v>70</v>
      </c>
      <c r="C648" s="96">
        <f>E256+E278+E333</f>
        <v>12194106.800000001</v>
      </c>
      <c r="E648" s="96"/>
      <c r="G648" s="95"/>
      <c r="H648" s="95"/>
    </row>
    <row r="649" spans="2:8" x14ac:dyDescent="0.3">
      <c r="B649" s="95" t="s">
        <v>80</v>
      </c>
      <c r="C649" s="96">
        <f>E96</f>
        <v>50000</v>
      </c>
      <c r="E649" s="96"/>
      <c r="G649" s="95"/>
      <c r="H649" s="95"/>
    </row>
    <row r="650" spans="2:8" x14ac:dyDescent="0.3">
      <c r="B650" s="95" t="s">
        <v>710</v>
      </c>
      <c r="C650" s="96">
        <f>E234</f>
        <v>100000</v>
      </c>
      <c r="E650" s="96"/>
      <c r="G650" s="95"/>
      <c r="H650" s="95"/>
    </row>
    <row r="651" spans="2:8" x14ac:dyDescent="0.3">
      <c r="B651" s="95" t="s">
        <v>86</v>
      </c>
      <c r="C651" s="96">
        <f>E544</f>
        <v>872101.61</v>
      </c>
      <c r="E651" s="96"/>
      <c r="G651" s="95"/>
      <c r="H651" s="95"/>
    </row>
    <row r="652" spans="2:8" x14ac:dyDescent="0.3">
      <c r="B652" s="95" t="s">
        <v>101</v>
      </c>
      <c r="C652" s="96">
        <f>E623+E101</f>
        <v>6551334.8200000003</v>
      </c>
      <c r="E652" s="96"/>
      <c r="G652" s="95"/>
      <c r="H652" s="95"/>
    </row>
    <row r="653" spans="2:8" x14ac:dyDescent="0.3">
      <c r="B653" s="97">
        <v>1200</v>
      </c>
      <c r="C653" s="96">
        <f>E222</f>
        <v>15908000</v>
      </c>
      <c r="E653" s="96"/>
      <c r="G653" s="95"/>
      <c r="H653" s="95"/>
    </row>
    <row r="654" spans="2:8" x14ac:dyDescent="0.3">
      <c r="B654" s="97">
        <v>1300</v>
      </c>
      <c r="C654" s="96">
        <f>E352</f>
        <v>285000</v>
      </c>
      <c r="E654" s="96"/>
      <c r="G654" s="95"/>
      <c r="H654" s="95"/>
    </row>
    <row r="655" spans="2:8" x14ac:dyDescent="0.3">
      <c r="B655" s="97">
        <v>1400</v>
      </c>
      <c r="C655" s="96">
        <f>E240+E244</f>
        <v>1125000</v>
      </c>
      <c r="E655" s="96"/>
      <c r="G655" s="95"/>
      <c r="H655" s="95"/>
    </row>
    <row r="656" spans="2:8" x14ac:dyDescent="0.3">
      <c r="B656" s="97">
        <v>1500</v>
      </c>
      <c r="C656" s="96">
        <f>E109+E250</f>
        <v>9076050.5800000001</v>
      </c>
      <c r="E656" s="96"/>
      <c r="G656" s="95"/>
      <c r="H656" s="95"/>
    </row>
    <row r="657" spans="2:8" x14ac:dyDescent="0.3">
      <c r="B657" s="97">
        <v>1600</v>
      </c>
      <c r="C657" s="96">
        <f>E210</f>
        <v>4457631.37</v>
      </c>
      <c r="E657" s="96"/>
      <c r="G657" s="95"/>
      <c r="H657" s="95"/>
    </row>
    <row r="658" spans="2:8" x14ac:dyDescent="0.3">
      <c r="B658" s="97">
        <v>1700</v>
      </c>
      <c r="C658" s="96">
        <f>E616</f>
        <v>50000</v>
      </c>
      <c r="E658" s="96"/>
      <c r="G658" s="95"/>
      <c r="H658" s="95"/>
    </row>
    <row r="659" spans="2:8" x14ac:dyDescent="0.3">
      <c r="B659" s="97">
        <v>1800</v>
      </c>
      <c r="C659" s="96">
        <f>E292</f>
        <v>25358307.810000002</v>
      </c>
      <c r="E659" s="96"/>
      <c r="G659" s="95"/>
      <c r="H659" s="95"/>
    </row>
    <row r="660" spans="2:8" x14ac:dyDescent="0.3">
      <c r="B660" s="97">
        <v>1900</v>
      </c>
      <c r="C660" s="96">
        <f>E312</f>
        <v>11465716.370000001</v>
      </c>
      <c r="E660" s="96"/>
    </row>
    <row r="661" spans="2:8" x14ac:dyDescent="0.3">
      <c r="B661" s="97">
        <v>2100</v>
      </c>
      <c r="C661" s="96">
        <f>E118</f>
        <v>100000</v>
      </c>
      <c r="E661" s="96"/>
    </row>
    <row r="662" spans="2:8" x14ac:dyDescent="0.3">
      <c r="B662" s="97">
        <v>9900</v>
      </c>
      <c r="C662" s="96">
        <f>E18+E23+E38+E45+E51+E66+E123+E178+E188+E193+E199+E205+E529+E549+E567</f>
        <v>167883558.98000002</v>
      </c>
      <c r="E662" s="96"/>
    </row>
    <row r="663" spans="2:8" x14ac:dyDescent="0.3">
      <c r="C663" s="96">
        <f>SUBTOTAL(9,C642:C662)</f>
        <v>1153434529.25</v>
      </c>
      <c r="E663" s="96"/>
    </row>
    <row r="664" spans="2:8" x14ac:dyDescent="0.3">
      <c r="C664" s="95"/>
      <c r="E664" s="96"/>
    </row>
    <row r="665" spans="2:8" x14ac:dyDescent="0.3">
      <c r="C665" s="95"/>
      <c r="E665" s="96"/>
    </row>
    <row r="666" spans="2:8" x14ac:dyDescent="0.3">
      <c r="C666" s="95"/>
      <c r="E666" s="96"/>
    </row>
    <row r="667" spans="2:8" x14ac:dyDescent="0.3">
      <c r="C667" s="95"/>
      <c r="E667" s="96"/>
    </row>
    <row r="668" spans="2:8" x14ac:dyDescent="0.3">
      <c r="C668" s="95"/>
      <c r="E668" s="96"/>
    </row>
    <row r="669" spans="2:8" x14ac:dyDescent="0.3">
      <c r="C669" s="95"/>
      <c r="E669" s="96"/>
    </row>
    <row r="670" spans="2:8" x14ac:dyDescent="0.3">
      <c r="C670" s="95"/>
      <c r="E670" s="96"/>
    </row>
    <row r="671" spans="2:8" x14ac:dyDescent="0.3">
      <c r="C671" s="95"/>
      <c r="E671" s="96"/>
    </row>
    <row r="672" spans="2:8" x14ac:dyDescent="0.3">
      <c r="C672" s="95"/>
      <c r="E672" s="96"/>
    </row>
    <row r="673" spans="3:5" x14ac:dyDescent="0.3">
      <c r="C673" s="95"/>
      <c r="E673" s="96"/>
    </row>
    <row r="674" spans="3:5" x14ac:dyDescent="0.3">
      <c r="C674" s="95"/>
      <c r="E674" s="96"/>
    </row>
    <row r="675" spans="3:5" x14ac:dyDescent="0.3">
      <c r="C675" s="95"/>
      <c r="E675" s="96"/>
    </row>
    <row r="676" spans="3:5" x14ac:dyDescent="0.3">
      <c r="C676" s="95"/>
      <c r="E676" s="96"/>
    </row>
    <row r="677" spans="3:5" x14ac:dyDescent="0.3">
      <c r="C677" s="95"/>
      <c r="E677" s="96"/>
    </row>
    <row r="678" spans="3:5" x14ac:dyDescent="0.3">
      <c r="C678" s="95"/>
      <c r="E678" s="96"/>
    </row>
    <row r="679" spans="3:5" x14ac:dyDescent="0.3">
      <c r="C679" s="95"/>
      <c r="E679" s="96"/>
    </row>
    <row r="680" spans="3:5" x14ac:dyDescent="0.3">
      <c r="C680" s="95"/>
      <c r="E680" s="96"/>
    </row>
    <row r="681" spans="3:5" x14ac:dyDescent="0.3">
      <c r="C681" s="95"/>
      <c r="E681" s="96"/>
    </row>
    <row r="682" spans="3:5" x14ac:dyDescent="0.3">
      <c r="C682" s="95"/>
      <c r="E682" s="96"/>
    </row>
    <row r="683" spans="3:5" x14ac:dyDescent="0.3">
      <c r="C683" s="95"/>
      <c r="E683" s="96"/>
    </row>
    <row r="684" spans="3:5" x14ac:dyDescent="0.3">
      <c r="C684" s="95"/>
      <c r="E684" s="96"/>
    </row>
    <row r="685" spans="3:5" x14ac:dyDescent="0.3">
      <c r="C685" s="95"/>
      <c r="E685" s="96"/>
    </row>
    <row r="686" spans="3:5" x14ac:dyDescent="0.3">
      <c r="C686" s="95"/>
      <c r="E686" s="96"/>
    </row>
    <row r="687" spans="3:5" x14ac:dyDescent="0.3">
      <c r="C687" s="95"/>
      <c r="E687" s="96"/>
    </row>
    <row r="688" spans="3:5" x14ac:dyDescent="0.3">
      <c r="C688" s="95"/>
      <c r="E688" s="96"/>
    </row>
    <row r="689" spans="3:5" x14ac:dyDescent="0.3">
      <c r="C689" s="95"/>
      <c r="E689" s="96"/>
    </row>
    <row r="690" spans="3:5" x14ac:dyDescent="0.3">
      <c r="C690" s="95"/>
      <c r="E690" s="96"/>
    </row>
    <row r="691" spans="3:5" x14ac:dyDescent="0.3">
      <c r="C691" s="95"/>
      <c r="E691" s="96"/>
    </row>
    <row r="692" spans="3:5" x14ac:dyDescent="0.3">
      <c r="C692" s="95"/>
      <c r="E692" s="96"/>
    </row>
    <row r="693" spans="3:5" x14ac:dyDescent="0.3">
      <c r="C693" s="95"/>
      <c r="E693" s="96"/>
    </row>
    <row r="694" spans="3:5" x14ac:dyDescent="0.3">
      <c r="C694" s="95"/>
      <c r="E694" s="96"/>
    </row>
    <row r="695" spans="3:5" x14ac:dyDescent="0.3">
      <c r="C695" s="95"/>
      <c r="E695" s="96"/>
    </row>
    <row r="696" spans="3:5" x14ac:dyDescent="0.3">
      <c r="C696" s="95"/>
      <c r="E696" s="96"/>
    </row>
    <row r="697" spans="3:5" x14ac:dyDescent="0.3">
      <c r="C697" s="95"/>
      <c r="E697" s="96"/>
    </row>
    <row r="698" spans="3:5" x14ac:dyDescent="0.3">
      <c r="C698" s="95"/>
      <c r="E698" s="96"/>
    </row>
    <row r="699" spans="3:5" x14ac:dyDescent="0.3">
      <c r="C699" s="95"/>
      <c r="E699" s="96"/>
    </row>
    <row r="700" spans="3:5" x14ac:dyDescent="0.3">
      <c r="C700" s="95"/>
      <c r="E700" s="96"/>
    </row>
    <row r="701" spans="3:5" x14ac:dyDescent="0.3">
      <c r="C701" s="95"/>
      <c r="E701" s="96"/>
    </row>
    <row r="702" spans="3:5" x14ac:dyDescent="0.3">
      <c r="C702" s="95"/>
      <c r="E702" s="96"/>
    </row>
    <row r="703" spans="3:5" x14ac:dyDescent="0.3">
      <c r="C703" s="95"/>
      <c r="E703" s="96"/>
    </row>
    <row r="704" spans="3:5" x14ac:dyDescent="0.3">
      <c r="C704" s="95"/>
      <c r="E704" s="96"/>
    </row>
    <row r="705" spans="3:7" x14ac:dyDescent="0.3">
      <c r="C705" s="95"/>
      <c r="E705" s="96"/>
    </row>
    <row r="706" spans="3:7" x14ac:dyDescent="0.3">
      <c r="C706" s="95"/>
      <c r="E706" s="96"/>
    </row>
    <row r="707" spans="3:7" x14ac:dyDescent="0.3">
      <c r="C707" s="95"/>
      <c r="E707" s="96"/>
    </row>
    <row r="708" spans="3:7" x14ac:dyDescent="0.3">
      <c r="C708" s="95"/>
      <c r="E708" s="96"/>
    </row>
    <row r="709" spans="3:7" x14ac:dyDescent="0.3">
      <c r="C709" s="95"/>
      <c r="E709" s="96"/>
    </row>
    <row r="710" spans="3:7" x14ac:dyDescent="0.3">
      <c r="C710" s="95"/>
      <c r="E710" s="96"/>
    </row>
    <row r="711" spans="3:7" x14ac:dyDescent="0.3">
      <c r="C711" s="95"/>
      <c r="E711" s="96"/>
      <c r="G711" s="68"/>
    </row>
    <row r="712" spans="3:7" x14ac:dyDescent="0.3">
      <c r="C712" s="95"/>
      <c r="E712" s="96"/>
    </row>
    <row r="713" spans="3:7" x14ac:dyDescent="0.3">
      <c r="C713" s="95"/>
      <c r="E713" s="96"/>
    </row>
    <row r="714" spans="3:7" x14ac:dyDescent="0.3">
      <c r="C714" s="95"/>
      <c r="E714" s="96"/>
    </row>
    <row r="715" spans="3:7" x14ac:dyDescent="0.3">
      <c r="C715" s="95"/>
    </row>
    <row r="716" spans="3:7" x14ac:dyDescent="0.3">
      <c r="C716" s="95"/>
    </row>
    <row r="717" spans="3:7" x14ac:dyDescent="0.3">
      <c r="C717" s="95"/>
    </row>
    <row r="718" spans="3:7" x14ac:dyDescent="0.3">
      <c r="C718" s="95"/>
    </row>
    <row r="719" spans="3:7" x14ac:dyDescent="0.3">
      <c r="C719" s="95"/>
    </row>
    <row r="720" spans="3:7" x14ac:dyDescent="0.3">
      <c r="C720" s="95"/>
    </row>
  </sheetData>
  <mergeCells count="6">
    <mergeCell ref="A9:E9"/>
    <mergeCell ref="A10:E10"/>
    <mergeCell ref="A628:D628"/>
    <mergeCell ref="A11:E11"/>
    <mergeCell ref="A12:E12"/>
    <mergeCell ref="A13:E13"/>
  </mergeCells>
  <pageMargins left="1.1811023622047245" right="0.39370078740157483" top="0.39370078740157483" bottom="0.39370078740157483" header="0.31496062992125984" footer="0.31496062992125984"/>
  <pageSetup paperSize="9" scale="62" fitToHeight="0" orientation="portrait" r:id="rId1"/>
  <rowBreaks count="1" manualBreakCount="1">
    <brk id="47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18"/>
  <sheetViews>
    <sheetView tabSelected="1" view="pageBreakPreview" topLeftCell="A61" zoomScaleNormal="100" zoomScaleSheetLayoutView="100" workbookViewId="0">
      <selection activeCell="A70" sqref="A70:A72"/>
    </sheetView>
  </sheetViews>
  <sheetFormatPr defaultRowHeight="18.350000000000001" outlineLevelRow="6" x14ac:dyDescent="0.3"/>
  <cols>
    <col min="1" max="1" width="85.375" style="66" customWidth="1"/>
    <col min="2" max="2" width="6.875" style="3" customWidth="1"/>
    <col min="3" max="3" width="17.375" style="3" customWidth="1"/>
    <col min="4" max="4" width="6.375" style="3" customWidth="1"/>
    <col min="5" max="5" width="21.125" style="3" customWidth="1"/>
    <col min="6" max="6" width="20.25" style="384" customWidth="1"/>
    <col min="7" max="7" width="21" style="1" customWidth="1"/>
    <col min="8" max="8" width="19.375" style="1" customWidth="1"/>
    <col min="9" max="256" width="9.125" style="1"/>
    <col min="257" max="257" width="76.375" style="1" customWidth="1"/>
    <col min="258" max="258" width="7.625" style="1" customWidth="1"/>
    <col min="259" max="259" width="9.625" style="1" customWidth="1"/>
    <col min="260" max="260" width="7.625" style="1" customWidth="1"/>
    <col min="261" max="261" width="14.375" style="1" customWidth="1"/>
    <col min="262" max="512" width="9.125" style="1"/>
    <col min="513" max="513" width="76.375" style="1" customWidth="1"/>
    <col min="514" max="514" width="7.625" style="1" customWidth="1"/>
    <col min="515" max="515" width="9.625" style="1" customWidth="1"/>
    <col min="516" max="516" width="7.625" style="1" customWidth="1"/>
    <col min="517" max="517" width="14.375" style="1" customWidth="1"/>
    <col min="518" max="768" width="9.125" style="1"/>
    <col min="769" max="769" width="76.375" style="1" customWidth="1"/>
    <col min="770" max="770" width="7.625" style="1" customWidth="1"/>
    <col min="771" max="771" width="9.625" style="1" customWidth="1"/>
    <col min="772" max="772" width="7.625" style="1" customWidth="1"/>
    <col min="773" max="773" width="14.375" style="1" customWidth="1"/>
    <col min="774" max="1024" width="9.125" style="1"/>
    <col min="1025" max="1025" width="76.375" style="1" customWidth="1"/>
    <col min="1026" max="1026" width="7.625" style="1" customWidth="1"/>
    <col min="1027" max="1027" width="9.625" style="1" customWidth="1"/>
    <col min="1028" max="1028" width="7.625" style="1" customWidth="1"/>
    <col min="1029" max="1029" width="14.375" style="1" customWidth="1"/>
    <col min="1030" max="1280" width="9.125" style="1"/>
    <col min="1281" max="1281" width="76.375" style="1" customWidth="1"/>
    <col min="1282" max="1282" width="7.625" style="1" customWidth="1"/>
    <col min="1283" max="1283" width="9.625" style="1" customWidth="1"/>
    <col min="1284" max="1284" width="7.625" style="1" customWidth="1"/>
    <col min="1285" max="1285" width="14.375" style="1" customWidth="1"/>
    <col min="1286" max="1536" width="9.125" style="1"/>
    <col min="1537" max="1537" width="76.375" style="1" customWidth="1"/>
    <col min="1538" max="1538" width="7.625" style="1" customWidth="1"/>
    <col min="1539" max="1539" width="9.625" style="1" customWidth="1"/>
    <col min="1540" max="1540" width="7.625" style="1" customWidth="1"/>
    <col min="1541" max="1541" width="14.375" style="1" customWidth="1"/>
    <col min="1542" max="1792" width="9.125" style="1"/>
    <col min="1793" max="1793" width="76.375" style="1" customWidth="1"/>
    <col min="1794" max="1794" width="7.625" style="1" customWidth="1"/>
    <col min="1795" max="1795" width="9.625" style="1" customWidth="1"/>
    <col min="1796" max="1796" width="7.625" style="1" customWidth="1"/>
    <col min="1797" max="1797" width="14.375" style="1" customWidth="1"/>
    <col min="1798" max="2048" width="9.125" style="1"/>
    <col min="2049" max="2049" width="76.375" style="1" customWidth="1"/>
    <col min="2050" max="2050" width="7.625" style="1" customWidth="1"/>
    <col min="2051" max="2051" width="9.625" style="1" customWidth="1"/>
    <col min="2052" max="2052" width="7.625" style="1" customWidth="1"/>
    <col min="2053" max="2053" width="14.375" style="1" customWidth="1"/>
    <col min="2054" max="2304" width="9.125" style="1"/>
    <col min="2305" max="2305" width="76.375" style="1" customWidth="1"/>
    <col min="2306" max="2306" width="7.625" style="1" customWidth="1"/>
    <col min="2307" max="2307" width="9.625" style="1" customWidth="1"/>
    <col min="2308" max="2308" width="7.625" style="1" customWidth="1"/>
    <col min="2309" max="2309" width="14.375" style="1" customWidth="1"/>
    <col min="2310" max="2560" width="9.125" style="1"/>
    <col min="2561" max="2561" width="76.375" style="1" customWidth="1"/>
    <col min="2562" max="2562" width="7.625" style="1" customWidth="1"/>
    <col min="2563" max="2563" width="9.625" style="1" customWidth="1"/>
    <col min="2564" max="2564" width="7.625" style="1" customWidth="1"/>
    <col min="2565" max="2565" width="14.375" style="1" customWidth="1"/>
    <col min="2566" max="2816" width="9.125" style="1"/>
    <col min="2817" max="2817" width="76.375" style="1" customWidth="1"/>
    <col min="2818" max="2818" width="7.625" style="1" customWidth="1"/>
    <col min="2819" max="2819" width="9.625" style="1" customWidth="1"/>
    <col min="2820" max="2820" width="7.625" style="1" customWidth="1"/>
    <col min="2821" max="2821" width="14.375" style="1" customWidth="1"/>
    <col min="2822" max="3072" width="9.125" style="1"/>
    <col min="3073" max="3073" width="76.375" style="1" customWidth="1"/>
    <col min="3074" max="3074" width="7.625" style="1" customWidth="1"/>
    <col min="3075" max="3075" width="9.625" style="1" customWidth="1"/>
    <col min="3076" max="3076" width="7.625" style="1" customWidth="1"/>
    <col min="3077" max="3077" width="14.375" style="1" customWidth="1"/>
    <col min="3078" max="3328" width="9.125" style="1"/>
    <col min="3329" max="3329" width="76.375" style="1" customWidth="1"/>
    <col min="3330" max="3330" width="7.625" style="1" customWidth="1"/>
    <col min="3331" max="3331" width="9.625" style="1" customWidth="1"/>
    <col min="3332" max="3332" width="7.625" style="1" customWidth="1"/>
    <col min="3333" max="3333" width="14.375" style="1" customWidth="1"/>
    <col min="3334" max="3584" width="9.125" style="1"/>
    <col min="3585" max="3585" width="76.375" style="1" customWidth="1"/>
    <col min="3586" max="3586" width="7.625" style="1" customWidth="1"/>
    <col min="3587" max="3587" width="9.625" style="1" customWidth="1"/>
    <col min="3588" max="3588" width="7.625" style="1" customWidth="1"/>
    <col min="3589" max="3589" width="14.375" style="1" customWidth="1"/>
    <col min="3590" max="3840" width="9.125" style="1"/>
    <col min="3841" max="3841" width="76.375" style="1" customWidth="1"/>
    <col min="3842" max="3842" width="7.625" style="1" customWidth="1"/>
    <col min="3843" max="3843" width="9.625" style="1" customWidth="1"/>
    <col min="3844" max="3844" width="7.625" style="1" customWidth="1"/>
    <col min="3845" max="3845" width="14.375" style="1" customWidth="1"/>
    <col min="3846" max="4096" width="9.125" style="1"/>
    <col min="4097" max="4097" width="76.375" style="1" customWidth="1"/>
    <col min="4098" max="4098" width="7.625" style="1" customWidth="1"/>
    <col min="4099" max="4099" width="9.625" style="1" customWidth="1"/>
    <col min="4100" max="4100" width="7.625" style="1" customWidth="1"/>
    <col min="4101" max="4101" width="14.375" style="1" customWidth="1"/>
    <col min="4102" max="4352" width="9.125" style="1"/>
    <col min="4353" max="4353" width="76.375" style="1" customWidth="1"/>
    <col min="4354" max="4354" width="7.625" style="1" customWidth="1"/>
    <col min="4355" max="4355" width="9.625" style="1" customWidth="1"/>
    <col min="4356" max="4356" width="7.625" style="1" customWidth="1"/>
    <col min="4357" max="4357" width="14.375" style="1" customWidth="1"/>
    <col min="4358" max="4608" width="9.125" style="1"/>
    <col min="4609" max="4609" width="76.375" style="1" customWidth="1"/>
    <col min="4610" max="4610" width="7.625" style="1" customWidth="1"/>
    <col min="4611" max="4611" width="9.625" style="1" customWidth="1"/>
    <col min="4612" max="4612" width="7.625" style="1" customWidth="1"/>
    <col min="4613" max="4613" width="14.375" style="1" customWidth="1"/>
    <col min="4614" max="4864" width="9.125" style="1"/>
    <col min="4865" max="4865" width="76.375" style="1" customWidth="1"/>
    <col min="4866" max="4866" width="7.625" style="1" customWidth="1"/>
    <col min="4867" max="4867" width="9.625" style="1" customWidth="1"/>
    <col min="4868" max="4868" width="7.625" style="1" customWidth="1"/>
    <col min="4869" max="4869" width="14.375" style="1" customWidth="1"/>
    <col min="4870" max="5120" width="9.125" style="1"/>
    <col min="5121" max="5121" width="76.375" style="1" customWidth="1"/>
    <col min="5122" max="5122" width="7.625" style="1" customWidth="1"/>
    <col min="5123" max="5123" width="9.625" style="1" customWidth="1"/>
    <col min="5124" max="5124" width="7.625" style="1" customWidth="1"/>
    <col min="5125" max="5125" width="14.375" style="1" customWidth="1"/>
    <col min="5126" max="5376" width="9.125" style="1"/>
    <col min="5377" max="5377" width="76.375" style="1" customWidth="1"/>
    <col min="5378" max="5378" width="7.625" style="1" customWidth="1"/>
    <col min="5379" max="5379" width="9.625" style="1" customWidth="1"/>
    <col min="5380" max="5380" width="7.625" style="1" customWidth="1"/>
    <col min="5381" max="5381" width="14.375" style="1" customWidth="1"/>
    <col min="5382" max="5632" width="9.125" style="1"/>
    <col min="5633" max="5633" width="76.375" style="1" customWidth="1"/>
    <col min="5634" max="5634" width="7.625" style="1" customWidth="1"/>
    <col min="5635" max="5635" width="9.625" style="1" customWidth="1"/>
    <col min="5636" max="5636" width="7.625" style="1" customWidth="1"/>
    <col min="5637" max="5637" width="14.375" style="1" customWidth="1"/>
    <col min="5638" max="5888" width="9.125" style="1"/>
    <col min="5889" max="5889" width="76.375" style="1" customWidth="1"/>
    <col min="5890" max="5890" width="7.625" style="1" customWidth="1"/>
    <col min="5891" max="5891" width="9.625" style="1" customWidth="1"/>
    <col min="5892" max="5892" width="7.625" style="1" customWidth="1"/>
    <col min="5893" max="5893" width="14.375" style="1" customWidth="1"/>
    <col min="5894" max="6144" width="9.125" style="1"/>
    <col min="6145" max="6145" width="76.375" style="1" customWidth="1"/>
    <col min="6146" max="6146" width="7.625" style="1" customWidth="1"/>
    <col min="6147" max="6147" width="9.625" style="1" customWidth="1"/>
    <col min="6148" max="6148" width="7.625" style="1" customWidth="1"/>
    <col min="6149" max="6149" width="14.375" style="1" customWidth="1"/>
    <col min="6150" max="6400" width="9.125" style="1"/>
    <col min="6401" max="6401" width="76.375" style="1" customWidth="1"/>
    <col min="6402" max="6402" width="7.625" style="1" customWidth="1"/>
    <col min="6403" max="6403" width="9.625" style="1" customWidth="1"/>
    <col min="6404" max="6404" width="7.625" style="1" customWidth="1"/>
    <col min="6405" max="6405" width="14.375" style="1" customWidth="1"/>
    <col min="6406" max="6656" width="9.125" style="1"/>
    <col min="6657" max="6657" width="76.375" style="1" customWidth="1"/>
    <col min="6658" max="6658" width="7.625" style="1" customWidth="1"/>
    <col min="6659" max="6659" width="9.625" style="1" customWidth="1"/>
    <col min="6660" max="6660" width="7.625" style="1" customWidth="1"/>
    <col min="6661" max="6661" width="14.375" style="1" customWidth="1"/>
    <col min="6662" max="6912" width="9.125" style="1"/>
    <col min="6913" max="6913" width="76.375" style="1" customWidth="1"/>
    <col min="6914" max="6914" width="7.625" style="1" customWidth="1"/>
    <col min="6915" max="6915" width="9.625" style="1" customWidth="1"/>
    <col min="6916" max="6916" width="7.625" style="1" customWidth="1"/>
    <col min="6917" max="6917" width="14.375" style="1" customWidth="1"/>
    <col min="6918" max="7168" width="9.125" style="1"/>
    <col min="7169" max="7169" width="76.375" style="1" customWidth="1"/>
    <col min="7170" max="7170" width="7.625" style="1" customWidth="1"/>
    <col min="7171" max="7171" width="9.625" style="1" customWidth="1"/>
    <col min="7172" max="7172" width="7.625" style="1" customWidth="1"/>
    <col min="7173" max="7173" width="14.375" style="1" customWidth="1"/>
    <col min="7174" max="7424" width="9.125" style="1"/>
    <col min="7425" max="7425" width="76.375" style="1" customWidth="1"/>
    <col min="7426" max="7426" width="7.625" style="1" customWidth="1"/>
    <col min="7427" max="7427" width="9.625" style="1" customWidth="1"/>
    <col min="7428" max="7428" width="7.625" style="1" customWidth="1"/>
    <col min="7429" max="7429" width="14.375" style="1" customWidth="1"/>
    <col min="7430" max="7680" width="9.125" style="1"/>
    <col min="7681" max="7681" width="76.375" style="1" customWidth="1"/>
    <col min="7682" max="7682" width="7.625" style="1" customWidth="1"/>
    <col min="7683" max="7683" width="9.625" style="1" customWidth="1"/>
    <col min="7684" max="7684" width="7.625" style="1" customWidth="1"/>
    <col min="7685" max="7685" width="14.375" style="1" customWidth="1"/>
    <col min="7686" max="7936" width="9.125" style="1"/>
    <col min="7937" max="7937" width="76.375" style="1" customWidth="1"/>
    <col min="7938" max="7938" width="7.625" style="1" customWidth="1"/>
    <col min="7939" max="7939" width="9.625" style="1" customWidth="1"/>
    <col min="7940" max="7940" width="7.625" style="1" customWidth="1"/>
    <col min="7941" max="7941" width="14.375" style="1" customWidth="1"/>
    <col min="7942" max="8192" width="9.125" style="1"/>
    <col min="8193" max="8193" width="76.375" style="1" customWidth="1"/>
    <col min="8194" max="8194" width="7.625" style="1" customWidth="1"/>
    <col min="8195" max="8195" width="9.625" style="1" customWidth="1"/>
    <col min="8196" max="8196" width="7.625" style="1" customWidth="1"/>
    <col min="8197" max="8197" width="14.375" style="1" customWidth="1"/>
    <col min="8198" max="8448" width="9.125" style="1"/>
    <col min="8449" max="8449" width="76.375" style="1" customWidth="1"/>
    <col min="8450" max="8450" width="7.625" style="1" customWidth="1"/>
    <col min="8451" max="8451" width="9.625" style="1" customWidth="1"/>
    <col min="8452" max="8452" width="7.625" style="1" customWidth="1"/>
    <col min="8453" max="8453" width="14.375" style="1" customWidth="1"/>
    <col min="8454" max="8704" width="9.125" style="1"/>
    <col min="8705" max="8705" width="76.375" style="1" customWidth="1"/>
    <col min="8706" max="8706" width="7.625" style="1" customWidth="1"/>
    <col min="8707" max="8707" width="9.625" style="1" customWidth="1"/>
    <col min="8708" max="8708" width="7.625" style="1" customWidth="1"/>
    <col min="8709" max="8709" width="14.375" style="1" customWidth="1"/>
    <col min="8710" max="8960" width="9.125" style="1"/>
    <col min="8961" max="8961" width="76.375" style="1" customWidth="1"/>
    <col min="8962" max="8962" width="7.625" style="1" customWidth="1"/>
    <col min="8963" max="8963" width="9.625" style="1" customWidth="1"/>
    <col min="8964" max="8964" width="7.625" style="1" customWidth="1"/>
    <col min="8965" max="8965" width="14.375" style="1" customWidth="1"/>
    <col min="8966" max="9216" width="9.125" style="1"/>
    <col min="9217" max="9217" width="76.375" style="1" customWidth="1"/>
    <col min="9218" max="9218" width="7.625" style="1" customWidth="1"/>
    <col min="9219" max="9219" width="9.625" style="1" customWidth="1"/>
    <col min="9220" max="9220" width="7.625" style="1" customWidth="1"/>
    <col min="9221" max="9221" width="14.375" style="1" customWidth="1"/>
    <col min="9222" max="9472" width="9.125" style="1"/>
    <col min="9473" max="9473" width="76.375" style="1" customWidth="1"/>
    <col min="9474" max="9474" width="7.625" style="1" customWidth="1"/>
    <col min="9475" max="9475" width="9.625" style="1" customWidth="1"/>
    <col min="9476" max="9476" width="7.625" style="1" customWidth="1"/>
    <col min="9477" max="9477" width="14.375" style="1" customWidth="1"/>
    <col min="9478" max="9728" width="9.125" style="1"/>
    <col min="9729" max="9729" width="76.375" style="1" customWidth="1"/>
    <col min="9730" max="9730" width="7.625" style="1" customWidth="1"/>
    <col min="9731" max="9731" width="9.625" style="1" customWidth="1"/>
    <col min="9732" max="9732" width="7.625" style="1" customWidth="1"/>
    <col min="9733" max="9733" width="14.375" style="1" customWidth="1"/>
    <col min="9734" max="9984" width="9.125" style="1"/>
    <col min="9985" max="9985" width="76.375" style="1" customWidth="1"/>
    <col min="9986" max="9986" width="7.625" style="1" customWidth="1"/>
    <col min="9987" max="9987" width="9.625" style="1" customWidth="1"/>
    <col min="9988" max="9988" width="7.625" style="1" customWidth="1"/>
    <col min="9989" max="9989" width="14.375" style="1" customWidth="1"/>
    <col min="9990" max="10240" width="9.125" style="1"/>
    <col min="10241" max="10241" width="76.375" style="1" customWidth="1"/>
    <col min="10242" max="10242" width="7.625" style="1" customWidth="1"/>
    <col min="10243" max="10243" width="9.625" style="1" customWidth="1"/>
    <col min="10244" max="10244" width="7.625" style="1" customWidth="1"/>
    <col min="10245" max="10245" width="14.375" style="1" customWidth="1"/>
    <col min="10246" max="10496" width="9.125" style="1"/>
    <col min="10497" max="10497" width="76.375" style="1" customWidth="1"/>
    <col min="10498" max="10498" width="7.625" style="1" customWidth="1"/>
    <col min="10499" max="10499" width="9.625" style="1" customWidth="1"/>
    <col min="10500" max="10500" width="7.625" style="1" customWidth="1"/>
    <col min="10501" max="10501" width="14.375" style="1" customWidth="1"/>
    <col min="10502" max="10752" width="9.125" style="1"/>
    <col min="10753" max="10753" width="76.375" style="1" customWidth="1"/>
    <col min="10754" max="10754" width="7.625" style="1" customWidth="1"/>
    <col min="10755" max="10755" width="9.625" style="1" customWidth="1"/>
    <col min="10756" max="10756" width="7.625" style="1" customWidth="1"/>
    <col min="10757" max="10757" width="14.375" style="1" customWidth="1"/>
    <col min="10758" max="11008" width="9.125" style="1"/>
    <col min="11009" max="11009" width="76.375" style="1" customWidth="1"/>
    <col min="11010" max="11010" width="7.625" style="1" customWidth="1"/>
    <col min="11011" max="11011" width="9.625" style="1" customWidth="1"/>
    <col min="11012" max="11012" width="7.625" style="1" customWidth="1"/>
    <col min="11013" max="11013" width="14.375" style="1" customWidth="1"/>
    <col min="11014" max="11264" width="9.125" style="1"/>
    <col min="11265" max="11265" width="76.375" style="1" customWidth="1"/>
    <col min="11266" max="11266" width="7.625" style="1" customWidth="1"/>
    <col min="11267" max="11267" width="9.625" style="1" customWidth="1"/>
    <col min="11268" max="11268" width="7.625" style="1" customWidth="1"/>
    <col min="11269" max="11269" width="14.375" style="1" customWidth="1"/>
    <col min="11270" max="11520" width="9.125" style="1"/>
    <col min="11521" max="11521" width="76.375" style="1" customWidth="1"/>
    <col min="11522" max="11522" width="7.625" style="1" customWidth="1"/>
    <col min="11523" max="11523" width="9.625" style="1" customWidth="1"/>
    <col min="11524" max="11524" width="7.625" style="1" customWidth="1"/>
    <col min="11525" max="11525" width="14.375" style="1" customWidth="1"/>
    <col min="11526" max="11776" width="9.125" style="1"/>
    <col min="11777" max="11777" width="76.375" style="1" customWidth="1"/>
    <col min="11778" max="11778" width="7.625" style="1" customWidth="1"/>
    <col min="11779" max="11779" width="9.625" style="1" customWidth="1"/>
    <col min="11780" max="11780" width="7.625" style="1" customWidth="1"/>
    <col min="11781" max="11781" width="14.375" style="1" customWidth="1"/>
    <col min="11782" max="12032" width="9.125" style="1"/>
    <col min="12033" max="12033" width="76.375" style="1" customWidth="1"/>
    <col min="12034" max="12034" width="7.625" style="1" customWidth="1"/>
    <col min="12035" max="12035" width="9.625" style="1" customWidth="1"/>
    <col min="12036" max="12036" width="7.625" style="1" customWidth="1"/>
    <col min="12037" max="12037" width="14.375" style="1" customWidth="1"/>
    <col min="12038" max="12288" width="9.125" style="1"/>
    <col min="12289" max="12289" width="76.375" style="1" customWidth="1"/>
    <col min="12290" max="12290" width="7.625" style="1" customWidth="1"/>
    <col min="12291" max="12291" width="9.625" style="1" customWidth="1"/>
    <col min="12292" max="12292" width="7.625" style="1" customWidth="1"/>
    <col min="12293" max="12293" width="14.375" style="1" customWidth="1"/>
    <col min="12294" max="12544" width="9.125" style="1"/>
    <col min="12545" max="12545" width="76.375" style="1" customWidth="1"/>
    <col min="12546" max="12546" width="7.625" style="1" customWidth="1"/>
    <col min="12547" max="12547" width="9.625" style="1" customWidth="1"/>
    <col min="12548" max="12548" width="7.625" style="1" customWidth="1"/>
    <col min="12549" max="12549" width="14.375" style="1" customWidth="1"/>
    <col min="12550" max="12800" width="9.125" style="1"/>
    <col min="12801" max="12801" width="76.375" style="1" customWidth="1"/>
    <col min="12802" max="12802" width="7.625" style="1" customWidth="1"/>
    <col min="12803" max="12803" width="9.625" style="1" customWidth="1"/>
    <col min="12804" max="12804" width="7.625" style="1" customWidth="1"/>
    <col min="12805" max="12805" width="14.375" style="1" customWidth="1"/>
    <col min="12806" max="13056" width="9.125" style="1"/>
    <col min="13057" max="13057" width="76.375" style="1" customWidth="1"/>
    <col min="13058" max="13058" width="7.625" style="1" customWidth="1"/>
    <col min="13059" max="13059" width="9.625" style="1" customWidth="1"/>
    <col min="13060" max="13060" width="7.625" style="1" customWidth="1"/>
    <col min="13061" max="13061" width="14.375" style="1" customWidth="1"/>
    <col min="13062" max="13312" width="9.125" style="1"/>
    <col min="13313" max="13313" width="76.375" style="1" customWidth="1"/>
    <col min="13314" max="13314" width="7.625" style="1" customWidth="1"/>
    <col min="13315" max="13315" width="9.625" style="1" customWidth="1"/>
    <col min="13316" max="13316" width="7.625" style="1" customWidth="1"/>
    <col min="13317" max="13317" width="14.375" style="1" customWidth="1"/>
    <col min="13318" max="13568" width="9.125" style="1"/>
    <col min="13569" max="13569" width="76.375" style="1" customWidth="1"/>
    <col min="13570" max="13570" width="7.625" style="1" customWidth="1"/>
    <col min="13571" max="13571" width="9.625" style="1" customWidth="1"/>
    <col min="13572" max="13572" width="7.625" style="1" customWidth="1"/>
    <col min="13573" max="13573" width="14.375" style="1" customWidth="1"/>
    <col min="13574" max="13824" width="9.125" style="1"/>
    <col min="13825" max="13825" width="76.375" style="1" customWidth="1"/>
    <col min="13826" max="13826" width="7.625" style="1" customWidth="1"/>
    <col min="13827" max="13827" width="9.625" style="1" customWidth="1"/>
    <col min="13828" max="13828" width="7.625" style="1" customWidth="1"/>
    <col min="13829" max="13829" width="14.375" style="1" customWidth="1"/>
    <col min="13830" max="14080" width="9.125" style="1"/>
    <col min="14081" max="14081" width="76.375" style="1" customWidth="1"/>
    <col min="14082" max="14082" width="7.625" style="1" customWidth="1"/>
    <col min="14083" max="14083" width="9.625" style="1" customWidth="1"/>
    <col min="14084" max="14084" width="7.625" style="1" customWidth="1"/>
    <col min="14085" max="14085" width="14.375" style="1" customWidth="1"/>
    <col min="14086" max="14336" width="9.125" style="1"/>
    <col min="14337" max="14337" width="76.375" style="1" customWidth="1"/>
    <col min="14338" max="14338" width="7.625" style="1" customWidth="1"/>
    <col min="14339" max="14339" width="9.625" style="1" customWidth="1"/>
    <col min="14340" max="14340" width="7.625" style="1" customWidth="1"/>
    <col min="14341" max="14341" width="14.375" style="1" customWidth="1"/>
    <col min="14342" max="14592" width="9.125" style="1"/>
    <col min="14593" max="14593" width="76.375" style="1" customWidth="1"/>
    <col min="14594" max="14594" width="7.625" style="1" customWidth="1"/>
    <col min="14595" max="14595" width="9.625" style="1" customWidth="1"/>
    <col min="14596" max="14596" width="7.625" style="1" customWidth="1"/>
    <col min="14597" max="14597" width="14.375" style="1" customWidth="1"/>
    <col min="14598" max="14848" width="9.125" style="1"/>
    <col min="14849" max="14849" width="76.375" style="1" customWidth="1"/>
    <col min="14850" max="14850" width="7.625" style="1" customWidth="1"/>
    <col min="14851" max="14851" width="9.625" style="1" customWidth="1"/>
    <col min="14852" max="14852" width="7.625" style="1" customWidth="1"/>
    <col min="14853" max="14853" width="14.375" style="1" customWidth="1"/>
    <col min="14854" max="15104" width="9.125" style="1"/>
    <col min="15105" max="15105" width="76.375" style="1" customWidth="1"/>
    <col min="15106" max="15106" width="7.625" style="1" customWidth="1"/>
    <col min="15107" max="15107" width="9.625" style="1" customWidth="1"/>
    <col min="15108" max="15108" width="7.625" style="1" customWidth="1"/>
    <col min="15109" max="15109" width="14.375" style="1" customWidth="1"/>
    <col min="15110" max="15360" width="9.125" style="1"/>
    <col min="15361" max="15361" width="76.375" style="1" customWidth="1"/>
    <col min="15362" max="15362" width="7.625" style="1" customWidth="1"/>
    <col min="15363" max="15363" width="9.625" style="1" customWidth="1"/>
    <col min="15364" max="15364" width="7.625" style="1" customWidth="1"/>
    <col min="15365" max="15365" width="14.375" style="1" customWidth="1"/>
    <col min="15366" max="15616" width="9.125" style="1"/>
    <col min="15617" max="15617" width="76.375" style="1" customWidth="1"/>
    <col min="15618" max="15618" width="7.625" style="1" customWidth="1"/>
    <col min="15619" max="15619" width="9.625" style="1" customWidth="1"/>
    <col min="15620" max="15620" width="7.625" style="1" customWidth="1"/>
    <col min="15621" max="15621" width="14.375" style="1" customWidth="1"/>
    <col min="15622" max="15872" width="9.125" style="1"/>
    <col min="15873" max="15873" width="76.375" style="1" customWidth="1"/>
    <col min="15874" max="15874" width="7.625" style="1" customWidth="1"/>
    <col min="15875" max="15875" width="9.625" style="1" customWidth="1"/>
    <col min="15876" max="15876" width="7.625" style="1" customWidth="1"/>
    <col min="15877" max="15877" width="14.375" style="1" customWidth="1"/>
    <col min="15878" max="16128" width="9.125" style="1"/>
    <col min="16129" max="16129" width="76.375" style="1" customWidth="1"/>
    <col min="16130" max="16130" width="7.625" style="1" customWidth="1"/>
    <col min="16131" max="16131" width="9.625" style="1" customWidth="1"/>
    <col min="16132" max="16132" width="7.625" style="1" customWidth="1"/>
    <col min="16133" max="16133" width="14.375" style="1" customWidth="1"/>
    <col min="16134" max="16384" width="9.125" style="1"/>
  </cols>
  <sheetData>
    <row r="1" spans="1:8" x14ac:dyDescent="0.3">
      <c r="F1" s="414" t="s">
        <v>1145</v>
      </c>
    </row>
    <row r="2" spans="1:8" x14ac:dyDescent="0.3">
      <c r="F2" s="414" t="s">
        <v>800</v>
      </c>
    </row>
    <row r="3" spans="1:8" x14ac:dyDescent="0.3">
      <c r="F3" s="414" t="s">
        <v>591</v>
      </c>
    </row>
    <row r="4" spans="1:8" x14ac:dyDescent="0.3">
      <c r="F4" s="414" t="s">
        <v>887</v>
      </c>
    </row>
    <row r="5" spans="1:8" x14ac:dyDescent="0.3">
      <c r="A5" s="651" t="s">
        <v>194</v>
      </c>
      <c r="B5" s="651"/>
      <c r="C5" s="651"/>
      <c r="D5" s="651"/>
      <c r="E5" s="651"/>
      <c r="F5" s="651"/>
    </row>
    <row r="6" spans="1:8" x14ac:dyDescent="0.3">
      <c r="A6" s="651" t="s">
        <v>1199</v>
      </c>
      <c r="B6" s="651"/>
      <c r="C6" s="651"/>
      <c r="D6" s="651"/>
      <c r="E6" s="651"/>
      <c r="F6" s="651"/>
    </row>
    <row r="7" spans="1:8" ht="19.55" customHeight="1" x14ac:dyDescent="0.3">
      <c r="A7" s="651" t="s">
        <v>409</v>
      </c>
      <c r="B7" s="651"/>
      <c r="C7" s="651"/>
      <c r="D7" s="651"/>
      <c r="E7" s="651"/>
      <c r="F7" s="651"/>
    </row>
    <row r="8" spans="1:8" ht="19.55" customHeight="1" x14ac:dyDescent="0.3">
      <c r="A8" s="651" t="s">
        <v>410</v>
      </c>
      <c r="B8" s="651"/>
      <c r="C8" s="651"/>
      <c r="D8" s="651"/>
      <c r="E8" s="651"/>
      <c r="F8" s="651"/>
    </row>
    <row r="9" spans="1:8" x14ac:dyDescent="0.3">
      <c r="A9" s="651" t="s">
        <v>411</v>
      </c>
      <c r="B9" s="651"/>
      <c r="C9" s="651"/>
      <c r="D9" s="651"/>
      <c r="E9" s="651"/>
      <c r="F9" s="651"/>
    </row>
    <row r="10" spans="1:8" x14ac:dyDescent="0.3">
      <c r="A10" s="70"/>
      <c r="B10" s="413"/>
      <c r="C10" s="413"/>
      <c r="D10" s="413"/>
      <c r="F10" s="89" t="s">
        <v>382</v>
      </c>
    </row>
    <row r="11" spans="1:8" ht="36.700000000000003" x14ac:dyDescent="0.25">
      <c r="A11" s="21" t="s">
        <v>0</v>
      </c>
      <c r="B11" s="21" t="s">
        <v>2</v>
      </c>
      <c r="C11" s="21" t="s">
        <v>3</v>
      </c>
      <c r="D11" s="21" t="s">
        <v>4</v>
      </c>
      <c r="E11" s="21" t="s">
        <v>1200</v>
      </c>
      <c r="F11" s="21" t="s">
        <v>1180</v>
      </c>
      <c r="G11" s="135"/>
    </row>
    <row r="12" spans="1:8" s="2" customFormat="1" x14ac:dyDescent="0.25">
      <c r="A12" s="45" t="s">
        <v>7</v>
      </c>
      <c r="B12" s="387" t="s">
        <v>8</v>
      </c>
      <c r="C12" s="387" t="s">
        <v>126</v>
      </c>
      <c r="D12" s="387" t="s">
        <v>6</v>
      </c>
      <c r="E12" s="52">
        <f>E13+E18+E40+E33+E46+E61</f>
        <v>114843358.09999999</v>
      </c>
      <c r="F12" s="52">
        <f>F13+F18+F40+F33+F46+F61</f>
        <v>112368337.69</v>
      </c>
      <c r="G12" s="143"/>
      <c r="H12" s="143">
        <f>'[1]прил 12'!G478</f>
        <v>72206241.75999999</v>
      </c>
    </row>
    <row r="13" spans="1:8" ht="38.25" customHeight="1" outlineLevel="1" x14ac:dyDescent="0.25">
      <c r="A13" s="12" t="s">
        <v>28</v>
      </c>
      <c r="B13" s="43" t="s">
        <v>29</v>
      </c>
      <c r="C13" s="43" t="s">
        <v>126</v>
      </c>
      <c r="D13" s="43" t="s">
        <v>6</v>
      </c>
      <c r="E13" s="386">
        <f t="shared" ref="E13:F16" si="0">E14</f>
        <v>3171400</v>
      </c>
      <c r="F13" s="386">
        <f t="shared" si="0"/>
        <v>3203200</v>
      </c>
      <c r="G13" s="135"/>
    </row>
    <row r="14" spans="1:8" outlineLevel="2" x14ac:dyDescent="0.25">
      <c r="A14" s="12" t="s">
        <v>196</v>
      </c>
      <c r="B14" s="43" t="s">
        <v>29</v>
      </c>
      <c r="C14" s="43" t="s">
        <v>127</v>
      </c>
      <c r="D14" s="43" t="s">
        <v>6</v>
      </c>
      <c r="E14" s="386">
        <f t="shared" si="0"/>
        <v>3171400</v>
      </c>
      <c r="F14" s="386">
        <f t="shared" si="0"/>
        <v>3203200</v>
      </c>
      <c r="G14" s="135"/>
    </row>
    <row r="15" spans="1:8" outlineLevel="4" x14ac:dyDescent="0.25">
      <c r="A15" s="12" t="s">
        <v>451</v>
      </c>
      <c r="B15" s="43" t="s">
        <v>29</v>
      </c>
      <c r="C15" s="43" t="s">
        <v>452</v>
      </c>
      <c r="D15" s="43" t="s">
        <v>6</v>
      </c>
      <c r="E15" s="386">
        <f t="shared" si="0"/>
        <v>3171400</v>
      </c>
      <c r="F15" s="386">
        <f t="shared" si="0"/>
        <v>3203200</v>
      </c>
      <c r="G15" s="135"/>
    </row>
    <row r="16" spans="1:8" ht="55.55" customHeight="1" outlineLevel="5" x14ac:dyDescent="0.25">
      <c r="A16" s="12" t="s">
        <v>11</v>
      </c>
      <c r="B16" s="43" t="s">
        <v>29</v>
      </c>
      <c r="C16" s="43" t="s">
        <v>452</v>
      </c>
      <c r="D16" s="43" t="s">
        <v>12</v>
      </c>
      <c r="E16" s="386">
        <f t="shared" si="0"/>
        <v>3171400</v>
      </c>
      <c r="F16" s="386">
        <f t="shared" si="0"/>
        <v>3203200</v>
      </c>
      <c r="G16" s="135"/>
    </row>
    <row r="17" spans="1:7" ht="19.55" customHeight="1" outlineLevel="6" x14ac:dyDescent="0.25">
      <c r="A17" s="12" t="s">
        <v>13</v>
      </c>
      <c r="B17" s="43" t="s">
        <v>29</v>
      </c>
      <c r="C17" s="43" t="s">
        <v>452</v>
      </c>
      <c r="D17" s="43" t="s">
        <v>14</v>
      </c>
      <c r="E17" s="386">
        <f>'прил 8'!F38</f>
        <v>3171400</v>
      </c>
      <c r="F17" s="386">
        <f>'прил 8'!G38</f>
        <v>3203200</v>
      </c>
      <c r="G17" s="135"/>
    </row>
    <row r="18" spans="1:7" ht="54.7" customHeight="1" outlineLevel="1" x14ac:dyDescent="0.25">
      <c r="A18" s="12" t="s">
        <v>108</v>
      </c>
      <c r="B18" s="43" t="s">
        <v>109</v>
      </c>
      <c r="C18" s="43" t="s">
        <v>126</v>
      </c>
      <c r="D18" s="43" t="s">
        <v>6</v>
      </c>
      <c r="E18" s="386">
        <f>E19</f>
        <v>6394435.5299999993</v>
      </c>
      <c r="F18" s="386">
        <f>F19</f>
        <v>6642812.9399999995</v>
      </c>
      <c r="G18" s="135"/>
    </row>
    <row r="19" spans="1:7" outlineLevel="3" x14ac:dyDescent="0.25">
      <c r="A19" s="12" t="s">
        <v>196</v>
      </c>
      <c r="B19" s="43" t="s">
        <v>109</v>
      </c>
      <c r="C19" s="43" t="s">
        <v>127</v>
      </c>
      <c r="D19" s="43" t="s">
        <v>6</v>
      </c>
      <c r="E19" s="386">
        <f>E20+E23+E30</f>
        <v>6394435.5299999993</v>
      </c>
      <c r="F19" s="386">
        <f>F20+F23+F30</f>
        <v>6642812.9399999995</v>
      </c>
      <c r="G19" s="135"/>
    </row>
    <row r="20" spans="1:7" ht="18.7" customHeight="1" outlineLevel="4" x14ac:dyDescent="0.25">
      <c r="A20" s="12" t="s">
        <v>482</v>
      </c>
      <c r="B20" s="43" t="s">
        <v>109</v>
      </c>
      <c r="C20" s="43" t="s">
        <v>483</v>
      </c>
      <c r="D20" s="43" t="s">
        <v>6</v>
      </c>
      <c r="E20" s="386">
        <f>E21</f>
        <v>2986977.26</v>
      </c>
      <c r="F20" s="386">
        <f>F21</f>
        <v>3106456.34</v>
      </c>
      <c r="G20" s="135"/>
    </row>
    <row r="21" spans="1:7" ht="56.25" customHeight="1" outlineLevel="5" x14ac:dyDescent="0.25">
      <c r="A21" s="12" t="s">
        <v>11</v>
      </c>
      <c r="B21" s="43" t="s">
        <v>109</v>
      </c>
      <c r="C21" s="43" t="s">
        <v>483</v>
      </c>
      <c r="D21" s="43" t="s">
        <v>12</v>
      </c>
      <c r="E21" s="386">
        <f>E22</f>
        <v>2986977.26</v>
      </c>
      <c r="F21" s="386">
        <f>F22</f>
        <v>3106456.34</v>
      </c>
      <c r="G21" s="135"/>
    </row>
    <row r="22" spans="1:7" ht="19.55" customHeight="1" outlineLevel="6" x14ac:dyDescent="0.25">
      <c r="A22" s="12" t="s">
        <v>13</v>
      </c>
      <c r="B22" s="43" t="s">
        <v>109</v>
      </c>
      <c r="C22" s="43" t="s">
        <v>483</v>
      </c>
      <c r="D22" s="43" t="s">
        <v>14</v>
      </c>
      <c r="E22" s="386">
        <f>'прил 8'!F422</f>
        <v>2986977.26</v>
      </c>
      <c r="F22" s="386">
        <f>'прил 8'!G422</f>
        <v>3106456.34</v>
      </c>
      <c r="G22" s="135"/>
    </row>
    <row r="23" spans="1:7" ht="39.75" customHeight="1" outlineLevel="4" x14ac:dyDescent="0.25">
      <c r="A23" s="12" t="s">
        <v>449</v>
      </c>
      <c r="B23" s="43" t="s">
        <v>109</v>
      </c>
      <c r="C23" s="43" t="s">
        <v>450</v>
      </c>
      <c r="D23" s="43" t="s">
        <v>6</v>
      </c>
      <c r="E23" s="386">
        <f>E24+E26+E28</f>
        <v>3227458.27</v>
      </c>
      <c r="F23" s="386">
        <f>F24+F26+F28</f>
        <v>3356356.6</v>
      </c>
      <c r="G23" s="135"/>
    </row>
    <row r="24" spans="1:7" ht="54.7" customHeight="1" outlineLevel="5" x14ac:dyDescent="0.25">
      <c r="A24" s="12" t="s">
        <v>11</v>
      </c>
      <c r="B24" s="43" t="s">
        <v>109</v>
      </c>
      <c r="C24" s="43" t="s">
        <v>450</v>
      </c>
      <c r="D24" s="43" t="s">
        <v>12</v>
      </c>
      <c r="E24" s="386">
        <f>E25</f>
        <v>2986378.27</v>
      </c>
      <c r="F24" s="386">
        <f>F25</f>
        <v>3105833.4</v>
      </c>
      <c r="G24" s="135"/>
    </row>
    <row r="25" spans="1:7" ht="17.5" customHeight="1" outlineLevel="6" x14ac:dyDescent="0.25">
      <c r="A25" s="12" t="s">
        <v>13</v>
      </c>
      <c r="B25" s="43" t="s">
        <v>109</v>
      </c>
      <c r="C25" s="43" t="s">
        <v>450</v>
      </c>
      <c r="D25" s="43" t="s">
        <v>14</v>
      </c>
      <c r="E25" s="386">
        <f>'прил 8'!F425</f>
        <v>2986378.27</v>
      </c>
      <c r="F25" s="386">
        <f>'прил 8'!G425</f>
        <v>3105833.4</v>
      </c>
      <c r="G25" s="135"/>
    </row>
    <row r="26" spans="1:7" ht="17.5" customHeight="1" outlineLevel="5" x14ac:dyDescent="0.25">
      <c r="A26" s="12" t="s">
        <v>15</v>
      </c>
      <c r="B26" s="43" t="s">
        <v>109</v>
      </c>
      <c r="C26" s="43" t="s">
        <v>450</v>
      </c>
      <c r="D26" s="43" t="s">
        <v>16</v>
      </c>
      <c r="E26" s="386">
        <f>E27</f>
        <v>236080</v>
      </c>
      <c r="F26" s="386">
        <f>F27</f>
        <v>245523.20000000001</v>
      </c>
      <c r="G26" s="135"/>
    </row>
    <row r="27" spans="1:7" ht="36.700000000000003" outlineLevel="6" x14ac:dyDescent="0.25">
      <c r="A27" s="12" t="s">
        <v>17</v>
      </c>
      <c r="B27" s="43" t="s">
        <v>109</v>
      </c>
      <c r="C27" s="43" t="s">
        <v>450</v>
      </c>
      <c r="D27" s="43" t="s">
        <v>18</v>
      </c>
      <c r="E27" s="386">
        <f>'прил 8'!F427</f>
        <v>236080</v>
      </c>
      <c r="F27" s="386">
        <f>'прил 8'!G427</f>
        <v>245523.20000000001</v>
      </c>
      <c r="G27" s="135"/>
    </row>
    <row r="28" spans="1:7" outlineLevel="5" x14ac:dyDescent="0.25">
      <c r="A28" s="12" t="s">
        <v>19</v>
      </c>
      <c r="B28" s="43" t="s">
        <v>109</v>
      </c>
      <c r="C28" s="43" t="s">
        <v>450</v>
      </c>
      <c r="D28" s="43" t="s">
        <v>20</v>
      </c>
      <c r="E28" s="386">
        <f>E29</f>
        <v>5000</v>
      </c>
      <c r="F28" s="386">
        <f>F29</f>
        <v>5000</v>
      </c>
      <c r="G28" s="135"/>
    </row>
    <row r="29" spans="1:7" outlineLevel="6" x14ac:dyDescent="0.25">
      <c r="A29" s="12" t="s">
        <v>21</v>
      </c>
      <c r="B29" s="43" t="s">
        <v>109</v>
      </c>
      <c r="C29" s="43" t="s">
        <v>450</v>
      </c>
      <c r="D29" s="43" t="s">
        <v>22</v>
      </c>
      <c r="E29" s="386">
        <f>'прил 8'!F429</f>
        <v>5000</v>
      </c>
      <c r="F29" s="386">
        <f>'прил 8'!G429</f>
        <v>5000</v>
      </c>
      <c r="G29" s="135"/>
    </row>
    <row r="30" spans="1:7" outlineLevel="4" x14ac:dyDescent="0.25">
      <c r="A30" s="12" t="s">
        <v>485</v>
      </c>
      <c r="B30" s="43" t="s">
        <v>109</v>
      </c>
      <c r="C30" s="43" t="s">
        <v>484</v>
      </c>
      <c r="D30" s="43" t="s">
        <v>6</v>
      </c>
      <c r="E30" s="386">
        <f>E31</f>
        <v>180000</v>
      </c>
      <c r="F30" s="386">
        <f>F31</f>
        <v>180000</v>
      </c>
      <c r="G30" s="135"/>
    </row>
    <row r="31" spans="1:7" ht="54.7" customHeight="1" outlineLevel="5" x14ac:dyDescent="0.25">
      <c r="A31" s="12" t="s">
        <v>11</v>
      </c>
      <c r="B31" s="43" t="s">
        <v>109</v>
      </c>
      <c r="C31" s="43" t="s">
        <v>484</v>
      </c>
      <c r="D31" s="43" t="s">
        <v>12</v>
      </c>
      <c r="E31" s="386">
        <f>E32</f>
        <v>180000</v>
      </c>
      <c r="F31" s="386">
        <f>F32</f>
        <v>180000</v>
      </c>
      <c r="G31" s="135"/>
    </row>
    <row r="32" spans="1:7" ht="17.5" customHeight="1" outlineLevel="6" x14ac:dyDescent="0.25">
      <c r="A32" s="12" t="s">
        <v>13</v>
      </c>
      <c r="B32" s="43" t="s">
        <v>109</v>
      </c>
      <c r="C32" s="43" t="s">
        <v>484</v>
      </c>
      <c r="D32" s="43" t="s">
        <v>14</v>
      </c>
      <c r="E32" s="386">
        <f>'прил 8'!F432</f>
        <v>180000</v>
      </c>
      <c r="F32" s="386">
        <f>'прил 8'!G432</f>
        <v>180000</v>
      </c>
      <c r="G32" s="135"/>
    </row>
    <row r="33" spans="1:7" ht="58.75" customHeight="1" outlineLevel="1" x14ac:dyDescent="0.25">
      <c r="A33" s="12" t="s">
        <v>30</v>
      </c>
      <c r="B33" s="43" t="s">
        <v>31</v>
      </c>
      <c r="C33" s="43" t="s">
        <v>126</v>
      </c>
      <c r="D33" s="43" t="s">
        <v>6</v>
      </c>
      <c r="E33" s="386">
        <f>E34</f>
        <v>23340000</v>
      </c>
      <c r="F33" s="386">
        <f>F34</f>
        <v>21605000</v>
      </c>
      <c r="G33" s="135"/>
    </row>
    <row r="34" spans="1:7" outlineLevel="3" x14ac:dyDescent="0.25">
      <c r="A34" s="12" t="s">
        <v>196</v>
      </c>
      <c r="B34" s="43" t="s">
        <v>31</v>
      </c>
      <c r="C34" s="43" t="s">
        <v>127</v>
      </c>
      <c r="D34" s="43" t="s">
        <v>6</v>
      </c>
      <c r="E34" s="386">
        <f>E35</f>
        <v>23340000</v>
      </c>
      <c r="F34" s="386">
        <f>F35</f>
        <v>21605000</v>
      </c>
      <c r="G34" s="135"/>
    </row>
    <row r="35" spans="1:7" ht="38.25" customHeight="1" outlineLevel="4" x14ac:dyDescent="0.25">
      <c r="A35" s="12" t="s">
        <v>449</v>
      </c>
      <c r="B35" s="43" t="s">
        <v>31</v>
      </c>
      <c r="C35" s="43" t="s">
        <v>450</v>
      </c>
      <c r="D35" s="43" t="s">
        <v>6</v>
      </c>
      <c r="E35" s="386">
        <f>E36+E38</f>
        <v>23340000</v>
      </c>
      <c r="F35" s="386">
        <f>F36+F38</f>
        <v>21605000</v>
      </c>
      <c r="G35" s="135"/>
    </row>
    <row r="36" spans="1:7" ht="54.7" customHeight="1" outlineLevel="5" x14ac:dyDescent="0.25">
      <c r="A36" s="12" t="s">
        <v>11</v>
      </c>
      <c r="B36" s="43" t="s">
        <v>31</v>
      </c>
      <c r="C36" s="43" t="s">
        <v>450</v>
      </c>
      <c r="D36" s="43" t="s">
        <v>12</v>
      </c>
      <c r="E36" s="386">
        <f>E37</f>
        <v>23235000</v>
      </c>
      <c r="F36" s="386">
        <f>F37</f>
        <v>21500000</v>
      </c>
      <c r="G36" s="135"/>
    </row>
    <row r="37" spans="1:7" ht="17.5" customHeight="1" outlineLevel="6" x14ac:dyDescent="0.25">
      <c r="A37" s="12" t="s">
        <v>13</v>
      </c>
      <c r="B37" s="43" t="s">
        <v>31</v>
      </c>
      <c r="C37" s="43" t="s">
        <v>450</v>
      </c>
      <c r="D37" s="43" t="s">
        <v>14</v>
      </c>
      <c r="E37" s="386">
        <f>'прил 8'!F43</f>
        <v>23235000</v>
      </c>
      <c r="F37" s="386">
        <f>'прил 8'!G43</f>
        <v>21500000</v>
      </c>
      <c r="G37" s="135"/>
    </row>
    <row r="38" spans="1:7" ht="17.5" customHeight="1" outlineLevel="5" x14ac:dyDescent="0.25">
      <c r="A38" s="12" t="s">
        <v>15</v>
      </c>
      <c r="B38" s="43" t="s">
        <v>31</v>
      </c>
      <c r="C38" s="43" t="s">
        <v>450</v>
      </c>
      <c r="D38" s="43" t="s">
        <v>16</v>
      </c>
      <c r="E38" s="386">
        <f>E39</f>
        <v>105000</v>
      </c>
      <c r="F38" s="386">
        <f>F39</f>
        <v>105000</v>
      </c>
      <c r="G38" s="135"/>
    </row>
    <row r="39" spans="1:7" ht="36.700000000000003" outlineLevel="6" x14ac:dyDescent="0.25">
      <c r="A39" s="12" t="s">
        <v>17</v>
      </c>
      <c r="B39" s="43" t="s">
        <v>31</v>
      </c>
      <c r="C39" s="43" t="s">
        <v>450</v>
      </c>
      <c r="D39" s="43" t="s">
        <v>18</v>
      </c>
      <c r="E39" s="386">
        <f>'прил 8'!F45</f>
        <v>105000</v>
      </c>
      <c r="F39" s="386">
        <f>'прил 8'!G45</f>
        <v>105000</v>
      </c>
      <c r="G39" s="135"/>
    </row>
    <row r="40" spans="1:7" outlineLevel="6" x14ac:dyDescent="0.25">
      <c r="A40" s="12" t="s">
        <v>254</v>
      </c>
      <c r="B40" s="43" t="s">
        <v>255</v>
      </c>
      <c r="C40" s="43" t="s">
        <v>126</v>
      </c>
      <c r="D40" s="43" t="s">
        <v>6</v>
      </c>
      <c r="E40" s="386">
        <f t="shared" ref="E40:F44" si="1">E41</f>
        <v>3786</v>
      </c>
      <c r="F40" s="386">
        <f t="shared" si="1"/>
        <v>3786</v>
      </c>
      <c r="G40" s="135"/>
    </row>
    <row r="41" spans="1:7" ht="18" customHeight="1" outlineLevel="6" x14ac:dyDescent="0.25">
      <c r="A41" s="12" t="s">
        <v>132</v>
      </c>
      <c r="B41" s="43" t="s">
        <v>255</v>
      </c>
      <c r="C41" s="43" t="s">
        <v>127</v>
      </c>
      <c r="D41" s="43" t="s">
        <v>6</v>
      </c>
      <c r="E41" s="386">
        <f t="shared" si="1"/>
        <v>3786</v>
      </c>
      <c r="F41" s="386">
        <f t="shared" si="1"/>
        <v>3786</v>
      </c>
      <c r="G41" s="135"/>
    </row>
    <row r="42" spans="1:7" outlineLevel="6" x14ac:dyDescent="0.25">
      <c r="A42" s="12" t="s">
        <v>269</v>
      </c>
      <c r="B42" s="43" t="s">
        <v>255</v>
      </c>
      <c r="C42" s="43" t="s">
        <v>268</v>
      </c>
      <c r="D42" s="43" t="s">
        <v>6</v>
      </c>
      <c r="E42" s="386">
        <f t="shared" si="1"/>
        <v>3786</v>
      </c>
      <c r="F42" s="386">
        <f t="shared" si="1"/>
        <v>3786</v>
      </c>
      <c r="G42" s="135"/>
    </row>
    <row r="43" spans="1:7" ht="73.55" customHeight="1" outlineLevel="6" x14ac:dyDescent="0.25">
      <c r="A43" s="12" t="s">
        <v>384</v>
      </c>
      <c r="B43" s="43" t="s">
        <v>255</v>
      </c>
      <c r="C43" s="43" t="s">
        <v>277</v>
      </c>
      <c r="D43" s="43" t="s">
        <v>6</v>
      </c>
      <c r="E43" s="386">
        <f t="shared" si="1"/>
        <v>3786</v>
      </c>
      <c r="F43" s="386">
        <f t="shared" si="1"/>
        <v>3786</v>
      </c>
      <c r="G43" s="135"/>
    </row>
    <row r="44" spans="1:7" ht="18" customHeight="1" outlineLevel="6" x14ac:dyDescent="0.25">
      <c r="A44" s="12" t="s">
        <v>15</v>
      </c>
      <c r="B44" s="43" t="s">
        <v>255</v>
      </c>
      <c r="C44" s="43" t="s">
        <v>277</v>
      </c>
      <c r="D44" s="43" t="s">
        <v>16</v>
      </c>
      <c r="E44" s="386">
        <f t="shared" si="1"/>
        <v>3786</v>
      </c>
      <c r="F44" s="386">
        <f t="shared" si="1"/>
        <v>3786</v>
      </c>
      <c r="G44" s="135"/>
    </row>
    <row r="45" spans="1:7" ht="36.700000000000003" outlineLevel="6" x14ac:dyDescent="0.25">
      <c r="A45" s="12" t="s">
        <v>17</v>
      </c>
      <c r="B45" s="43" t="s">
        <v>255</v>
      </c>
      <c r="C45" s="43" t="s">
        <v>277</v>
      </c>
      <c r="D45" s="43" t="s">
        <v>18</v>
      </c>
      <c r="E45" s="386">
        <f>'прил 8'!F51</f>
        <v>3786</v>
      </c>
      <c r="F45" s="386">
        <f>'прил 8'!G51</f>
        <v>3786</v>
      </c>
      <c r="G45" s="135"/>
    </row>
    <row r="46" spans="1:7" ht="39.25" customHeight="1" outlineLevel="1" x14ac:dyDescent="0.25">
      <c r="A46" s="12" t="s">
        <v>9</v>
      </c>
      <c r="B46" s="43" t="s">
        <v>10</v>
      </c>
      <c r="C46" s="43" t="s">
        <v>126</v>
      </c>
      <c r="D46" s="43" t="s">
        <v>6</v>
      </c>
      <c r="E46" s="386">
        <f>E47</f>
        <v>11287145.299999999</v>
      </c>
      <c r="F46" s="386">
        <f>F47</f>
        <v>11522932.879999999</v>
      </c>
      <c r="G46" s="135"/>
    </row>
    <row r="47" spans="1:7" outlineLevel="3" x14ac:dyDescent="0.25">
      <c r="A47" s="12" t="s">
        <v>196</v>
      </c>
      <c r="B47" s="43" t="s">
        <v>10</v>
      </c>
      <c r="C47" s="43" t="s">
        <v>127</v>
      </c>
      <c r="D47" s="43" t="s">
        <v>6</v>
      </c>
      <c r="E47" s="386">
        <f>E48+E55+E58</f>
        <v>11287145.299999999</v>
      </c>
      <c r="F47" s="386">
        <f>F48+F55+F58</f>
        <v>11522932.879999999</v>
      </c>
      <c r="G47" s="135"/>
    </row>
    <row r="48" spans="1:7" ht="39.25" customHeight="1" outlineLevel="4" x14ac:dyDescent="0.25">
      <c r="A48" s="12" t="s">
        <v>449</v>
      </c>
      <c r="B48" s="43" t="s">
        <v>10</v>
      </c>
      <c r="C48" s="43" t="s">
        <v>450</v>
      </c>
      <c r="D48" s="43" t="s">
        <v>6</v>
      </c>
      <c r="E48" s="386">
        <f>E49+E51+E53</f>
        <v>8691940.9699999988</v>
      </c>
      <c r="F48" s="386">
        <f>F49+F51+F53</f>
        <v>8851550.3699999992</v>
      </c>
      <c r="G48" s="135"/>
    </row>
    <row r="49" spans="1:7" ht="55.55" customHeight="1" outlineLevel="5" x14ac:dyDescent="0.25">
      <c r="A49" s="12" t="s">
        <v>11</v>
      </c>
      <c r="B49" s="43" t="s">
        <v>10</v>
      </c>
      <c r="C49" s="43" t="s">
        <v>450</v>
      </c>
      <c r="D49" s="43" t="s">
        <v>12</v>
      </c>
      <c r="E49" s="386">
        <f>E50</f>
        <v>8351608.9699999997</v>
      </c>
      <c r="F49" s="386">
        <f>F50</f>
        <v>8497665.7699999996</v>
      </c>
      <c r="G49" s="135"/>
    </row>
    <row r="50" spans="1:7" ht="18" customHeight="1" outlineLevel="6" x14ac:dyDescent="0.25">
      <c r="A50" s="12" t="s">
        <v>13</v>
      </c>
      <c r="B50" s="43" t="s">
        <v>10</v>
      </c>
      <c r="C50" s="43" t="s">
        <v>450</v>
      </c>
      <c r="D50" s="43" t="s">
        <v>14</v>
      </c>
      <c r="E50" s="386">
        <f>'прил 8'!F16+'прил 8'!F617</f>
        <v>8351608.9699999997</v>
      </c>
      <c r="F50" s="386">
        <f>'прил 8'!G16+'прил 8'!G617</f>
        <v>8497665.7699999996</v>
      </c>
      <c r="G50" s="135"/>
    </row>
    <row r="51" spans="1:7" ht="18" customHeight="1" outlineLevel="5" x14ac:dyDescent="0.25">
      <c r="A51" s="12" t="s">
        <v>15</v>
      </c>
      <c r="B51" s="43" t="s">
        <v>10</v>
      </c>
      <c r="C51" s="43" t="s">
        <v>450</v>
      </c>
      <c r="D51" s="43" t="s">
        <v>16</v>
      </c>
      <c r="E51" s="386">
        <f>E52</f>
        <v>338832</v>
      </c>
      <c r="F51" s="386">
        <f>F52</f>
        <v>352384.6</v>
      </c>
      <c r="G51" s="135"/>
    </row>
    <row r="52" spans="1:7" ht="39.75" customHeight="1" outlineLevel="6" x14ac:dyDescent="0.25">
      <c r="A52" s="12" t="s">
        <v>17</v>
      </c>
      <c r="B52" s="43" t="s">
        <v>10</v>
      </c>
      <c r="C52" s="43" t="s">
        <v>450</v>
      </c>
      <c r="D52" s="43" t="s">
        <v>18</v>
      </c>
      <c r="E52" s="386">
        <f>'прил 8'!F18+'прил 8'!F619</f>
        <v>338832</v>
      </c>
      <c r="F52" s="386">
        <f>'прил 8'!G18+'прил 8'!G619</f>
        <v>352384.6</v>
      </c>
      <c r="G52" s="135"/>
    </row>
    <row r="53" spans="1:7" outlineLevel="5" x14ac:dyDescent="0.25">
      <c r="A53" s="12" t="s">
        <v>19</v>
      </c>
      <c r="B53" s="43" t="s">
        <v>10</v>
      </c>
      <c r="C53" s="43" t="s">
        <v>450</v>
      </c>
      <c r="D53" s="43" t="s">
        <v>20</v>
      </c>
      <c r="E53" s="386">
        <f>E54</f>
        <v>1500</v>
      </c>
      <c r="F53" s="386">
        <f>F54</f>
        <v>1500</v>
      </c>
      <c r="G53" s="135"/>
    </row>
    <row r="54" spans="1:7" outlineLevel="6" x14ac:dyDescent="0.25">
      <c r="A54" s="12" t="s">
        <v>21</v>
      </c>
      <c r="B54" s="43" t="s">
        <v>10</v>
      </c>
      <c r="C54" s="43" t="s">
        <v>450</v>
      </c>
      <c r="D54" s="43" t="s">
        <v>22</v>
      </c>
      <c r="E54" s="386">
        <f>'прил 8'!F20+'прил 8'!F621</f>
        <v>1500</v>
      </c>
      <c r="F54" s="386">
        <f>'прил 8'!G20+'прил 8'!G621</f>
        <v>1500</v>
      </c>
      <c r="G54" s="135"/>
    </row>
    <row r="55" spans="1:7" outlineLevel="4" x14ac:dyDescent="0.25">
      <c r="A55" s="12" t="s">
        <v>197</v>
      </c>
      <c r="B55" s="43" t="s">
        <v>10</v>
      </c>
      <c r="C55" s="43" t="s">
        <v>143</v>
      </c>
      <c r="D55" s="43" t="s">
        <v>6</v>
      </c>
      <c r="E55" s="386">
        <f>E56</f>
        <v>1675704.33</v>
      </c>
      <c r="F55" s="386">
        <f>F56</f>
        <v>1742732.51</v>
      </c>
      <c r="G55" s="135"/>
    </row>
    <row r="56" spans="1:7" ht="56.25" customHeight="1" outlineLevel="5" x14ac:dyDescent="0.25">
      <c r="A56" s="12" t="s">
        <v>11</v>
      </c>
      <c r="B56" s="43" t="s">
        <v>10</v>
      </c>
      <c r="C56" s="43" t="s">
        <v>143</v>
      </c>
      <c r="D56" s="43" t="s">
        <v>12</v>
      </c>
      <c r="E56" s="386">
        <f>E57</f>
        <v>1675704.33</v>
      </c>
      <c r="F56" s="386">
        <f>F57</f>
        <v>1742732.51</v>
      </c>
      <c r="G56" s="135"/>
    </row>
    <row r="57" spans="1:7" ht="17.5" customHeight="1" outlineLevel="6" x14ac:dyDescent="0.25">
      <c r="A57" s="12" t="s">
        <v>13</v>
      </c>
      <c r="B57" s="43" t="s">
        <v>10</v>
      </c>
      <c r="C57" s="43" t="s">
        <v>143</v>
      </c>
      <c r="D57" s="43" t="s">
        <v>14</v>
      </c>
      <c r="E57" s="386">
        <f>'прил 8'!F614</f>
        <v>1675704.33</v>
      </c>
      <c r="F57" s="386">
        <f>'прил 8'!G614</f>
        <v>1742732.51</v>
      </c>
      <c r="G57" s="135"/>
    </row>
    <row r="58" spans="1:7" ht="17.5" customHeight="1" outlineLevel="4" x14ac:dyDescent="0.25">
      <c r="A58" s="12" t="s">
        <v>453</v>
      </c>
      <c r="B58" s="43" t="s">
        <v>10</v>
      </c>
      <c r="C58" s="43" t="s">
        <v>491</v>
      </c>
      <c r="D58" s="43" t="s">
        <v>6</v>
      </c>
      <c r="E58" s="386">
        <f>E59</f>
        <v>919500</v>
      </c>
      <c r="F58" s="386">
        <f>F59</f>
        <v>928650</v>
      </c>
      <c r="G58" s="135"/>
    </row>
    <row r="59" spans="1:7" ht="55.55" customHeight="1" outlineLevel="5" x14ac:dyDescent="0.25">
      <c r="A59" s="12" t="s">
        <v>11</v>
      </c>
      <c r="B59" s="43" t="s">
        <v>10</v>
      </c>
      <c r="C59" s="43" t="s">
        <v>491</v>
      </c>
      <c r="D59" s="43" t="s">
        <v>12</v>
      </c>
      <c r="E59" s="386">
        <f>E60</f>
        <v>919500</v>
      </c>
      <c r="F59" s="386">
        <f>F60</f>
        <v>928650</v>
      </c>
      <c r="G59" s="135"/>
    </row>
    <row r="60" spans="1:7" ht="17.5" customHeight="1" outlineLevel="6" x14ac:dyDescent="0.25">
      <c r="A60" s="12" t="s">
        <v>13</v>
      </c>
      <c r="B60" s="43" t="s">
        <v>10</v>
      </c>
      <c r="C60" s="43" t="s">
        <v>491</v>
      </c>
      <c r="D60" s="43" t="s">
        <v>14</v>
      </c>
      <c r="E60" s="386">
        <f>'прил 8'!F56</f>
        <v>919500</v>
      </c>
      <c r="F60" s="386">
        <f>'прил 8'!G56</f>
        <v>928650</v>
      </c>
      <c r="G60" s="135"/>
    </row>
    <row r="61" spans="1:7" outlineLevel="6" x14ac:dyDescent="0.25">
      <c r="A61" s="12" t="s">
        <v>23</v>
      </c>
      <c r="B61" s="43" t="s">
        <v>24</v>
      </c>
      <c r="C61" s="43" t="s">
        <v>126</v>
      </c>
      <c r="D61" s="43" t="s">
        <v>6</v>
      </c>
      <c r="E61" s="386">
        <f>E62+E90+E95+E103+E115+E110</f>
        <v>70646591.269999996</v>
      </c>
      <c r="F61" s="386">
        <f>F62+F90+F95+F103+F115+F110</f>
        <v>69390605.870000005</v>
      </c>
      <c r="G61" s="135"/>
    </row>
    <row r="62" spans="1:7" ht="38.25" customHeight="1" outlineLevel="4" x14ac:dyDescent="0.25">
      <c r="A62" s="45" t="s">
        <v>1151</v>
      </c>
      <c r="B62" s="387" t="s">
        <v>24</v>
      </c>
      <c r="C62" s="387" t="s">
        <v>128</v>
      </c>
      <c r="D62" s="387" t="s">
        <v>6</v>
      </c>
      <c r="E62" s="386">
        <f>E63+E73+E81</f>
        <v>20439380</v>
      </c>
      <c r="F62" s="386">
        <f>F63+F73+F81</f>
        <v>18521585.600000001</v>
      </c>
      <c r="G62" s="135"/>
    </row>
    <row r="63" spans="1:7" ht="39.75" customHeight="1" outlineLevel="5" x14ac:dyDescent="0.25">
      <c r="A63" s="12" t="s">
        <v>211</v>
      </c>
      <c r="B63" s="43" t="s">
        <v>24</v>
      </c>
      <c r="C63" s="43" t="s">
        <v>303</v>
      </c>
      <c r="D63" s="43" t="s">
        <v>6</v>
      </c>
      <c r="E63" s="386">
        <f>E64+E67+E70</f>
        <v>1015625</v>
      </c>
      <c r="F63" s="386">
        <f>F64+F67+F70</f>
        <v>1019434.6</v>
      </c>
      <c r="G63" s="135"/>
    </row>
    <row r="64" spans="1:7" outlineLevel="6" x14ac:dyDescent="0.25">
      <c r="A64" s="12" t="s">
        <v>309</v>
      </c>
      <c r="B64" s="43" t="s">
        <v>24</v>
      </c>
      <c r="C64" s="43" t="s">
        <v>304</v>
      </c>
      <c r="D64" s="43" t="s">
        <v>6</v>
      </c>
      <c r="E64" s="386">
        <f>E65</f>
        <v>840625</v>
      </c>
      <c r="F64" s="386">
        <f>F65</f>
        <v>844434.6</v>
      </c>
      <c r="G64" s="135"/>
    </row>
    <row r="65" spans="1:7" ht="18" customHeight="1" outlineLevel="4" x14ac:dyDescent="0.25">
      <c r="A65" s="12" t="s">
        <v>15</v>
      </c>
      <c r="B65" s="43" t="s">
        <v>24</v>
      </c>
      <c r="C65" s="43" t="s">
        <v>304</v>
      </c>
      <c r="D65" s="43" t="s">
        <v>16</v>
      </c>
      <c r="E65" s="386">
        <f>E66</f>
        <v>840625</v>
      </c>
      <c r="F65" s="386">
        <f>F66</f>
        <v>844434.6</v>
      </c>
      <c r="G65" s="135"/>
    </row>
    <row r="66" spans="1:7" ht="36.700000000000003" outlineLevel="5" x14ac:dyDescent="0.25">
      <c r="A66" s="12" t="s">
        <v>17</v>
      </c>
      <c r="B66" s="43" t="s">
        <v>24</v>
      </c>
      <c r="C66" s="43" t="s">
        <v>304</v>
      </c>
      <c r="D66" s="43" t="s">
        <v>18</v>
      </c>
      <c r="E66" s="386">
        <f>'прил 8'!F26+'прил 8'!F67+'прил 8'!F438+'прил 8'!F626</f>
        <v>840625</v>
      </c>
      <c r="F66" s="386">
        <f>'прил 8'!G26+'прил 8'!G67+'прил 8'!G438+'прил 8'!G626</f>
        <v>844434.6</v>
      </c>
      <c r="G66" s="135"/>
    </row>
    <row r="67" spans="1:7" outlineLevel="6" x14ac:dyDescent="0.25">
      <c r="A67" s="12" t="s">
        <v>310</v>
      </c>
      <c r="B67" s="43" t="s">
        <v>24</v>
      </c>
      <c r="C67" s="43" t="s">
        <v>311</v>
      </c>
      <c r="D67" s="43" t="s">
        <v>6</v>
      </c>
      <c r="E67" s="386">
        <f>E68</f>
        <v>165000</v>
      </c>
      <c r="F67" s="386">
        <f>F68</f>
        <v>165000</v>
      </c>
      <c r="G67" s="135"/>
    </row>
    <row r="68" spans="1:7" ht="18" customHeight="1" outlineLevel="5" x14ac:dyDescent="0.25">
      <c r="A68" s="12" t="s">
        <v>15</v>
      </c>
      <c r="B68" s="43" t="s">
        <v>24</v>
      </c>
      <c r="C68" s="43" t="s">
        <v>311</v>
      </c>
      <c r="D68" s="43" t="s">
        <v>16</v>
      </c>
      <c r="E68" s="386">
        <f>E69</f>
        <v>165000</v>
      </c>
      <c r="F68" s="386">
        <f>F69</f>
        <v>165000</v>
      </c>
      <c r="G68" s="135"/>
    </row>
    <row r="69" spans="1:7" ht="36.700000000000003" outlineLevel="6" x14ac:dyDescent="0.25">
      <c r="A69" s="12" t="s">
        <v>17</v>
      </c>
      <c r="B69" s="43" t="s">
        <v>24</v>
      </c>
      <c r="C69" s="43" t="s">
        <v>311</v>
      </c>
      <c r="D69" s="43" t="s">
        <v>18</v>
      </c>
      <c r="E69" s="386">
        <f>'прил 8'!F70</f>
        <v>165000</v>
      </c>
      <c r="F69" s="386">
        <f>'прил 8'!G70</f>
        <v>165000</v>
      </c>
      <c r="G69" s="135"/>
    </row>
    <row r="70" spans="1:7" ht="36.700000000000003" outlineLevel="6" x14ac:dyDescent="0.25">
      <c r="A70" s="423" t="s">
        <v>1045</v>
      </c>
      <c r="B70" s="425" t="s">
        <v>24</v>
      </c>
      <c r="C70" s="425" t="s">
        <v>1046</v>
      </c>
      <c r="D70" s="425" t="s">
        <v>6</v>
      </c>
      <c r="E70" s="386">
        <f>E71</f>
        <v>10000</v>
      </c>
      <c r="F70" s="386">
        <f>F71</f>
        <v>10000</v>
      </c>
      <c r="G70" s="135"/>
    </row>
    <row r="71" spans="1:7" ht="36.700000000000003" outlineLevel="6" x14ac:dyDescent="0.25">
      <c r="A71" s="423" t="s">
        <v>15</v>
      </c>
      <c r="B71" s="425" t="s">
        <v>24</v>
      </c>
      <c r="C71" s="425" t="s">
        <v>1046</v>
      </c>
      <c r="D71" s="425" t="s">
        <v>16</v>
      </c>
      <c r="E71" s="386">
        <f>E72</f>
        <v>10000</v>
      </c>
      <c r="F71" s="386">
        <f>F72</f>
        <v>10000</v>
      </c>
      <c r="G71" s="135"/>
    </row>
    <row r="72" spans="1:7" ht="36.700000000000003" outlineLevel="6" x14ac:dyDescent="0.25">
      <c r="A72" s="423" t="s">
        <v>17</v>
      </c>
      <c r="B72" s="425" t="s">
        <v>24</v>
      </c>
      <c r="C72" s="425" t="s">
        <v>1046</v>
      </c>
      <c r="D72" s="425" t="s">
        <v>18</v>
      </c>
      <c r="E72" s="386">
        <f>'прил 8'!F73</f>
        <v>10000</v>
      </c>
      <c r="F72" s="386">
        <f>'прил 8'!G73</f>
        <v>10000</v>
      </c>
      <c r="G72" s="135"/>
    </row>
    <row r="73" spans="1:7" ht="36.700000000000003" outlineLevel="4" x14ac:dyDescent="0.25">
      <c r="A73" s="12" t="s">
        <v>213</v>
      </c>
      <c r="B73" s="43" t="s">
        <v>24</v>
      </c>
      <c r="C73" s="43" t="s">
        <v>228</v>
      </c>
      <c r="D73" s="43" t="s">
        <v>6</v>
      </c>
      <c r="E73" s="386">
        <f>E74</f>
        <v>17959911</v>
      </c>
      <c r="F73" s="386">
        <f>F74</f>
        <v>16038307</v>
      </c>
      <c r="G73" s="135"/>
    </row>
    <row r="74" spans="1:7" ht="39.25" customHeight="1" outlineLevel="5" x14ac:dyDescent="0.25">
      <c r="A74" s="12" t="s">
        <v>33</v>
      </c>
      <c r="B74" s="43" t="s">
        <v>24</v>
      </c>
      <c r="C74" s="43" t="s">
        <v>130</v>
      </c>
      <c r="D74" s="43" t="s">
        <v>6</v>
      </c>
      <c r="E74" s="386">
        <f>E75+E77+E79</f>
        <v>17959911</v>
      </c>
      <c r="F74" s="386">
        <f>F75+F77+F79</f>
        <v>16038307</v>
      </c>
      <c r="G74" s="135"/>
    </row>
    <row r="75" spans="1:7" ht="55.55" customHeight="1" outlineLevel="6" x14ac:dyDescent="0.25">
      <c r="A75" s="12" t="s">
        <v>11</v>
      </c>
      <c r="B75" s="43" t="s">
        <v>24</v>
      </c>
      <c r="C75" s="43" t="s">
        <v>130</v>
      </c>
      <c r="D75" s="43" t="s">
        <v>12</v>
      </c>
      <c r="E75" s="386">
        <f>E76</f>
        <v>11908068</v>
      </c>
      <c r="F75" s="386">
        <f>F76</f>
        <v>10524390</v>
      </c>
      <c r="G75" s="135"/>
    </row>
    <row r="76" spans="1:7" outlineLevel="5" x14ac:dyDescent="0.25">
      <c r="A76" s="12" t="s">
        <v>34</v>
      </c>
      <c r="B76" s="43" t="s">
        <v>24</v>
      </c>
      <c r="C76" s="43" t="s">
        <v>130</v>
      </c>
      <c r="D76" s="43" t="s">
        <v>35</v>
      </c>
      <c r="E76" s="386">
        <f>'прил 8'!F77</f>
        <v>11908068</v>
      </c>
      <c r="F76" s="386">
        <f>'прил 8'!G77</f>
        <v>10524390</v>
      </c>
      <c r="G76" s="135"/>
    </row>
    <row r="77" spans="1:7" ht="18" customHeight="1" outlineLevel="6" x14ac:dyDescent="0.25">
      <c r="A77" s="12" t="s">
        <v>15</v>
      </c>
      <c r="B77" s="43" t="s">
        <v>24</v>
      </c>
      <c r="C77" s="43" t="s">
        <v>130</v>
      </c>
      <c r="D77" s="43" t="s">
        <v>16</v>
      </c>
      <c r="E77" s="386">
        <f>E78</f>
        <v>5220625</v>
      </c>
      <c r="F77" s="386">
        <f>F78</f>
        <v>4649450</v>
      </c>
      <c r="G77" s="135"/>
    </row>
    <row r="78" spans="1:7" ht="36.700000000000003" outlineLevel="5" x14ac:dyDescent="0.25">
      <c r="A78" s="12" t="s">
        <v>17</v>
      </c>
      <c r="B78" s="43" t="s">
        <v>24</v>
      </c>
      <c r="C78" s="43" t="s">
        <v>130</v>
      </c>
      <c r="D78" s="43" t="s">
        <v>18</v>
      </c>
      <c r="E78" s="386">
        <f>'прил 8'!F79</f>
        <v>5220625</v>
      </c>
      <c r="F78" s="386">
        <f>'прил 8'!G79</f>
        <v>4649450</v>
      </c>
      <c r="G78" s="135"/>
    </row>
    <row r="79" spans="1:7" outlineLevel="6" x14ac:dyDescent="0.25">
      <c r="A79" s="12" t="s">
        <v>19</v>
      </c>
      <c r="B79" s="43" t="s">
        <v>24</v>
      </c>
      <c r="C79" s="43" t="s">
        <v>130</v>
      </c>
      <c r="D79" s="43" t="s">
        <v>20</v>
      </c>
      <c r="E79" s="386">
        <f>E80</f>
        <v>831218</v>
      </c>
      <c r="F79" s="386">
        <f>F80</f>
        <v>864467</v>
      </c>
      <c r="G79" s="135"/>
    </row>
    <row r="80" spans="1:7" outlineLevel="2" x14ac:dyDescent="0.25">
      <c r="A80" s="12" t="s">
        <v>21</v>
      </c>
      <c r="B80" s="43" t="s">
        <v>24</v>
      </c>
      <c r="C80" s="43" t="s">
        <v>130</v>
      </c>
      <c r="D80" s="43" t="s">
        <v>22</v>
      </c>
      <c r="E80" s="386">
        <f>'прил 8'!F81</f>
        <v>831218</v>
      </c>
      <c r="F80" s="386">
        <f>'прил 8'!G81</f>
        <v>864467</v>
      </c>
      <c r="G80" s="135"/>
    </row>
    <row r="81" spans="1:7" outlineLevel="2" x14ac:dyDescent="0.25">
      <c r="A81" s="12" t="s">
        <v>670</v>
      </c>
      <c r="B81" s="43" t="s">
        <v>24</v>
      </c>
      <c r="C81" s="43" t="s">
        <v>624</v>
      </c>
      <c r="D81" s="43" t="s">
        <v>6</v>
      </c>
      <c r="E81" s="386">
        <f>E82+E85</f>
        <v>1463844</v>
      </c>
      <c r="F81" s="386">
        <f>F82+F85</f>
        <v>1463844</v>
      </c>
      <c r="G81" s="135"/>
    </row>
    <row r="82" spans="1:7" ht="36.700000000000003" hidden="1" outlineLevel="2" x14ac:dyDescent="0.25">
      <c r="A82" s="12" t="s">
        <v>648</v>
      </c>
      <c r="B82" s="43" t="s">
        <v>24</v>
      </c>
      <c r="C82" s="43" t="s">
        <v>623</v>
      </c>
      <c r="D82" s="43" t="s">
        <v>6</v>
      </c>
      <c r="E82" s="386">
        <f>E83</f>
        <v>0</v>
      </c>
      <c r="F82" s="386">
        <f>F83</f>
        <v>0</v>
      </c>
      <c r="G82" s="135"/>
    </row>
    <row r="83" spans="1:7" ht="36.700000000000003" hidden="1" outlineLevel="2" x14ac:dyDescent="0.25">
      <c r="A83" s="12" t="s">
        <v>15</v>
      </c>
      <c r="B83" s="43" t="s">
        <v>24</v>
      </c>
      <c r="C83" s="43" t="s">
        <v>623</v>
      </c>
      <c r="D83" s="43" t="s">
        <v>16</v>
      </c>
      <c r="E83" s="386">
        <f>E84</f>
        <v>0</v>
      </c>
      <c r="F83" s="386">
        <f>F84</f>
        <v>0</v>
      </c>
      <c r="G83" s="135"/>
    </row>
    <row r="84" spans="1:7" ht="36.700000000000003" hidden="1" outlineLevel="2" x14ac:dyDescent="0.25">
      <c r="A84" s="12" t="s">
        <v>17</v>
      </c>
      <c r="B84" s="43" t="s">
        <v>24</v>
      </c>
      <c r="C84" s="43" t="s">
        <v>623</v>
      </c>
      <c r="D84" s="43" t="s">
        <v>18</v>
      </c>
      <c r="E84" s="386">
        <v>0</v>
      </c>
      <c r="F84" s="386">
        <v>0</v>
      </c>
      <c r="G84" s="135"/>
    </row>
    <row r="85" spans="1:7" ht="36.700000000000003" outlineLevel="2" x14ac:dyDescent="0.25">
      <c r="A85" s="12" t="s">
        <v>622</v>
      </c>
      <c r="B85" s="43" t="s">
        <v>24</v>
      </c>
      <c r="C85" s="43" t="s">
        <v>621</v>
      </c>
      <c r="D85" s="43" t="s">
        <v>6</v>
      </c>
      <c r="E85" s="386">
        <f>E88+E86</f>
        <v>1463844</v>
      </c>
      <c r="F85" s="386">
        <f>F88+F86</f>
        <v>1463844</v>
      </c>
      <c r="G85" s="135"/>
    </row>
    <row r="86" spans="1:7" ht="73.400000000000006" outlineLevel="2" x14ac:dyDescent="0.25">
      <c r="A86" s="12" t="s">
        <v>11</v>
      </c>
      <c r="B86" s="43" t="s">
        <v>24</v>
      </c>
      <c r="C86" s="43" t="s">
        <v>621</v>
      </c>
      <c r="D86" s="43" t="s">
        <v>12</v>
      </c>
      <c r="E86" s="386">
        <f>E87</f>
        <v>128744</v>
      </c>
      <c r="F86" s="386">
        <f>F87</f>
        <v>128744</v>
      </c>
      <c r="G86" s="135"/>
    </row>
    <row r="87" spans="1:7" ht="36.700000000000003" outlineLevel="2" x14ac:dyDescent="0.25">
      <c r="A87" s="12" t="s">
        <v>13</v>
      </c>
      <c r="B87" s="43" t="s">
        <v>24</v>
      </c>
      <c r="C87" s="43" t="s">
        <v>621</v>
      </c>
      <c r="D87" s="43" t="s">
        <v>14</v>
      </c>
      <c r="E87" s="386">
        <f>'прил 8'!F85</f>
        <v>128744</v>
      </c>
      <c r="F87" s="386">
        <f>'прил 8'!G85</f>
        <v>128744</v>
      </c>
      <c r="G87" s="135"/>
    </row>
    <row r="88" spans="1:7" ht="36.700000000000003" outlineLevel="2" x14ac:dyDescent="0.25">
      <c r="A88" s="12" t="s">
        <v>15</v>
      </c>
      <c r="B88" s="43" t="s">
        <v>24</v>
      </c>
      <c r="C88" s="43" t="s">
        <v>621</v>
      </c>
      <c r="D88" s="43" t="s">
        <v>16</v>
      </c>
      <c r="E88" s="386">
        <f>E89</f>
        <v>1335100</v>
      </c>
      <c r="F88" s="386">
        <f>F89</f>
        <v>1335100</v>
      </c>
      <c r="G88" s="135"/>
    </row>
    <row r="89" spans="1:7" ht="36.700000000000003" outlineLevel="2" x14ac:dyDescent="0.25">
      <c r="A89" s="12" t="s">
        <v>17</v>
      </c>
      <c r="B89" s="43" t="s">
        <v>24</v>
      </c>
      <c r="C89" s="43" t="s">
        <v>621</v>
      </c>
      <c r="D89" s="43" t="s">
        <v>18</v>
      </c>
      <c r="E89" s="386">
        <f>'прил 8'!F87</f>
        <v>1335100</v>
      </c>
      <c r="F89" s="386">
        <f>'прил 8'!G87</f>
        <v>1335100</v>
      </c>
      <c r="G89" s="135"/>
    </row>
    <row r="90" spans="1:7" ht="36.700000000000003" outlineLevel="4" x14ac:dyDescent="0.25">
      <c r="A90" s="45" t="s">
        <v>1152</v>
      </c>
      <c r="B90" s="387" t="s">
        <v>24</v>
      </c>
      <c r="C90" s="387" t="s">
        <v>131</v>
      </c>
      <c r="D90" s="387" t="s">
        <v>6</v>
      </c>
      <c r="E90" s="386">
        <f t="shared" ref="E90:F93" si="2">E91</f>
        <v>50000</v>
      </c>
      <c r="F90" s="386">
        <f t="shared" si="2"/>
        <v>50000</v>
      </c>
      <c r="G90" s="135"/>
    </row>
    <row r="91" spans="1:7" ht="21.25" customHeight="1" outlineLevel="5" x14ac:dyDescent="0.25">
      <c r="A91" s="12" t="s">
        <v>312</v>
      </c>
      <c r="B91" s="43" t="s">
        <v>24</v>
      </c>
      <c r="C91" s="43" t="s">
        <v>230</v>
      </c>
      <c r="D91" s="43" t="s">
        <v>6</v>
      </c>
      <c r="E91" s="386">
        <f t="shared" si="2"/>
        <v>50000</v>
      </c>
      <c r="F91" s="386">
        <f t="shared" si="2"/>
        <v>50000</v>
      </c>
      <c r="G91" s="135"/>
    </row>
    <row r="92" spans="1:7" ht="18" customHeight="1" outlineLevel="6" x14ac:dyDescent="0.25">
      <c r="A92" s="12" t="s">
        <v>313</v>
      </c>
      <c r="B92" s="43" t="s">
        <v>24</v>
      </c>
      <c r="C92" s="43" t="s">
        <v>314</v>
      </c>
      <c r="D92" s="43" t="s">
        <v>6</v>
      </c>
      <c r="E92" s="386">
        <f t="shared" si="2"/>
        <v>50000</v>
      </c>
      <c r="F92" s="386">
        <f t="shared" si="2"/>
        <v>50000</v>
      </c>
      <c r="G92" s="135"/>
    </row>
    <row r="93" spans="1:7" ht="18" customHeight="1" outlineLevel="6" x14ac:dyDescent="0.25">
      <c r="A93" s="12" t="s">
        <v>15</v>
      </c>
      <c r="B93" s="43" t="s">
        <v>24</v>
      </c>
      <c r="C93" s="43" t="s">
        <v>314</v>
      </c>
      <c r="D93" s="43" t="s">
        <v>16</v>
      </c>
      <c r="E93" s="386">
        <f t="shared" si="2"/>
        <v>50000</v>
      </c>
      <c r="F93" s="386">
        <f t="shared" si="2"/>
        <v>50000</v>
      </c>
      <c r="G93" s="135"/>
    </row>
    <row r="94" spans="1:7" ht="41.3" customHeight="1" outlineLevel="6" x14ac:dyDescent="0.25">
      <c r="A94" s="12" t="s">
        <v>17</v>
      </c>
      <c r="B94" s="43" t="s">
        <v>24</v>
      </c>
      <c r="C94" s="43" t="s">
        <v>314</v>
      </c>
      <c r="D94" s="43" t="s">
        <v>18</v>
      </c>
      <c r="E94" s="386">
        <f>'прил 8'!F92</f>
        <v>50000</v>
      </c>
      <c r="F94" s="386">
        <f>'прил 8'!G92</f>
        <v>50000</v>
      </c>
      <c r="G94" s="135"/>
    </row>
    <row r="95" spans="1:7" ht="38.25" customHeight="1" outlineLevel="6" x14ac:dyDescent="0.25">
      <c r="A95" s="45" t="s">
        <v>1150</v>
      </c>
      <c r="B95" s="387" t="s">
        <v>24</v>
      </c>
      <c r="C95" s="387" t="s">
        <v>305</v>
      </c>
      <c r="D95" s="387" t="s">
        <v>6</v>
      </c>
      <c r="E95" s="386">
        <f>E96</f>
        <v>1371937</v>
      </c>
      <c r="F95" s="386">
        <f>F96</f>
        <v>1490857</v>
      </c>
      <c r="G95" s="135"/>
    </row>
    <row r="96" spans="1:7" ht="36.700000000000003" outlineLevel="6" x14ac:dyDescent="0.25">
      <c r="A96" s="12" t="s">
        <v>315</v>
      </c>
      <c r="B96" s="43" t="s">
        <v>24</v>
      </c>
      <c r="C96" s="43" t="s">
        <v>306</v>
      </c>
      <c r="D96" s="43" t="s">
        <v>6</v>
      </c>
      <c r="E96" s="386">
        <f>E97+E100</f>
        <v>1371937</v>
      </c>
      <c r="F96" s="386">
        <f>F97+F100</f>
        <v>1490857</v>
      </c>
      <c r="G96" s="135"/>
    </row>
    <row r="97" spans="1:7" ht="39.75" customHeight="1" outlineLevel="6" x14ac:dyDescent="0.25">
      <c r="A97" s="12" t="s">
        <v>316</v>
      </c>
      <c r="B97" s="43" t="s">
        <v>24</v>
      </c>
      <c r="C97" s="43" t="s">
        <v>317</v>
      </c>
      <c r="D97" s="43" t="s">
        <v>6</v>
      </c>
      <c r="E97" s="386">
        <f>E98</f>
        <v>1339657</v>
      </c>
      <c r="F97" s="386">
        <f>F98</f>
        <v>1457287</v>
      </c>
      <c r="G97" s="135"/>
    </row>
    <row r="98" spans="1:7" ht="21.75" customHeight="1" outlineLevel="6" x14ac:dyDescent="0.25">
      <c r="A98" s="12" t="s">
        <v>15</v>
      </c>
      <c r="B98" s="43" t="s">
        <v>24</v>
      </c>
      <c r="C98" s="43" t="s">
        <v>317</v>
      </c>
      <c r="D98" s="43" t="s">
        <v>16</v>
      </c>
      <c r="E98" s="386">
        <f>E99</f>
        <v>1339657</v>
      </c>
      <c r="F98" s="386">
        <f>F99</f>
        <v>1457287</v>
      </c>
      <c r="G98" s="135"/>
    </row>
    <row r="99" spans="1:7" ht="36.700000000000003" outlineLevel="6" x14ac:dyDescent="0.25">
      <c r="A99" s="12" t="s">
        <v>17</v>
      </c>
      <c r="B99" s="43" t="s">
        <v>24</v>
      </c>
      <c r="C99" s="43" t="s">
        <v>317</v>
      </c>
      <c r="D99" s="43" t="s">
        <v>18</v>
      </c>
      <c r="E99" s="386">
        <f>'прил 8'!F31+'прил 8'!F97+'прил 8'!F631</f>
        <v>1339657</v>
      </c>
      <c r="F99" s="386">
        <f>'прил 8'!G31+'прил 8'!G97+'прил 8'!G631</f>
        <v>1457287</v>
      </c>
      <c r="G99" s="135"/>
    </row>
    <row r="100" spans="1:7" ht="19.55" customHeight="1" outlineLevel="6" x14ac:dyDescent="0.25">
      <c r="A100" s="12" t="s">
        <v>318</v>
      </c>
      <c r="B100" s="43" t="s">
        <v>24</v>
      </c>
      <c r="C100" s="43" t="s">
        <v>307</v>
      </c>
      <c r="D100" s="43" t="s">
        <v>6</v>
      </c>
      <c r="E100" s="386">
        <f>E101</f>
        <v>32280</v>
      </c>
      <c r="F100" s="386">
        <f>F101</f>
        <v>33570</v>
      </c>
      <c r="G100" s="135"/>
    </row>
    <row r="101" spans="1:7" ht="17.5" customHeight="1" outlineLevel="6" x14ac:dyDescent="0.25">
      <c r="A101" s="12" t="s">
        <v>15</v>
      </c>
      <c r="B101" s="43" t="s">
        <v>24</v>
      </c>
      <c r="C101" s="43" t="s">
        <v>307</v>
      </c>
      <c r="D101" s="43" t="s">
        <v>16</v>
      </c>
      <c r="E101" s="386">
        <f>E102</f>
        <v>32280</v>
      </c>
      <c r="F101" s="386">
        <f>F102</f>
        <v>33570</v>
      </c>
      <c r="G101" s="135"/>
    </row>
    <row r="102" spans="1:7" ht="36.700000000000003" outlineLevel="6" x14ac:dyDescent="0.25">
      <c r="A102" s="12" t="s">
        <v>17</v>
      </c>
      <c r="B102" s="43" t="s">
        <v>24</v>
      </c>
      <c r="C102" s="43" t="s">
        <v>307</v>
      </c>
      <c r="D102" s="43" t="s">
        <v>18</v>
      </c>
      <c r="E102" s="386">
        <f>'прил 8'!F100</f>
        <v>32280</v>
      </c>
      <c r="F102" s="386">
        <f>'прил 8'!G100</f>
        <v>33570</v>
      </c>
      <c r="G102" s="135"/>
    </row>
    <row r="103" spans="1:7" ht="39.75" customHeight="1" outlineLevel="4" x14ac:dyDescent="0.25">
      <c r="A103" s="45" t="s">
        <v>1153</v>
      </c>
      <c r="B103" s="387" t="s">
        <v>24</v>
      </c>
      <c r="C103" s="387" t="s">
        <v>319</v>
      </c>
      <c r="D103" s="387" t="s">
        <v>6</v>
      </c>
      <c r="E103" s="386">
        <f>E104</f>
        <v>600000</v>
      </c>
      <c r="F103" s="386">
        <f>F104</f>
        <v>600000</v>
      </c>
      <c r="G103" s="135"/>
    </row>
    <row r="104" spans="1:7" ht="39.75" customHeight="1" outlineLevel="5" x14ac:dyDescent="0.25">
      <c r="A104" s="12" t="s">
        <v>212</v>
      </c>
      <c r="B104" s="43" t="s">
        <v>24</v>
      </c>
      <c r="C104" s="43" t="s">
        <v>320</v>
      </c>
      <c r="D104" s="43" t="s">
        <v>6</v>
      </c>
      <c r="E104" s="386">
        <f>E105</f>
        <v>600000</v>
      </c>
      <c r="F104" s="386">
        <f>F105</f>
        <v>600000</v>
      </c>
      <c r="G104" s="135"/>
    </row>
    <row r="105" spans="1:7" ht="36" customHeight="1" outlineLevel="6" x14ac:dyDescent="0.25">
      <c r="A105" s="12" t="s">
        <v>32</v>
      </c>
      <c r="B105" s="43" t="s">
        <v>24</v>
      </c>
      <c r="C105" s="43" t="s">
        <v>321</v>
      </c>
      <c r="D105" s="43" t="s">
        <v>6</v>
      </c>
      <c r="E105" s="386">
        <f>E106+E108</f>
        <v>600000</v>
      </c>
      <c r="F105" s="386">
        <f>F106+F108</f>
        <v>600000</v>
      </c>
      <c r="G105" s="135"/>
    </row>
    <row r="106" spans="1:7" ht="19.55" customHeight="1" outlineLevel="5" x14ac:dyDescent="0.25">
      <c r="A106" s="12" t="s">
        <v>15</v>
      </c>
      <c r="B106" s="43" t="s">
        <v>24</v>
      </c>
      <c r="C106" s="43" t="s">
        <v>321</v>
      </c>
      <c r="D106" s="43" t="s">
        <v>16</v>
      </c>
      <c r="E106" s="386">
        <f>E107</f>
        <v>460000</v>
      </c>
      <c r="F106" s="386">
        <f>F107</f>
        <v>460000</v>
      </c>
      <c r="G106" s="135"/>
    </row>
    <row r="107" spans="1:7" ht="36.700000000000003" outlineLevel="6" x14ac:dyDescent="0.25">
      <c r="A107" s="12" t="s">
        <v>17</v>
      </c>
      <c r="B107" s="43" t="s">
        <v>24</v>
      </c>
      <c r="C107" s="43" t="s">
        <v>321</v>
      </c>
      <c r="D107" s="43" t="s">
        <v>18</v>
      </c>
      <c r="E107" s="386">
        <f>'прил 8'!F105</f>
        <v>460000</v>
      </c>
      <c r="F107" s="386">
        <f>'прил 8'!G105</f>
        <v>460000</v>
      </c>
      <c r="G107" s="135"/>
    </row>
    <row r="108" spans="1:7" ht="19.55" customHeight="1" outlineLevel="4" x14ac:dyDescent="0.25">
      <c r="A108" s="12" t="s">
        <v>19</v>
      </c>
      <c r="B108" s="43" t="s">
        <v>24</v>
      </c>
      <c r="C108" s="43" t="s">
        <v>321</v>
      </c>
      <c r="D108" s="43" t="s">
        <v>20</v>
      </c>
      <c r="E108" s="386">
        <f>E109</f>
        <v>140000</v>
      </c>
      <c r="F108" s="386">
        <f>F109</f>
        <v>140000</v>
      </c>
      <c r="G108" s="135"/>
    </row>
    <row r="109" spans="1:7" ht="19.55" customHeight="1" outlineLevel="5" x14ac:dyDescent="0.25">
      <c r="A109" s="12" t="s">
        <v>21</v>
      </c>
      <c r="B109" s="43" t="s">
        <v>24</v>
      </c>
      <c r="C109" s="43" t="s">
        <v>321</v>
      </c>
      <c r="D109" s="43" t="s">
        <v>22</v>
      </c>
      <c r="E109" s="386">
        <f>'прил 8'!F107</f>
        <v>140000</v>
      </c>
      <c r="F109" s="386">
        <f>'прил 8'!G107</f>
        <v>140000</v>
      </c>
      <c r="G109" s="135"/>
    </row>
    <row r="110" spans="1:7" ht="43.5" customHeight="1" outlineLevel="5" x14ac:dyDescent="0.25">
      <c r="A110" s="45" t="s">
        <v>1154</v>
      </c>
      <c r="B110" s="387" t="s">
        <v>24</v>
      </c>
      <c r="C110" s="387" t="s">
        <v>819</v>
      </c>
      <c r="D110" s="387" t="s">
        <v>6</v>
      </c>
      <c r="E110" s="386">
        <f t="shared" ref="E110:F113" si="3">E111</f>
        <v>100000</v>
      </c>
      <c r="F110" s="386">
        <f t="shared" si="3"/>
        <v>100000</v>
      </c>
      <c r="G110" s="135"/>
    </row>
    <row r="111" spans="1:7" ht="19.55" customHeight="1" outlineLevel="5" x14ac:dyDescent="0.25">
      <c r="A111" s="12" t="s">
        <v>818</v>
      </c>
      <c r="B111" s="43" t="s">
        <v>24</v>
      </c>
      <c r="C111" s="43" t="s">
        <v>820</v>
      </c>
      <c r="D111" s="43" t="s">
        <v>6</v>
      </c>
      <c r="E111" s="386">
        <f t="shared" si="3"/>
        <v>100000</v>
      </c>
      <c r="F111" s="386">
        <f t="shared" si="3"/>
        <v>100000</v>
      </c>
      <c r="G111" s="135"/>
    </row>
    <row r="112" spans="1:7" ht="19.55" customHeight="1" outlineLevel="5" x14ac:dyDescent="0.25">
      <c r="A112" s="12" t="s">
        <v>310</v>
      </c>
      <c r="B112" s="43" t="s">
        <v>24</v>
      </c>
      <c r="C112" s="43" t="s">
        <v>821</v>
      </c>
      <c r="D112" s="43" t="s">
        <v>6</v>
      </c>
      <c r="E112" s="386">
        <f t="shared" si="3"/>
        <v>100000</v>
      </c>
      <c r="F112" s="386">
        <f t="shared" si="3"/>
        <v>100000</v>
      </c>
      <c r="G112" s="135"/>
    </row>
    <row r="113" spans="1:7" ht="19.55" customHeight="1" outlineLevel="5" x14ac:dyDescent="0.25">
      <c r="A113" s="12" t="s">
        <v>15</v>
      </c>
      <c r="B113" s="43" t="s">
        <v>24</v>
      </c>
      <c r="C113" s="43" t="s">
        <v>821</v>
      </c>
      <c r="D113" s="43" t="s">
        <v>16</v>
      </c>
      <c r="E113" s="386">
        <f t="shared" si="3"/>
        <v>100000</v>
      </c>
      <c r="F113" s="386">
        <f t="shared" si="3"/>
        <v>100000</v>
      </c>
      <c r="G113" s="135"/>
    </row>
    <row r="114" spans="1:7" ht="19.55" customHeight="1" outlineLevel="5" x14ac:dyDescent="0.25">
      <c r="A114" s="12" t="s">
        <v>17</v>
      </c>
      <c r="B114" s="43" t="s">
        <v>24</v>
      </c>
      <c r="C114" s="43" t="s">
        <v>821</v>
      </c>
      <c r="D114" s="43" t="s">
        <v>18</v>
      </c>
      <c r="E114" s="386">
        <f>'прил 8'!F112</f>
        <v>100000</v>
      </c>
      <c r="F114" s="386">
        <f>'прил 8'!G112</f>
        <v>100000</v>
      </c>
      <c r="G114" s="135"/>
    </row>
    <row r="115" spans="1:7" outlineLevel="6" x14ac:dyDescent="0.25">
      <c r="A115" s="12" t="s">
        <v>196</v>
      </c>
      <c r="B115" s="43" t="s">
        <v>24</v>
      </c>
      <c r="C115" s="43" t="s">
        <v>127</v>
      </c>
      <c r="D115" s="43" t="s">
        <v>6</v>
      </c>
      <c r="E115" s="386">
        <f>E116+E125+E128+E131+E121</f>
        <v>48085274.269999996</v>
      </c>
      <c r="F115" s="386">
        <f>F116+F125+F128+F131+F121</f>
        <v>48628163.270000003</v>
      </c>
      <c r="G115" s="135"/>
    </row>
    <row r="116" spans="1:7" ht="39.25" customHeight="1" outlineLevel="5" x14ac:dyDescent="0.25">
      <c r="A116" s="12" t="s">
        <v>449</v>
      </c>
      <c r="B116" s="43" t="s">
        <v>24</v>
      </c>
      <c r="C116" s="43" t="s">
        <v>450</v>
      </c>
      <c r="D116" s="43" t="s">
        <v>6</v>
      </c>
      <c r="E116" s="386">
        <f>E117+E119</f>
        <v>38146909</v>
      </c>
      <c r="F116" s="386">
        <f>F117+F119</f>
        <v>37977200</v>
      </c>
      <c r="G116" s="135"/>
    </row>
    <row r="117" spans="1:7" ht="54.7" customHeight="1" outlineLevel="6" x14ac:dyDescent="0.25">
      <c r="A117" s="12" t="s">
        <v>11</v>
      </c>
      <c r="B117" s="43" t="s">
        <v>24</v>
      </c>
      <c r="C117" s="43" t="s">
        <v>450</v>
      </c>
      <c r="D117" s="43" t="s">
        <v>12</v>
      </c>
      <c r="E117" s="386">
        <f>E118</f>
        <v>38126909</v>
      </c>
      <c r="F117" s="386">
        <f>F118</f>
        <v>37957200</v>
      </c>
      <c r="G117" s="135"/>
    </row>
    <row r="118" spans="1:7" ht="18" customHeight="1" outlineLevel="4" x14ac:dyDescent="0.25">
      <c r="A118" s="12" t="s">
        <v>13</v>
      </c>
      <c r="B118" s="43" t="s">
        <v>24</v>
      </c>
      <c r="C118" s="43" t="s">
        <v>450</v>
      </c>
      <c r="D118" s="43" t="s">
        <v>14</v>
      </c>
      <c r="E118" s="386">
        <f>'прил 8'!F116</f>
        <v>38126909</v>
      </c>
      <c r="F118" s="386">
        <f>'прил 8'!G116</f>
        <v>37957200</v>
      </c>
      <c r="G118" s="135"/>
    </row>
    <row r="119" spans="1:7" ht="18" customHeight="1" outlineLevel="5" x14ac:dyDescent="0.25">
      <c r="A119" s="12" t="s">
        <v>15</v>
      </c>
      <c r="B119" s="43" t="s">
        <v>24</v>
      </c>
      <c r="C119" s="43" t="s">
        <v>450</v>
      </c>
      <c r="D119" s="43" t="s">
        <v>16</v>
      </c>
      <c r="E119" s="386">
        <f>E120</f>
        <v>20000</v>
      </c>
      <c r="F119" s="386">
        <f>F120</f>
        <v>20000</v>
      </c>
      <c r="G119" s="135"/>
    </row>
    <row r="120" spans="1:7" ht="36.700000000000003" outlineLevel="6" x14ac:dyDescent="0.25">
      <c r="A120" s="12" t="s">
        <v>17</v>
      </c>
      <c r="B120" s="43" t="s">
        <v>24</v>
      </c>
      <c r="C120" s="43" t="s">
        <v>450</v>
      </c>
      <c r="D120" s="43" t="s">
        <v>18</v>
      </c>
      <c r="E120" s="386">
        <f>'прил 8'!F118</f>
        <v>20000</v>
      </c>
      <c r="F120" s="386">
        <f>'прил 8'!G118</f>
        <v>20000</v>
      </c>
      <c r="G120" s="135"/>
    </row>
    <row r="121" spans="1:7" ht="36.700000000000003" hidden="1" outlineLevel="6" x14ac:dyDescent="0.25">
      <c r="A121" s="12" t="s">
        <v>620</v>
      </c>
      <c r="B121" s="43" t="s">
        <v>24</v>
      </c>
      <c r="C121" s="43" t="s">
        <v>618</v>
      </c>
      <c r="D121" s="43" t="s">
        <v>6</v>
      </c>
      <c r="E121" s="386">
        <f>E122</f>
        <v>0</v>
      </c>
      <c r="F121" s="386">
        <f>F122</f>
        <v>0</v>
      </c>
      <c r="G121" s="135"/>
    </row>
    <row r="122" spans="1:7" hidden="1" outlineLevel="6" x14ac:dyDescent="0.25">
      <c r="A122" s="12" t="s">
        <v>19</v>
      </c>
      <c r="B122" s="43" t="s">
        <v>24</v>
      </c>
      <c r="C122" s="43" t="s">
        <v>618</v>
      </c>
      <c r="D122" s="43" t="s">
        <v>20</v>
      </c>
      <c r="E122" s="386">
        <f>E123+E124</f>
        <v>0</v>
      </c>
      <c r="F122" s="386">
        <f>F123+F124</f>
        <v>0</v>
      </c>
      <c r="G122" s="135"/>
    </row>
    <row r="123" spans="1:7" ht="29.25" hidden="1" customHeight="1" outlineLevel="6" x14ac:dyDescent="0.25">
      <c r="A123" s="12" t="s">
        <v>646</v>
      </c>
      <c r="B123" s="43" t="s">
        <v>24</v>
      </c>
      <c r="C123" s="43" t="s">
        <v>618</v>
      </c>
      <c r="D123" s="43" t="s">
        <v>647</v>
      </c>
      <c r="E123" s="386">
        <v>0</v>
      </c>
      <c r="F123" s="386">
        <v>0</v>
      </c>
      <c r="G123" s="135"/>
    </row>
    <row r="124" spans="1:7" ht="23.95" hidden="1" customHeight="1" outlineLevel="6" x14ac:dyDescent="0.25">
      <c r="A124" s="12" t="s">
        <v>619</v>
      </c>
      <c r="B124" s="43" t="s">
        <v>24</v>
      </c>
      <c r="C124" s="43" t="s">
        <v>618</v>
      </c>
      <c r="D124" s="43" t="s">
        <v>22</v>
      </c>
      <c r="E124" s="386">
        <v>0</v>
      </c>
      <c r="F124" s="386">
        <v>0</v>
      </c>
      <c r="G124" s="135"/>
    </row>
    <row r="125" spans="1:7" ht="36.700000000000003" outlineLevel="6" x14ac:dyDescent="0.25">
      <c r="A125" s="12" t="s">
        <v>494</v>
      </c>
      <c r="B125" s="43" t="s">
        <v>24</v>
      </c>
      <c r="C125" s="43" t="s">
        <v>457</v>
      </c>
      <c r="D125" s="43" t="s">
        <v>6</v>
      </c>
      <c r="E125" s="386">
        <f>E126</f>
        <v>250000</v>
      </c>
      <c r="F125" s="386">
        <f>F126</f>
        <v>250000</v>
      </c>
      <c r="G125" s="135"/>
    </row>
    <row r="126" spans="1:7" ht="18" customHeight="1" outlineLevel="6" x14ac:dyDescent="0.25">
      <c r="A126" s="12" t="s">
        <v>15</v>
      </c>
      <c r="B126" s="43" t="s">
        <v>24</v>
      </c>
      <c r="C126" s="43" t="s">
        <v>457</v>
      </c>
      <c r="D126" s="43" t="s">
        <v>16</v>
      </c>
      <c r="E126" s="386">
        <f>E127</f>
        <v>250000</v>
      </c>
      <c r="F126" s="386">
        <f>F127</f>
        <v>250000</v>
      </c>
      <c r="G126" s="135"/>
    </row>
    <row r="127" spans="1:7" ht="38.25" customHeight="1" outlineLevel="4" x14ac:dyDescent="0.25">
      <c r="A127" s="12" t="s">
        <v>17</v>
      </c>
      <c r="B127" s="43" t="s">
        <v>24</v>
      </c>
      <c r="C127" s="43" t="s">
        <v>457</v>
      </c>
      <c r="D127" s="43" t="s">
        <v>18</v>
      </c>
      <c r="E127" s="386">
        <f>'прил 8'!F132</f>
        <v>250000</v>
      </c>
      <c r="F127" s="386">
        <f>'прил 8'!G132</f>
        <v>250000</v>
      </c>
      <c r="G127" s="135"/>
    </row>
    <row r="128" spans="1:7" ht="18.7" customHeight="1" outlineLevel="5" x14ac:dyDescent="0.25">
      <c r="A128" s="12" t="s">
        <v>486</v>
      </c>
      <c r="B128" s="43" t="s">
        <v>24</v>
      </c>
      <c r="C128" s="43" t="s">
        <v>487</v>
      </c>
      <c r="D128" s="43" t="s">
        <v>6</v>
      </c>
      <c r="E128" s="386">
        <f>E129</f>
        <v>137280</v>
      </c>
      <c r="F128" s="386">
        <f>F129</f>
        <v>142771.20000000001</v>
      </c>
      <c r="G128" s="135"/>
    </row>
    <row r="129" spans="1:7" ht="18.7" customHeight="1" outlineLevel="6" x14ac:dyDescent="0.25">
      <c r="A129" s="12" t="s">
        <v>15</v>
      </c>
      <c r="B129" s="43" t="s">
        <v>24</v>
      </c>
      <c r="C129" s="43" t="s">
        <v>487</v>
      </c>
      <c r="D129" s="43" t="s">
        <v>16</v>
      </c>
      <c r="E129" s="386">
        <f>E130</f>
        <v>137280</v>
      </c>
      <c r="F129" s="386">
        <f>F130</f>
        <v>142771.20000000001</v>
      </c>
      <c r="G129" s="135"/>
    </row>
    <row r="130" spans="1:7" ht="36.700000000000003" outlineLevel="5" x14ac:dyDescent="0.25">
      <c r="A130" s="12" t="s">
        <v>17</v>
      </c>
      <c r="B130" s="43" t="s">
        <v>24</v>
      </c>
      <c r="C130" s="43" t="s">
        <v>487</v>
      </c>
      <c r="D130" s="43" t="s">
        <v>18</v>
      </c>
      <c r="E130" s="386">
        <f>'прил 8'!F442</f>
        <v>137280</v>
      </c>
      <c r="F130" s="386">
        <f>'прил 8'!G442</f>
        <v>142771.20000000001</v>
      </c>
      <c r="G130" s="135"/>
    </row>
    <row r="131" spans="1:7" outlineLevel="6" x14ac:dyDescent="0.25">
      <c r="A131" s="12" t="s">
        <v>269</v>
      </c>
      <c r="B131" s="43" t="s">
        <v>24</v>
      </c>
      <c r="C131" s="43" t="s">
        <v>268</v>
      </c>
      <c r="D131" s="43" t="s">
        <v>6</v>
      </c>
      <c r="E131" s="386">
        <f>E158+E132+E140+E148+E153+E137+E145</f>
        <v>9551085.2699999996</v>
      </c>
      <c r="F131" s="386">
        <f>F158+F132+F140+F148+F153+F137+F145</f>
        <v>10258192.07</v>
      </c>
      <c r="G131" s="135"/>
    </row>
    <row r="132" spans="1:7" ht="46.9" customHeight="1" outlineLevel="3" x14ac:dyDescent="0.25">
      <c r="A132" s="31" t="s">
        <v>962</v>
      </c>
      <c r="B132" s="43" t="s">
        <v>24</v>
      </c>
      <c r="C132" s="43" t="s">
        <v>270</v>
      </c>
      <c r="D132" s="43" t="s">
        <v>6</v>
      </c>
      <c r="E132" s="386">
        <f>E133+E135</f>
        <v>1641578</v>
      </c>
      <c r="F132" s="386">
        <f>F133+F135</f>
        <v>1696267</v>
      </c>
      <c r="G132" s="135"/>
    </row>
    <row r="133" spans="1:7" ht="55.55" customHeight="1" outlineLevel="4" x14ac:dyDescent="0.25">
      <c r="A133" s="12" t="s">
        <v>11</v>
      </c>
      <c r="B133" s="43" t="s">
        <v>24</v>
      </c>
      <c r="C133" s="43" t="s">
        <v>270</v>
      </c>
      <c r="D133" s="43" t="s">
        <v>12</v>
      </c>
      <c r="E133" s="386">
        <f>E134</f>
        <v>1626578</v>
      </c>
      <c r="F133" s="386">
        <f>F134</f>
        <v>1681267</v>
      </c>
      <c r="G133" s="135"/>
    </row>
    <row r="134" spans="1:7" ht="18" customHeight="1" outlineLevel="5" x14ac:dyDescent="0.25">
      <c r="A134" s="12" t="s">
        <v>13</v>
      </c>
      <c r="B134" s="43" t="s">
        <v>24</v>
      </c>
      <c r="C134" s="43" t="s">
        <v>270</v>
      </c>
      <c r="D134" s="43" t="s">
        <v>14</v>
      </c>
      <c r="E134" s="386">
        <f>'прил 8'!F136</f>
        <v>1626578</v>
      </c>
      <c r="F134" s="386">
        <f>'прил 8'!G136</f>
        <v>1681267</v>
      </c>
      <c r="G134" s="135"/>
    </row>
    <row r="135" spans="1:7" ht="18" customHeight="1" outlineLevel="6" x14ac:dyDescent="0.25">
      <c r="A135" s="12" t="s">
        <v>15</v>
      </c>
      <c r="B135" s="43" t="s">
        <v>24</v>
      </c>
      <c r="C135" s="43" t="s">
        <v>270</v>
      </c>
      <c r="D135" s="43" t="s">
        <v>16</v>
      </c>
      <c r="E135" s="386">
        <f>E136</f>
        <v>15000</v>
      </c>
      <c r="F135" s="386">
        <f>F136</f>
        <v>15000</v>
      </c>
      <c r="G135" s="135"/>
    </row>
    <row r="136" spans="1:7" s="2" customFormat="1" ht="36.700000000000003" x14ac:dyDescent="0.25">
      <c r="A136" s="12" t="s">
        <v>17</v>
      </c>
      <c r="B136" s="43" t="s">
        <v>24</v>
      </c>
      <c r="C136" s="43" t="s">
        <v>270</v>
      </c>
      <c r="D136" s="43" t="s">
        <v>18</v>
      </c>
      <c r="E136" s="386">
        <f>'прил 8'!F138</f>
        <v>15000</v>
      </c>
      <c r="F136" s="386">
        <f>'прил 8'!G138</f>
        <v>15000</v>
      </c>
      <c r="G136" s="135"/>
    </row>
    <row r="137" spans="1:7" s="2" customFormat="1" ht="73.400000000000006" x14ac:dyDescent="0.25">
      <c r="A137" s="12" t="s">
        <v>653</v>
      </c>
      <c r="B137" s="43" t="s">
        <v>24</v>
      </c>
      <c r="C137" s="43" t="s">
        <v>652</v>
      </c>
      <c r="D137" s="43" t="s">
        <v>6</v>
      </c>
      <c r="E137" s="386">
        <f>E138</f>
        <v>465453</v>
      </c>
      <c r="F137" s="386">
        <f>F138</f>
        <v>482312</v>
      </c>
      <c r="G137" s="135"/>
    </row>
    <row r="138" spans="1:7" s="2" customFormat="1" ht="73.400000000000006" x14ac:dyDescent="0.25">
      <c r="A138" s="12" t="s">
        <v>11</v>
      </c>
      <c r="B138" s="43" t="s">
        <v>24</v>
      </c>
      <c r="C138" s="43" t="s">
        <v>652</v>
      </c>
      <c r="D138" s="43" t="s">
        <v>12</v>
      </c>
      <c r="E138" s="386">
        <f>E139</f>
        <v>465453</v>
      </c>
      <c r="F138" s="386">
        <f>F139</f>
        <v>482312</v>
      </c>
      <c r="G138" s="135"/>
    </row>
    <row r="139" spans="1:7" s="2" customFormat="1" ht="36.700000000000003" x14ac:dyDescent="0.25">
      <c r="A139" s="12" t="s">
        <v>13</v>
      </c>
      <c r="B139" s="43" t="s">
        <v>24</v>
      </c>
      <c r="C139" s="43" t="s">
        <v>652</v>
      </c>
      <c r="D139" s="43" t="s">
        <v>14</v>
      </c>
      <c r="E139" s="386">
        <f>'прил 8'!F141</f>
        <v>465453</v>
      </c>
      <c r="F139" s="386">
        <f>'прил 8'!G141</f>
        <v>482312</v>
      </c>
      <c r="G139" s="135"/>
    </row>
    <row r="140" spans="1:7" ht="65.25" customHeight="1" outlineLevel="1" x14ac:dyDescent="0.25">
      <c r="A140" s="44" t="s">
        <v>945</v>
      </c>
      <c r="B140" s="43" t="s">
        <v>24</v>
      </c>
      <c r="C140" s="43" t="s">
        <v>947</v>
      </c>
      <c r="D140" s="43" t="s">
        <v>6</v>
      </c>
      <c r="E140" s="386">
        <f>E141+E143</f>
        <v>1707918</v>
      </c>
      <c r="F140" s="386">
        <f>F141+F143</f>
        <v>1776235</v>
      </c>
      <c r="G140" s="135"/>
    </row>
    <row r="141" spans="1:7" ht="54.7" customHeight="1" outlineLevel="3" x14ac:dyDescent="0.25">
      <c r="A141" s="12" t="s">
        <v>11</v>
      </c>
      <c r="B141" s="43" t="s">
        <v>24</v>
      </c>
      <c r="C141" s="43" t="s">
        <v>947</v>
      </c>
      <c r="D141" s="43" t="s">
        <v>12</v>
      </c>
      <c r="E141" s="386">
        <f>E142</f>
        <v>1692918</v>
      </c>
      <c r="F141" s="386">
        <f>F142</f>
        <v>1761235</v>
      </c>
      <c r="G141" s="135"/>
    </row>
    <row r="142" spans="1:7" ht="18" customHeight="1" outlineLevel="4" x14ac:dyDescent="0.25">
      <c r="A142" s="12" t="s">
        <v>13</v>
      </c>
      <c r="B142" s="43" t="s">
        <v>24</v>
      </c>
      <c r="C142" s="43" t="s">
        <v>947</v>
      </c>
      <c r="D142" s="43" t="s">
        <v>14</v>
      </c>
      <c r="E142" s="386">
        <f>'прил 8'!F144</f>
        <v>1692918</v>
      </c>
      <c r="F142" s="386">
        <f>'прил 8'!G144</f>
        <v>1761235</v>
      </c>
      <c r="G142" s="135"/>
    </row>
    <row r="143" spans="1:7" ht="18" customHeight="1" outlineLevel="5" x14ac:dyDescent="0.25">
      <c r="A143" s="12" t="s">
        <v>15</v>
      </c>
      <c r="B143" s="43" t="s">
        <v>24</v>
      </c>
      <c r="C143" s="43" t="s">
        <v>947</v>
      </c>
      <c r="D143" s="43" t="s">
        <v>16</v>
      </c>
      <c r="E143" s="386">
        <f>E144</f>
        <v>15000</v>
      </c>
      <c r="F143" s="386">
        <f>F144</f>
        <v>15000</v>
      </c>
      <c r="G143" s="135"/>
    </row>
    <row r="144" spans="1:7" ht="36.700000000000003" outlineLevel="6" x14ac:dyDescent="0.25">
      <c r="A144" s="12" t="s">
        <v>17</v>
      </c>
      <c r="B144" s="43" t="s">
        <v>24</v>
      </c>
      <c r="C144" s="43" t="s">
        <v>947</v>
      </c>
      <c r="D144" s="43" t="s">
        <v>18</v>
      </c>
      <c r="E144" s="386">
        <f>'прил 8'!F146</f>
        <v>15000</v>
      </c>
      <c r="F144" s="386">
        <f>'прил 8'!G146</f>
        <v>15000</v>
      </c>
      <c r="G144" s="135"/>
    </row>
    <row r="145" spans="1:7" ht="49.75" customHeight="1" outlineLevel="6" x14ac:dyDescent="0.3">
      <c r="A145" s="390" t="s">
        <v>946</v>
      </c>
      <c r="B145" s="43" t="s">
        <v>24</v>
      </c>
      <c r="C145" s="43" t="s">
        <v>948</v>
      </c>
      <c r="D145" s="43" t="s">
        <v>6</v>
      </c>
      <c r="E145" s="386">
        <f>E146</f>
        <v>1352000</v>
      </c>
      <c r="F145" s="386">
        <f>F146</f>
        <v>1406080</v>
      </c>
      <c r="G145" s="135"/>
    </row>
    <row r="146" spans="1:7" ht="73.400000000000006" outlineLevel="6" x14ac:dyDescent="0.25">
      <c r="A146" s="12" t="s">
        <v>11</v>
      </c>
      <c r="B146" s="43" t="s">
        <v>24</v>
      </c>
      <c r="C146" s="43" t="s">
        <v>948</v>
      </c>
      <c r="D146" s="43" t="s">
        <v>12</v>
      </c>
      <c r="E146" s="386">
        <f>E147</f>
        <v>1352000</v>
      </c>
      <c r="F146" s="386">
        <f>F147</f>
        <v>1406080</v>
      </c>
      <c r="G146" s="135"/>
    </row>
    <row r="147" spans="1:7" ht="36.700000000000003" outlineLevel="6" x14ac:dyDescent="0.25">
      <c r="A147" s="12" t="s">
        <v>13</v>
      </c>
      <c r="B147" s="43" t="s">
        <v>24</v>
      </c>
      <c r="C147" s="43" t="s">
        <v>948</v>
      </c>
      <c r="D147" s="43" t="s">
        <v>14</v>
      </c>
      <c r="E147" s="386">
        <f>'прил 8'!F149</f>
        <v>1352000</v>
      </c>
      <c r="F147" s="386">
        <f>'прил 8'!G149</f>
        <v>1406080</v>
      </c>
      <c r="G147" s="135"/>
    </row>
    <row r="148" spans="1:7" s="2" customFormat="1" ht="41.45" customHeight="1" x14ac:dyDescent="0.25">
      <c r="A148" s="31" t="s">
        <v>939</v>
      </c>
      <c r="B148" s="43" t="s">
        <v>24</v>
      </c>
      <c r="C148" s="43" t="s">
        <v>271</v>
      </c>
      <c r="D148" s="43" t="s">
        <v>6</v>
      </c>
      <c r="E148" s="386">
        <f>E149+E151</f>
        <v>1265652</v>
      </c>
      <c r="F148" s="386">
        <f>F149+F151</f>
        <v>1313679</v>
      </c>
      <c r="G148" s="135"/>
    </row>
    <row r="149" spans="1:7" s="2" customFormat="1" ht="55.55" customHeight="1" x14ac:dyDescent="0.25">
      <c r="A149" s="12" t="s">
        <v>11</v>
      </c>
      <c r="B149" s="43" t="s">
        <v>24</v>
      </c>
      <c r="C149" s="43" t="s">
        <v>271</v>
      </c>
      <c r="D149" s="43" t="s">
        <v>12</v>
      </c>
      <c r="E149" s="386">
        <f>E150</f>
        <v>1220652</v>
      </c>
      <c r="F149" s="386">
        <f>F150</f>
        <v>1268679</v>
      </c>
      <c r="G149" s="135"/>
    </row>
    <row r="150" spans="1:7" s="2" customFormat="1" ht="18" customHeight="1" x14ac:dyDescent="0.25">
      <c r="A150" s="12" t="s">
        <v>13</v>
      </c>
      <c r="B150" s="43" t="s">
        <v>24</v>
      </c>
      <c r="C150" s="43" t="s">
        <v>271</v>
      </c>
      <c r="D150" s="43" t="s">
        <v>14</v>
      </c>
      <c r="E150" s="386">
        <f>'прил 8'!F152</f>
        <v>1220652</v>
      </c>
      <c r="F150" s="386">
        <f>'прил 8'!G152</f>
        <v>1268679</v>
      </c>
      <c r="G150" s="135"/>
    </row>
    <row r="151" spans="1:7" s="2" customFormat="1" ht="18" customHeight="1" x14ac:dyDescent="0.25">
      <c r="A151" s="12" t="s">
        <v>15</v>
      </c>
      <c r="B151" s="43" t="s">
        <v>24</v>
      </c>
      <c r="C151" s="43" t="s">
        <v>271</v>
      </c>
      <c r="D151" s="43" t="s">
        <v>16</v>
      </c>
      <c r="E151" s="386">
        <f>E152</f>
        <v>45000</v>
      </c>
      <c r="F151" s="386">
        <f>F152</f>
        <v>45000</v>
      </c>
      <c r="G151" s="135"/>
    </row>
    <row r="152" spans="1:7" s="2" customFormat="1" ht="36.700000000000003" x14ac:dyDescent="0.25">
      <c r="A152" s="12" t="s">
        <v>17</v>
      </c>
      <c r="B152" s="43" t="s">
        <v>24</v>
      </c>
      <c r="C152" s="43" t="s">
        <v>271</v>
      </c>
      <c r="D152" s="43" t="s">
        <v>18</v>
      </c>
      <c r="E152" s="386">
        <f>'прил 8'!F154</f>
        <v>45000</v>
      </c>
      <c r="F152" s="386">
        <f>'прил 8'!G154</f>
        <v>45000</v>
      </c>
      <c r="G152" s="135"/>
    </row>
    <row r="153" spans="1:7" s="2" customFormat="1" ht="40.75" customHeight="1" x14ac:dyDescent="0.25">
      <c r="A153" s="12" t="s">
        <v>943</v>
      </c>
      <c r="B153" s="43" t="s">
        <v>24</v>
      </c>
      <c r="C153" s="43" t="s">
        <v>381</v>
      </c>
      <c r="D153" s="43" t="s">
        <v>6</v>
      </c>
      <c r="E153" s="386">
        <f>E154+E156</f>
        <v>2705139</v>
      </c>
      <c r="F153" s="386">
        <f>F154+F156</f>
        <v>2807041</v>
      </c>
      <c r="G153" s="135"/>
    </row>
    <row r="154" spans="1:7" s="2" customFormat="1" ht="59.95" customHeight="1" x14ac:dyDescent="0.25">
      <c r="A154" s="12" t="s">
        <v>11</v>
      </c>
      <c r="B154" s="43" t="s">
        <v>24</v>
      </c>
      <c r="C154" s="43" t="s">
        <v>381</v>
      </c>
      <c r="D154" s="43" t="s">
        <v>12</v>
      </c>
      <c r="E154" s="386">
        <f>E155</f>
        <v>2547539</v>
      </c>
      <c r="F154" s="386">
        <f>F155</f>
        <v>2649441</v>
      </c>
      <c r="G154" s="135"/>
    </row>
    <row r="155" spans="1:7" s="2" customFormat="1" ht="20.25" customHeight="1" x14ac:dyDescent="0.25">
      <c r="A155" s="12" t="s">
        <v>13</v>
      </c>
      <c r="B155" s="43" t="s">
        <v>24</v>
      </c>
      <c r="C155" s="43" t="s">
        <v>381</v>
      </c>
      <c r="D155" s="43" t="s">
        <v>14</v>
      </c>
      <c r="E155" s="386">
        <f>'прил 8'!F157</f>
        <v>2547539</v>
      </c>
      <c r="F155" s="386">
        <f>'прил 8'!G157</f>
        <v>2649441</v>
      </c>
      <c r="G155" s="135"/>
    </row>
    <row r="156" spans="1:7" s="2" customFormat="1" ht="20.25" customHeight="1" x14ac:dyDescent="0.25">
      <c r="A156" s="12" t="s">
        <v>15</v>
      </c>
      <c r="B156" s="43" t="s">
        <v>24</v>
      </c>
      <c r="C156" s="43" t="s">
        <v>381</v>
      </c>
      <c r="D156" s="43" t="s">
        <v>16</v>
      </c>
      <c r="E156" s="386">
        <f>E157</f>
        <v>157600</v>
      </c>
      <c r="F156" s="386">
        <f>F157</f>
        <v>157600</v>
      </c>
      <c r="G156" s="135"/>
    </row>
    <row r="157" spans="1:7" s="2" customFormat="1" ht="36.700000000000003" x14ac:dyDescent="0.25">
      <c r="A157" s="12" t="s">
        <v>17</v>
      </c>
      <c r="B157" s="43" t="s">
        <v>24</v>
      </c>
      <c r="C157" s="43" t="s">
        <v>381</v>
      </c>
      <c r="D157" s="43" t="s">
        <v>18</v>
      </c>
      <c r="E157" s="386">
        <f>'прил 8'!F159</f>
        <v>157600</v>
      </c>
      <c r="F157" s="386">
        <f>'прил 8'!G159</f>
        <v>157600</v>
      </c>
      <c r="G157" s="135"/>
    </row>
    <row r="158" spans="1:7" s="2" customFormat="1" ht="74.25" customHeight="1" x14ac:dyDescent="0.25">
      <c r="A158" s="44" t="s">
        <v>959</v>
      </c>
      <c r="B158" s="43" t="s">
        <v>24</v>
      </c>
      <c r="C158" s="43" t="s">
        <v>1114</v>
      </c>
      <c r="D158" s="43" t="s">
        <v>6</v>
      </c>
      <c r="E158" s="386">
        <f>E159+E161</f>
        <v>413345.27</v>
      </c>
      <c r="F158" s="386">
        <f>F159+F161</f>
        <v>776578.07</v>
      </c>
      <c r="G158" s="135"/>
    </row>
    <row r="159" spans="1:7" ht="55.55" customHeight="1" outlineLevel="1" x14ac:dyDescent="0.25">
      <c r="A159" s="12" t="s">
        <v>11</v>
      </c>
      <c r="B159" s="43" t="s">
        <v>24</v>
      </c>
      <c r="C159" s="425" t="s">
        <v>1114</v>
      </c>
      <c r="D159" s="43" t="s">
        <v>12</v>
      </c>
      <c r="E159" s="386">
        <f>E160</f>
        <v>413345.27</v>
      </c>
      <c r="F159" s="386">
        <f>F160</f>
        <v>716578.07</v>
      </c>
      <c r="G159" s="135"/>
    </row>
    <row r="160" spans="1:7" ht="18" customHeight="1" outlineLevel="3" x14ac:dyDescent="0.25">
      <c r="A160" s="12" t="s">
        <v>13</v>
      </c>
      <c r="B160" s="43" t="s">
        <v>24</v>
      </c>
      <c r="C160" s="425" t="s">
        <v>1114</v>
      </c>
      <c r="D160" s="43" t="s">
        <v>14</v>
      </c>
      <c r="E160" s="386">
        <f>'прил 8'!F162</f>
        <v>413345.27</v>
      </c>
      <c r="F160" s="386">
        <f>'прил 8'!G162</f>
        <v>716578.07</v>
      </c>
      <c r="G160" s="135"/>
    </row>
    <row r="161" spans="1:8" ht="36.700000000000003" outlineLevel="3" x14ac:dyDescent="0.25">
      <c r="A161" s="12" t="s">
        <v>15</v>
      </c>
      <c r="B161" s="43" t="s">
        <v>24</v>
      </c>
      <c r="C161" s="425" t="s">
        <v>1114</v>
      </c>
      <c r="D161" s="43" t="s">
        <v>16</v>
      </c>
      <c r="E161" s="386">
        <f>E162</f>
        <v>0</v>
      </c>
      <c r="F161" s="386">
        <f>F162</f>
        <v>60000</v>
      </c>
      <c r="G161" s="135"/>
    </row>
    <row r="162" spans="1:8" ht="36.700000000000003" outlineLevel="3" x14ac:dyDescent="0.25">
      <c r="A162" s="12" t="s">
        <v>17</v>
      </c>
      <c r="B162" s="43" t="s">
        <v>24</v>
      </c>
      <c r="C162" s="425" t="s">
        <v>1114</v>
      </c>
      <c r="D162" s="43" t="s">
        <v>18</v>
      </c>
      <c r="E162" s="386">
        <f>'прил 8'!F164</f>
        <v>0</v>
      </c>
      <c r="F162" s="386">
        <f>'прил 8'!G164</f>
        <v>60000</v>
      </c>
      <c r="G162" s="135"/>
    </row>
    <row r="163" spans="1:8" ht="18.7" customHeight="1" outlineLevel="3" x14ac:dyDescent="0.25">
      <c r="A163" s="45" t="s">
        <v>525</v>
      </c>
      <c r="B163" s="387" t="s">
        <v>26</v>
      </c>
      <c r="C163" s="387" t="s">
        <v>126</v>
      </c>
      <c r="D163" s="387" t="s">
        <v>6</v>
      </c>
      <c r="E163" s="52">
        <f t="shared" ref="E163:F168" si="4">E164</f>
        <v>2139840</v>
      </c>
      <c r="F163" s="52">
        <f t="shared" si="4"/>
        <v>2139840</v>
      </c>
      <c r="G163" s="416"/>
    </row>
    <row r="164" spans="1:8" ht="21.25" customHeight="1" outlineLevel="3" x14ac:dyDescent="0.25">
      <c r="A164" s="12" t="s">
        <v>526</v>
      </c>
      <c r="B164" s="43" t="s">
        <v>527</v>
      </c>
      <c r="C164" s="43" t="s">
        <v>126</v>
      </c>
      <c r="D164" s="43" t="s">
        <v>6</v>
      </c>
      <c r="E164" s="386">
        <f t="shared" si="4"/>
        <v>2139840</v>
      </c>
      <c r="F164" s="386">
        <f t="shared" si="4"/>
        <v>2139840</v>
      </c>
      <c r="G164" s="135"/>
    </row>
    <row r="165" spans="1:8" outlineLevel="3" x14ac:dyDescent="0.25">
      <c r="A165" s="12" t="s">
        <v>196</v>
      </c>
      <c r="B165" s="43" t="s">
        <v>527</v>
      </c>
      <c r="C165" s="43" t="s">
        <v>127</v>
      </c>
      <c r="D165" s="43" t="s">
        <v>6</v>
      </c>
      <c r="E165" s="386">
        <f t="shared" si="4"/>
        <v>2139840</v>
      </c>
      <c r="F165" s="386">
        <f t="shared" si="4"/>
        <v>2139840</v>
      </c>
      <c r="G165" s="135"/>
    </row>
    <row r="166" spans="1:8" outlineLevel="3" x14ac:dyDescent="0.25">
      <c r="A166" s="12" t="s">
        <v>269</v>
      </c>
      <c r="B166" s="43" t="s">
        <v>527</v>
      </c>
      <c r="C166" s="43" t="s">
        <v>268</v>
      </c>
      <c r="D166" s="43" t="s">
        <v>6</v>
      </c>
      <c r="E166" s="386">
        <f>E167+E170</f>
        <v>2139840</v>
      </c>
      <c r="F166" s="386">
        <f>F167+F170</f>
        <v>2139840</v>
      </c>
      <c r="G166" s="135"/>
    </row>
    <row r="167" spans="1:8" ht="42.8" customHeight="1" outlineLevel="3" x14ac:dyDescent="0.25">
      <c r="A167" s="12" t="s">
        <v>960</v>
      </c>
      <c r="B167" s="43" t="s">
        <v>527</v>
      </c>
      <c r="C167" s="43" t="s">
        <v>529</v>
      </c>
      <c r="D167" s="43" t="s">
        <v>6</v>
      </c>
      <c r="E167" s="386">
        <f t="shared" si="4"/>
        <v>1869840</v>
      </c>
      <c r="F167" s="386">
        <f t="shared" si="4"/>
        <v>1869840</v>
      </c>
      <c r="G167" s="135"/>
    </row>
    <row r="168" spans="1:8" ht="73.400000000000006" outlineLevel="3" x14ac:dyDescent="0.25">
      <c r="A168" s="12" t="s">
        <v>11</v>
      </c>
      <c r="B168" s="43" t="s">
        <v>527</v>
      </c>
      <c r="C168" s="43" t="s">
        <v>529</v>
      </c>
      <c r="D168" s="43" t="s">
        <v>12</v>
      </c>
      <c r="E168" s="386">
        <f t="shared" si="4"/>
        <v>1869840</v>
      </c>
      <c r="F168" s="386">
        <f t="shared" si="4"/>
        <v>1869840</v>
      </c>
      <c r="G168" s="135"/>
    </row>
    <row r="169" spans="1:8" ht="36.700000000000003" outlineLevel="3" x14ac:dyDescent="0.25">
      <c r="A169" s="12" t="s">
        <v>13</v>
      </c>
      <c r="B169" s="43" t="s">
        <v>527</v>
      </c>
      <c r="C169" s="43" t="s">
        <v>529</v>
      </c>
      <c r="D169" s="43" t="s">
        <v>14</v>
      </c>
      <c r="E169" s="386">
        <f>'прил 8'!F171</f>
        <v>1869840</v>
      </c>
      <c r="F169" s="386">
        <f>'прил 8'!G171</f>
        <v>1869840</v>
      </c>
      <c r="G169" s="135"/>
    </row>
    <row r="170" spans="1:8" ht="36.700000000000003" outlineLevel="3" x14ac:dyDescent="0.25">
      <c r="A170" s="12" t="s">
        <v>654</v>
      </c>
      <c r="B170" s="43" t="s">
        <v>527</v>
      </c>
      <c r="C170" s="43" t="s">
        <v>659</v>
      </c>
      <c r="D170" s="43" t="s">
        <v>6</v>
      </c>
      <c r="E170" s="386">
        <f>E171</f>
        <v>270000</v>
      </c>
      <c r="F170" s="386">
        <f>F171</f>
        <v>270000</v>
      </c>
      <c r="G170" s="135"/>
    </row>
    <row r="171" spans="1:8" ht="73.400000000000006" outlineLevel="3" x14ac:dyDescent="0.25">
      <c r="A171" s="12" t="s">
        <v>11</v>
      </c>
      <c r="B171" s="43" t="s">
        <v>527</v>
      </c>
      <c r="C171" s="43" t="s">
        <v>659</v>
      </c>
      <c r="D171" s="43" t="s">
        <v>12</v>
      </c>
      <c r="E171" s="386">
        <f>E172</f>
        <v>270000</v>
      </c>
      <c r="F171" s="386">
        <f>F172</f>
        <v>270000</v>
      </c>
      <c r="G171" s="135"/>
    </row>
    <row r="172" spans="1:8" ht="36.700000000000003" outlineLevel="3" x14ac:dyDescent="0.25">
      <c r="A172" s="12" t="s">
        <v>13</v>
      </c>
      <c r="B172" s="43" t="s">
        <v>527</v>
      </c>
      <c r="C172" s="43" t="s">
        <v>659</v>
      </c>
      <c r="D172" s="43" t="s">
        <v>14</v>
      </c>
      <c r="E172" s="386">
        <f>'прил 8'!F174</f>
        <v>270000</v>
      </c>
      <c r="F172" s="386">
        <f>'прил 8'!G174</f>
        <v>270000</v>
      </c>
      <c r="G172" s="135"/>
    </row>
    <row r="173" spans="1:8" ht="37.549999999999997" customHeight="1" outlineLevel="1" x14ac:dyDescent="0.25">
      <c r="A173" s="45" t="s">
        <v>41</v>
      </c>
      <c r="B173" s="387" t="s">
        <v>42</v>
      </c>
      <c r="C173" s="387" t="s">
        <v>126</v>
      </c>
      <c r="D173" s="387" t="s">
        <v>6</v>
      </c>
      <c r="E173" s="52">
        <f>E174+E179</f>
        <v>785000</v>
      </c>
      <c r="F173" s="52">
        <f>F174+F179</f>
        <v>785000</v>
      </c>
      <c r="G173" s="144"/>
      <c r="H173" s="144" t="e">
        <f>#REF!</f>
        <v>#REF!</v>
      </c>
    </row>
    <row r="174" spans="1:8" ht="39.25" customHeight="1" outlineLevel="1" x14ac:dyDescent="0.25">
      <c r="A174" s="12" t="s">
        <v>43</v>
      </c>
      <c r="B174" s="43" t="s">
        <v>44</v>
      </c>
      <c r="C174" s="43" t="s">
        <v>126</v>
      </c>
      <c r="D174" s="43" t="s">
        <v>6</v>
      </c>
      <c r="E174" s="386">
        <f t="shared" ref="E174:F177" si="5">E175</f>
        <v>200000</v>
      </c>
      <c r="F174" s="386">
        <f t="shared" si="5"/>
        <v>200000</v>
      </c>
      <c r="G174" s="135"/>
    </row>
    <row r="175" spans="1:8" outlineLevel="1" x14ac:dyDescent="0.25">
      <c r="A175" s="12" t="s">
        <v>196</v>
      </c>
      <c r="B175" s="43" t="s">
        <v>44</v>
      </c>
      <c r="C175" s="43" t="s">
        <v>127</v>
      </c>
      <c r="D175" s="43" t="s">
        <v>6</v>
      </c>
      <c r="E175" s="386">
        <f t="shared" si="5"/>
        <v>200000</v>
      </c>
      <c r="F175" s="386">
        <f t="shared" si="5"/>
        <v>200000</v>
      </c>
      <c r="G175" s="135"/>
    </row>
    <row r="176" spans="1:8" ht="36.700000000000003" outlineLevel="1" x14ac:dyDescent="0.25">
      <c r="A176" s="12" t="s">
        <v>45</v>
      </c>
      <c r="B176" s="43" t="s">
        <v>44</v>
      </c>
      <c r="C176" s="43" t="s">
        <v>133</v>
      </c>
      <c r="D176" s="43" t="s">
        <v>6</v>
      </c>
      <c r="E176" s="386">
        <f t="shared" si="5"/>
        <v>200000</v>
      </c>
      <c r="F176" s="386">
        <f t="shared" si="5"/>
        <v>200000</v>
      </c>
      <c r="G176" s="135"/>
    </row>
    <row r="177" spans="1:8" ht="18" customHeight="1" outlineLevel="4" x14ac:dyDescent="0.25">
      <c r="A177" s="12" t="s">
        <v>15</v>
      </c>
      <c r="B177" s="43" t="s">
        <v>44</v>
      </c>
      <c r="C177" s="43" t="s">
        <v>133</v>
      </c>
      <c r="D177" s="43" t="s">
        <v>16</v>
      </c>
      <c r="E177" s="386">
        <f t="shared" si="5"/>
        <v>200000</v>
      </c>
      <c r="F177" s="386">
        <f t="shared" si="5"/>
        <v>200000</v>
      </c>
      <c r="G177" s="135"/>
    </row>
    <row r="178" spans="1:8" ht="36.700000000000003" outlineLevel="5" x14ac:dyDescent="0.25">
      <c r="A178" s="12" t="s">
        <v>17</v>
      </c>
      <c r="B178" s="43" t="s">
        <v>44</v>
      </c>
      <c r="C178" s="43" t="s">
        <v>133</v>
      </c>
      <c r="D178" s="43" t="s">
        <v>18</v>
      </c>
      <c r="E178" s="386">
        <f>'прил 8'!F180</f>
        <v>200000</v>
      </c>
      <c r="F178" s="386">
        <f>'прил 8'!G180</f>
        <v>200000</v>
      </c>
      <c r="G178" s="135"/>
    </row>
    <row r="179" spans="1:8" outlineLevel="5" x14ac:dyDescent="0.25">
      <c r="A179" s="12" t="s">
        <v>459</v>
      </c>
      <c r="B179" s="43" t="s">
        <v>460</v>
      </c>
      <c r="C179" s="43" t="s">
        <v>126</v>
      </c>
      <c r="D179" s="43" t="s">
        <v>6</v>
      </c>
      <c r="E179" s="386">
        <f t="shared" ref="E179:F182" si="6">E180</f>
        <v>585000</v>
      </c>
      <c r="F179" s="386">
        <f t="shared" si="6"/>
        <v>585000</v>
      </c>
      <c r="G179" s="135"/>
    </row>
    <row r="180" spans="1:8" ht="20.25" customHeight="1" outlineLevel="5" x14ac:dyDescent="0.25">
      <c r="A180" s="12" t="s">
        <v>132</v>
      </c>
      <c r="B180" s="43" t="s">
        <v>460</v>
      </c>
      <c r="C180" s="43" t="s">
        <v>127</v>
      </c>
      <c r="D180" s="43" t="s">
        <v>6</v>
      </c>
      <c r="E180" s="386">
        <f t="shared" si="6"/>
        <v>585000</v>
      </c>
      <c r="F180" s="386">
        <f t="shared" si="6"/>
        <v>585000</v>
      </c>
      <c r="G180" s="135"/>
    </row>
    <row r="181" spans="1:8" ht="36.700000000000003" outlineLevel="5" x14ac:dyDescent="0.25">
      <c r="A181" s="12" t="s">
        <v>461</v>
      </c>
      <c r="B181" s="43" t="s">
        <v>460</v>
      </c>
      <c r="C181" s="43" t="s">
        <v>617</v>
      </c>
      <c r="D181" s="43" t="s">
        <v>6</v>
      </c>
      <c r="E181" s="386">
        <f t="shared" si="6"/>
        <v>585000</v>
      </c>
      <c r="F181" s="386">
        <f t="shared" si="6"/>
        <v>585000</v>
      </c>
      <c r="G181" s="135"/>
    </row>
    <row r="182" spans="1:8" ht="36.700000000000003" outlineLevel="5" x14ac:dyDescent="0.25">
      <c r="A182" s="12" t="s">
        <v>15</v>
      </c>
      <c r="B182" s="43" t="s">
        <v>460</v>
      </c>
      <c r="C182" s="43" t="s">
        <v>617</v>
      </c>
      <c r="D182" s="43" t="s">
        <v>16</v>
      </c>
      <c r="E182" s="386">
        <f t="shared" si="6"/>
        <v>585000</v>
      </c>
      <c r="F182" s="386">
        <f t="shared" si="6"/>
        <v>585000</v>
      </c>
      <c r="G182" s="135"/>
    </row>
    <row r="183" spans="1:8" ht="36.700000000000003" outlineLevel="5" x14ac:dyDescent="0.25">
      <c r="A183" s="12" t="s">
        <v>17</v>
      </c>
      <c r="B183" s="43" t="s">
        <v>460</v>
      </c>
      <c r="C183" s="43" t="s">
        <v>617</v>
      </c>
      <c r="D183" s="43" t="s">
        <v>18</v>
      </c>
      <c r="E183" s="386">
        <f>'прил 8'!F185</f>
        <v>585000</v>
      </c>
      <c r="F183" s="386">
        <f>'прил 8'!G185</f>
        <v>585000</v>
      </c>
      <c r="G183" s="135"/>
    </row>
    <row r="184" spans="1:8" outlineLevel="6" x14ac:dyDescent="0.25">
      <c r="A184" s="45" t="s">
        <v>119</v>
      </c>
      <c r="B184" s="387" t="s">
        <v>46</v>
      </c>
      <c r="C184" s="387" t="s">
        <v>126</v>
      </c>
      <c r="D184" s="387" t="s">
        <v>6</v>
      </c>
      <c r="E184" s="52">
        <f>E185+E191+E202+E211</f>
        <v>19778133.93</v>
      </c>
      <c r="F184" s="52">
        <f>F185+F191+F202+F211</f>
        <v>20475133.93</v>
      </c>
      <c r="G184" s="144"/>
      <c r="H184" s="144" t="e">
        <f>#REF!</f>
        <v>#REF!</v>
      </c>
    </row>
    <row r="185" spans="1:8" s="2" customFormat="1" x14ac:dyDescent="0.25">
      <c r="A185" s="12" t="s">
        <v>121</v>
      </c>
      <c r="B185" s="43" t="s">
        <v>122</v>
      </c>
      <c r="C185" s="43" t="s">
        <v>126</v>
      </c>
      <c r="D185" s="43" t="s">
        <v>6</v>
      </c>
      <c r="E185" s="386">
        <f t="shared" ref="E185:F189" si="7">E186</f>
        <v>1122746.8500000001</v>
      </c>
      <c r="F185" s="386">
        <f t="shared" si="7"/>
        <v>1122746.8500000001</v>
      </c>
      <c r="G185" s="144"/>
    </row>
    <row r="186" spans="1:8" s="2" customFormat="1" x14ac:dyDescent="0.25">
      <c r="A186" s="12" t="s">
        <v>196</v>
      </c>
      <c r="B186" s="43" t="s">
        <v>122</v>
      </c>
      <c r="C186" s="43" t="s">
        <v>127</v>
      </c>
      <c r="D186" s="43" t="s">
        <v>6</v>
      </c>
      <c r="E186" s="386">
        <f t="shared" si="7"/>
        <v>1122746.8500000001</v>
      </c>
      <c r="F186" s="386">
        <f t="shared" si="7"/>
        <v>1122746.8500000001</v>
      </c>
      <c r="G186" s="144"/>
    </row>
    <row r="187" spans="1:8" s="2" customFormat="1" ht="21.75" customHeight="1" x14ac:dyDescent="0.25">
      <c r="A187" s="12" t="s">
        <v>269</v>
      </c>
      <c r="B187" s="43" t="s">
        <v>122</v>
      </c>
      <c r="C187" s="43" t="s">
        <v>268</v>
      </c>
      <c r="D187" s="43" t="s">
        <v>6</v>
      </c>
      <c r="E187" s="386">
        <f t="shared" si="7"/>
        <v>1122746.8500000001</v>
      </c>
      <c r="F187" s="386">
        <f t="shared" si="7"/>
        <v>1122746.8500000001</v>
      </c>
      <c r="G187" s="144"/>
    </row>
    <row r="188" spans="1:8" s="2" customFormat="1" ht="75.75" customHeight="1" x14ac:dyDescent="0.25">
      <c r="A188" s="12" t="s">
        <v>363</v>
      </c>
      <c r="B188" s="43" t="s">
        <v>122</v>
      </c>
      <c r="C188" s="43" t="s">
        <v>278</v>
      </c>
      <c r="D188" s="43" t="s">
        <v>6</v>
      </c>
      <c r="E188" s="386">
        <f t="shared" si="7"/>
        <v>1122746.8500000001</v>
      </c>
      <c r="F188" s="386">
        <f t="shared" si="7"/>
        <v>1122746.8500000001</v>
      </c>
      <c r="G188" s="144"/>
    </row>
    <row r="189" spans="1:8" s="2" customFormat="1" ht="18.7" customHeight="1" x14ac:dyDescent="0.25">
      <c r="A189" s="12" t="s">
        <v>15</v>
      </c>
      <c r="B189" s="43" t="s">
        <v>122</v>
      </c>
      <c r="C189" s="43" t="s">
        <v>278</v>
      </c>
      <c r="D189" s="43" t="s">
        <v>16</v>
      </c>
      <c r="E189" s="386">
        <f t="shared" si="7"/>
        <v>1122746.8500000001</v>
      </c>
      <c r="F189" s="386">
        <f t="shared" si="7"/>
        <v>1122746.8500000001</v>
      </c>
      <c r="G189" s="144"/>
    </row>
    <row r="190" spans="1:8" s="2" customFormat="1" ht="36.700000000000003" x14ac:dyDescent="0.25">
      <c r="A190" s="12" t="s">
        <v>17</v>
      </c>
      <c r="B190" s="43" t="s">
        <v>122</v>
      </c>
      <c r="C190" s="43" t="s">
        <v>278</v>
      </c>
      <c r="D190" s="43" t="s">
        <v>18</v>
      </c>
      <c r="E190" s="386">
        <f>'прил 8'!F192</f>
        <v>1122746.8500000001</v>
      </c>
      <c r="F190" s="386">
        <f>'прил 8'!G192</f>
        <v>1122746.8500000001</v>
      </c>
      <c r="G190" s="144"/>
    </row>
    <row r="191" spans="1:8" s="2" customFormat="1" x14ac:dyDescent="0.25">
      <c r="A191" s="12" t="s">
        <v>282</v>
      </c>
      <c r="B191" s="43" t="s">
        <v>283</v>
      </c>
      <c r="C191" s="43" t="s">
        <v>126</v>
      </c>
      <c r="D191" s="43" t="s">
        <v>6</v>
      </c>
      <c r="E191" s="386">
        <f>E192+E197</f>
        <v>1287387.08</v>
      </c>
      <c r="F191" s="386">
        <f>F192+F197</f>
        <v>1287387.08</v>
      </c>
      <c r="G191" s="144"/>
    </row>
    <row r="192" spans="1:8" s="2" customFormat="1" ht="18" customHeight="1" x14ac:dyDescent="0.25">
      <c r="A192" s="12" t="s">
        <v>132</v>
      </c>
      <c r="B192" s="43" t="s">
        <v>283</v>
      </c>
      <c r="C192" s="43" t="s">
        <v>127</v>
      </c>
      <c r="D192" s="43" t="s">
        <v>6</v>
      </c>
      <c r="E192" s="386">
        <f t="shared" ref="E192:F195" si="8">E193</f>
        <v>3387.08</v>
      </c>
      <c r="F192" s="386">
        <f t="shared" si="8"/>
        <v>3387.08</v>
      </c>
      <c r="G192" s="144"/>
    </row>
    <row r="193" spans="1:7" s="2" customFormat="1" ht="21.25" customHeight="1" x14ac:dyDescent="0.25">
      <c r="A193" s="12" t="s">
        <v>269</v>
      </c>
      <c r="B193" s="43" t="s">
        <v>283</v>
      </c>
      <c r="C193" s="43" t="s">
        <v>268</v>
      </c>
      <c r="D193" s="43" t="s">
        <v>6</v>
      </c>
      <c r="E193" s="386">
        <f t="shared" si="8"/>
        <v>3387.08</v>
      </c>
      <c r="F193" s="386">
        <f t="shared" si="8"/>
        <v>3387.08</v>
      </c>
      <c r="G193" s="144"/>
    </row>
    <row r="194" spans="1:7" s="2" customFormat="1" ht="93.25" customHeight="1" x14ac:dyDescent="0.25">
      <c r="A194" s="31" t="s">
        <v>365</v>
      </c>
      <c r="B194" s="43" t="s">
        <v>283</v>
      </c>
      <c r="C194" s="43" t="s">
        <v>364</v>
      </c>
      <c r="D194" s="43" t="s">
        <v>6</v>
      </c>
      <c r="E194" s="386">
        <f t="shared" si="8"/>
        <v>3387.08</v>
      </c>
      <c r="F194" s="386">
        <f t="shared" si="8"/>
        <v>3387.08</v>
      </c>
      <c r="G194" s="144"/>
    </row>
    <row r="195" spans="1:7" s="2" customFormat="1" ht="18.7" customHeight="1" x14ac:dyDescent="0.25">
      <c r="A195" s="12" t="s">
        <v>15</v>
      </c>
      <c r="B195" s="43" t="s">
        <v>283</v>
      </c>
      <c r="C195" s="43" t="s">
        <v>364</v>
      </c>
      <c r="D195" s="43" t="s">
        <v>16</v>
      </c>
      <c r="E195" s="386">
        <f t="shared" si="8"/>
        <v>3387.08</v>
      </c>
      <c r="F195" s="386">
        <f t="shared" si="8"/>
        <v>3387.08</v>
      </c>
      <c r="G195" s="144"/>
    </row>
    <row r="196" spans="1:7" s="2" customFormat="1" ht="36.700000000000003" x14ac:dyDescent="0.25">
      <c r="A196" s="12" t="s">
        <v>17</v>
      </c>
      <c r="B196" s="43" t="s">
        <v>283</v>
      </c>
      <c r="C196" s="43" t="s">
        <v>364</v>
      </c>
      <c r="D196" s="43" t="s">
        <v>18</v>
      </c>
      <c r="E196" s="386">
        <f>'прил 8'!F198</f>
        <v>3387.08</v>
      </c>
      <c r="F196" s="386">
        <f>'прил 8'!G198</f>
        <v>3387.08</v>
      </c>
      <c r="G196" s="144"/>
    </row>
    <row r="197" spans="1:7" s="2" customFormat="1" ht="55.05" x14ac:dyDescent="0.25">
      <c r="A197" s="405" t="s">
        <v>716</v>
      </c>
      <c r="B197" s="43" t="s">
        <v>283</v>
      </c>
      <c r="C197" s="43" t="s">
        <v>308</v>
      </c>
      <c r="D197" s="401" t="s">
        <v>6</v>
      </c>
      <c r="E197" s="386">
        <f t="shared" ref="E197:F200" si="9">E198</f>
        <v>1284000</v>
      </c>
      <c r="F197" s="386">
        <f t="shared" si="9"/>
        <v>1284000</v>
      </c>
      <c r="G197" s="144"/>
    </row>
    <row r="198" spans="1:7" s="2" customFormat="1" ht="36.700000000000003" x14ac:dyDescent="0.25">
      <c r="A198" s="405" t="s">
        <v>711</v>
      </c>
      <c r="B198" s="43" t="s">
        <v>283</v>
      </c>
      <c r="C198" s="43" t="s">
        <v>712</v>
      </c>
      <c r="D198" s="401" t="s">
        <v>6</v>
      </c>
      <c r="E198" s="386">
        <f t="shared" si="9"/>
        <v>1284000</v>
      </c>
      <c r="F198" s="386">
        <f t="shared" si="9"/>
        <v>1284000</v>
      </c>
      <c r="G198" s="144"/>
    </row>
    <row r="199" spans="1:7" s="2" customFormat="1" ht="36.700000000000003" x14ac:dyDescent="0.25">
      <c r="A199" s="423" t="s">
        <v>1085</v>
      </c>
      <c r="B199" s="43" t="s">
        <v>283</v>
      </c>
      <c r="C199" s="43" t="s">
        <v>1086</v>
      </c>
      <c r="D199" s="401" t="s">
        <v>6</v>
      </c>
      <c r="E199" s="386">
        <f t="shared" si="9"/>
        <v>1284000</v>
      </c>
      <c r="F199" s="386">
        <f t="shared" si="9"/>
        <v>1284000</v>
      </c>
      <c r="G199" s="144"/>
    </row>
    <row r="200" spans="1:7" s="2" customFormat="1" ht="36.700000000000003" x14ac:dyDescent="0.25">
      <c r="A200" s="423" t="s">
        <v>15</v>
      </c>
      <c r="B200" s="43" t="s">
        <v>283</v>
      </c>
      <c r="C200" s="425" t="s">
        <v>1086</v>
      </c>
      <c r="D200" s="401" t="s">
        <v>16</v>
      </c>
      <c r="E200" s="386">
        <f t="shared" si="9"/>
        <v>1284000</v>
      </c>
      <c r="F200" s="386">
        <f t="shared" si="9"/>
        <v>1284000</v>
      </c>
      <c r="G200" s="144"/>
    </row>
    <row r="201" spans="1:7" s="2" customFormat="1" ht="36.700000000000003" x14ac:dyDescent="0.25">
      <c r="A201" s="423" t="s">
        <v>17</v>
      </c>
      <c r="B201" s="43" t="s">
        <v>283</v>
      </c>
      <c r="C201" s="425" t="s">
        <v>1086</v>
      </c>
      <c r="D201" s="401" t="s">
        <v>18</v>
      </c>
      <c r="E201" s="386">
        <f>'прил 8'!F203</f>
        <v>1284000</v>
      </c>
      <c r="F201" s="386">
        <f>'прил 8'!G203</f>
        <v>1284000</v>
      </c>
      <c r="G201" s="144"/>
    </row>
    <row r="202" spans="1:7" s="2" customFormat="1" x14ac:dyDescent="0.25">
      <c r="A202" s="12" t="s">
        <v>49</v>
      </c>
      <c r="B202" s="43" t="s">
        <v>50</v>
      </c>
      <c r="C202" s="43" t="s">
        <v>126</v>
      </c>
      <c r="D202" s="43" t="s">
        <v>6</v>
      </c>
      <c r="E202" s="386">
        <f>E203</f>
        <v>17038000</v>
      </c>
      <c r="F202" s="386">
        <f>F203</f>
        <v>17735000</v>
      </c>
      <c r="G202" s="135"/>
    </row>
    <row r="203" spans="1:7" s="2" customFormat="1" ht="57.75" customHeight="1" x14ac:dyDescent="0.25">
      <c r="A203" s="45" t="s">
        <v>1155</v>
      </c>
      <c r="B203" s="387" t="s">
        <v>50</v>
      </c>
      <c r="C203" s="387" t="s">
        <v>322</v>
      </c>
      <c r="D203" s="387" t="s">
        <v>6</v>
      </c>
      <c r="E203" s="386">
        <f>E204</f>
        <v>17038000</v>
      </c>
      <c r="F203" s="386">
        <f>F204</f>
        <v>17735000</v>
      </c>
      <c r="G203" s="135"/>
    </row>
    <row r="204" spans="1:7" s="2" customFormat="1" ht="36.700000000000003" x14ac:dyDescent="0.25">
      <c r="A204" s="12" t="s">
        <v>323</v>
      </c>
      <c r="B204" s="43" t="s">
        <v>50</v>
      </c>
      <c r="C204" s="43" t="s">
        <v>324</v>
      </c>
      <c r="D204" s="43" t="s">
        <v>6</v>
      </c>
      <c r="E204" s="386">
        <f>E205+E208</f>
        <v>17038000</v>
      </c>
      <c r="F204" s="386">
        <f>F205+F208</f>
        <v>17735000</v>
      </c>
      <c r="G204" s="135"/>
    </row>
    <row r="205" spans="1:7" s="2" customFormat="1" ht="55.05" x14ac:dyDescent="0.25">
      <c r="A205" s="44" t="s">
        <v>325</v>
      </c>
      <c r="B205" s="43" t="s">
        <v>50</v>
      </c>
      <c r="C205" s="43" t="s">
        <v>326</v>
      </c>
      <c r="D205" s="43" t="s">
        <v>6</v>
      </c>
      <c r="E205" s="386">
        <f>E206</f>
        <v>17038000</v>
      </c>
      <c r="F205" s="386">
        <f>F206</f>
        <v>17735000</v>
      </c>
      <c r="G205" s="135"/>
    </row>
    <row r="206" spans="1:7" s="2" customFormat="1" ht="18" customHeight="1" x14ac:dyDescent="0.25">
      <c r="A206" s="12" t="s">
        <v>15</v>
      </c>
      <c r="B206" s="43" t="s">
        <v>50</v>
      </c>
      <c r="C206" s="43" t="s">
        <v>326</v>
      </c>
      <c r="D206" s="43" t="s">
        <v>16</v>
      </c>
      <c r="E206" s="386">
        <f>E207</f>
        <v>17038000</v>
      </c>
      <c r="F206" s="386">
        <f>F207</f>
        <v>17735000</v>
      </c>
      <c r="G206" s="135"/>
    </row>
    <row r="207" spans="1:7" s="2" customFormat="1" ht="36.700000000000003" x14ac:dyDescent="0.25">
      <c r="A207" s="12" t="s">
        <v>17</v>
      </c>
      <c r="B207" s="43" t="s">
        <v>50</v>
      </c>
      <c r="C207" s="43" t="s">
        <v>326</v>
      </c>
      <c r="D207" s="43" t="s">
        <v>18</v>
      </c>
      <c r="E207" s="386">
        <f>'прил 8'!F209</f>
        <v>17038000</v>
      </c>
      <c r="F207" s="386">
        <f>'прил 8'!G209</f>
        <v>17735000</v>
      </c>
      <c r="G207" s="135"/>
    </row>
    <row r="208" spans="1:7" s="2" customFormat="1" ht="39.25" hidden="1" customHeight="1" x14ac:dyDescent="0.25">
      <c r="A208" s="12" t="s">
        <v>272</v>
      </c>
      <c r="B208" s="43" t="s">
        <v>50</v>
      </c>
      <c r="C208" s="43" t="s">
        <v>383</v>
      </c>
      <c r="D208" s="43" t="s">
        <v>6</v>
      </c>
      <c r="E208" s="386">
        <f>E209</f>
        <v>0</v>
      </c>
      <c r="F208" s="386">
        <f>F209</f>
        <v>0</v>
      </c>
      <c r="G208" s="135"/>
    </row>
    <row r="209" spans="1:7" s="2" customFormat="1" ht="18" hidden="1" customHeight="1" x14ac:dyDescent="0.25">
      <c r="A209" s="12" t="s">
        <v>15</v>
      </c>
      <c r="B209" s="43" t="s">
        <v>50</v>
      </c>
      <c r="C209" s="43" t="s">
        <v>383</v>
      </c>
      <c r="D209" s="43" t="s">
        <v>16</v>
      </c>
      <c r="E209" s="386">
        <f>E210</f>
        <v>0</v>
      </c>
      <c r="F209" s="386">
        <f>F210</f>
        <v>0</v>
      </c>
      <c r="G209" s="135"/>
    </row>
    <row r="210" spans="1:7" s="2" customFormat="1" ht="39.25" hidden="1" customHeight="1" x14ac:dyDescent="0.25">
      <c r="A210" s="12" t="s">
        <v>17</v>
      </c>
      <c r="B210" s="43" t="s">
        <v>50</v>
      </c>
      <c r="C210" s="43" t="s">
        <v>383</v>
      </c>
      <c r="D210" s="43" t="s">
        <v>18</v>
      </c>
      <c r="E210" s="386"/>
      <c r="F210" s="386"/>
      <c r="G210" s="135"/>
    </row>
    <row r="211" spans="1:7" s="2" customFormat="1" x14ac:dyDescent="0.25">
      <c r="A211" s="12" t="s">
        <v>52</v>
      </c>
      <c r="B211" s="43" t="s">
        <v>53</v>
      </c>
      <c r="C211" s="43" t="s">
        <v>126</v>
      </c>
      <c r="D211" s="43" t="s">
        <v>6</v>
      </c>
      <c r="E211" s="386">
        <f>E217+E212</f>
        <v>330000</v>
      </c>
      <c r="F211" s="386">
        <f>F217+F212</f>
        <v>330000</v>
      </c>
      <c r="G211" s="135"/>
    </row>
    <row r="212" spans="1:7" s="2" customFormat="1" ht="55.05" x14ac:dyDescent="0.25">
      <c r="A212" s="45" t="s">
        <v>1156</v>
      </c>
      <c r="B212" s="387" t="s">
        <v>53</v>
      </c>
      <c r="C212" s="387" t="s">
        <v>385</v>
      </c>
      <c r="D212" s="387" t="s">
        <v>6</v>
      </c>
      <c r="E212" s="386">
        <f t="shared" ref="E212:F215" si="10">E213</f>
        <v>100000</v>
      </c>
      <c r="F212" s="386">
        <f t="shared" si="10"/>
        <v>100000</v>
      </c>
      <c r="G212" s="135"/>
    </row>
    <row r="213" spans="1:7" s="2" customFormat="1" ht="36.700000000000003" x14ac:dyDescent="0.25">
      <c r="A213" s="12" t="s">
        <v>692</v>
      </c>
      <c r="B213" s="43" t="s">
        <v>53</v>
      </c>
      <c r="C213" s="43" t="s">
        <v>387</v>
      </c>
      <c r="D213" s="43" t="s">
        <v>6</v>
      </c>
      <c r="E213" s="386">
        <f t="shared" si="10"/>
        <v>100000</v>
      </c>
      <c r="F213" s="386">
        <f t="shared" si="10"/>
        <v>100000</v>
      </c>
      <c r="G213" s="135"/>
    </row>
    <row r="214" spans="1:7" s="2" customFormat="1" ht="73.400000000000006" x14ac:dyDescent="0.25">
      <c r="A214" s="12" t="s">
        <v>693</v>
      </c>
      <c r="B214" s="43" t="s">
        <v>53</v>
      </c>
      <c r="C214" s="43" t="s">
        <v>694</v>
      </c>
      <c r="D214" s="43" t="s">
        <v>6</v>
      </c>
      <c r="E214" s="386">
        <f t="shared" si="10"/>
        <v>100000</v>
      </c>
      <c r="F214" s="386">
        <f t="shared" si="10"/>
        <v>100000</v>
      </c>
      <c r="G214" s="135"/>
    </row>
    <row r="215" spans="1:7" s="2" customFormat="1" x14ac:dyDescent="0.25">
      <c r="A215" s="12" t="s">
        <v>19</v>
      </c>
      <c r="B215" s="43" t="s">
        <v>53</v>
      </c>
      <c r="C215" s="43" t="s">
        <v>694</v>
      </c>
      <c r="D215" s="43" t="s">
        <v>20</v>
      </c>
      <c r="E215" s="386">
        <f t="shared" si="10"/>
        <v>100000</v>
      </c>
      <c r="F215" s="386">
        <f t="shared" si="10"/>
        <v>100000</v>
      </c>
      <c r="G215" s="135"/>
    </row>
    <row r="216" spans="1:7" s="2" customFormat="1" ht="55.05" x14ac:dyDescent="0.25">
      <c r="A216" s="12" t="s">
        <v>963</v>
      </c>
      <c r="B216" s="43" t="s">
        <v>53</v>
      </c>
      <c r="C216" s="43" t="s">
        <v>694</v>
      </c>
      <c r="D216" s="43" t="s">
        <v>48</v>
      </c>
      <c r="E216" s="386">
        <f>'прил 8'!F221</f>
        <v>100000</v>
      </c>
      <c r="F216" s="386">
        <f>'прил 8'!G220</f>
        <v>100000</v>
      </c>
      <c r="G216" s="135"/>
    </row>
    <row r="217" spans="1:7" s="2" customFormat="1" ht="59.3" customHeight="1" x14ac:dyDescent="0.25">
      <c r="A217" s="45" t="s">
        <v>1157</v>
      </c>
      <c r="B217" s="387" t="s">
        <v>53</v>
      </c>
      <c r="C217" s="387" t="s">
        <v>327</v>
      </c>
      <c r="D217" s="387" t="s">
        <v>6</v>
      </c>
      <c r="E217" s="386">
        <f>E218+E222</f>
        <v>230000</v>
      </c>
      <c r="F217" s="386">
        <f>F218+F222</f>
        <v>230000</v>
      </c>
      <c r="G217" s="135"/>
    </row>
    <row r="218" spans="1:7" s="2" customFormat="1" ht="42.8" customHeight="1" x14ac:dyDescent="0.25">
      <c r="A218" s="12" t="s">
        <v>366</v>
      </c>
      <c r="B218" s="43" t="s">
        <v>53</v>
      </c>
      <c r="C218" s="43" t="s">
        <v>328</v>
      </c>
      <c r="D218" s="43" t="s">
        <v>6</v>
      </c>
      <c r="E218" s="386">
        <f t="shared" ref="E218:F220" si="11">E219</f>
        <v>100000</v>
      </c>
      <c r="F218" s="386">
        <f t="shared" si="11"/>
        <v>100000</v>
      </c>
      <c r="G218" s="135"/>
    </row>
    <row r="219" spans="1:7" s="2" customFormat="1" x14ac:dyDescent="0.25">
      <c r="A219" s="12" t="s">
        <v>329</v>
      </c>
      <c r="B219" s="43" t="s">
        <v>53</v>
      </c>
      <c r="C219" s="43" t="s">
        <v>330</v>
      </c>
      <c r="D219" s="43" t="s">
        <v>6</v>
      </c>
      <c r="E219" s="386">
        <f t="shared" si="11"/>
        <v>100000</v>
      </c>
      <c r="F219" s="386">
        <f t="shared" si="11"/>
        <v>100000</v>
      </c>
      <c r="G219" s="135"/>
    </row>
    <row r="220" spans="1:7" s="2" customFormat="1" ht="18" customHeight="1" x14ac:dyDescent="0.25">
      <c r="A220" s="12" t="s">
        <v>15</v>
      </c>
      <c r="B220" s="43" t="s">
        <v>53</v>
      </c>
      <c r="C220" s="43" t="s">
        <v>330</v>
      </c>
      <c r="D220" s="43" t="s">
        <v>16</v>
      </c>
      <c r="E220" s="386">
        <f t="shared" si="11"/>
        <v>100000</v>
      </c>
      <c r="F220" s="386">
        <f t="shared" si="11"/>
        <v>100000</v>
      </c>
      <c r="G220" s="135"/>
    </row>
    <row r="221" spans="1:7" s="2" customFormat="1" ht="36.700000000000003" x14ac:dyDescent="0.25">
      <c r="A221" s="12" t="s">
        <v>17</v>
      </c>
      <c r="B221" s="43" t="s">
        <v>53</v>
      </c>
      <c r="C221" s="43" t="s">
        <v>330</v>
      </c>
      <c r="D221" s="43" t="s">
        <v>18</v>
      </c>
      <c r="E221" s="386">
        <f>'прил 8'!F226</f>
        <v>100000</v>
      </c>
      <c r="F221" s="386">
        <f>'прил 8'!G226</f>
        <v>100000</v>
      </c>
      <c r="G221" s="135"/>
    </row>
    <row r="222" spans="1:7" s="2" customFormat="1" ht="36.700000000000003" x14ac:dyDescent="0.25">
      <c r="A222" s="12" t="s">
        <v>368</v>
      </c>
      <c r="B222" s="43" t="s">
        <v>53</v>
      </c>
      <c r="C222" s="43" t="s">
        <v>367</v>
      </c>
      <c r="D222" s="43" t="s">
        <v>6</v>
      </c>
      <c r="E222" s="386">
        <f t="shared" ref="E222:F224" si="12">E223</f>
        <v>130000</v>
      </c>
      <c r="F222" s="386">
        <f t="shared" si="12"/>
        <v>130000</v>
      </c>
      <c r="G222" s="135"/>
    </row>
    <row r="223" spans="1:7" s="2" customFormat="1" x14ac:dyDescent="0.25">
      <c r="A223" s="12" t="s">
        <v>331</v>
      </c>
      <c r="B223" s="43" t="s">
        <v>53</v>
      </c>
      <c r="C223" s="43" t="s">
        <v>389</v>
      </c>
      <c r="D223" s="43" t="s">
        <v>6</v>
      </c>
      <c r="E223" s="386">
        <f t="shared" si="12"/>
        <v>130000</v>
      </c>
      <c r="F223" s="386">
        <f t="shared" si="12"/>
        <v>130000</v>
      </c>
      <c r="G223" s="135"/>
    </row>
    <row r="224" spans="1:7" s="2" customFormat="1" ht="18" customHeight="1" x14ac:dyDescent="0.25">
      <c r="A224" s="12" t="s">
        <v>15</v>
      </c>
      <c r="B224" s="43" t="s">
        <v>53</v>
      </c>
      <c r="C224" s="43" t="s">
        <v>389</v>
      </c>
      <c r="D224" s="43" t="s">
        <v>16</v>
      </c>
      <c r="E224" s="386">
        <f t="shared" si="12"/>
        <v>130000</v>
      </c>
      <c r="F224" s="386">
        <f t="shared" si="12"/>
        <v>130000</v>
      </c>
      <c r="G224" s="135"/>
    </row>
    <row r="225" spans="1:8" s="2" customFormat="1" ht="36.700000000000003" x14ac:dyDescent="0.25">
      <c r="A225" s="12" t="s">
        <v>17</v>
      </c>
      <c r="B225" s="43" t="s">
        <v>53</v>
      </c>
      <c r="C225" s="43" t="s">
        <v>389</v>
      </c>
      <c r="D225" s="43" t="s">
        <v>18</v>
      </c>
      <c r="E225" s="386">
        <f>'прил 8'!F230</f>
        <v>130000</v>
      </c>
      <c r="F225" s="386">
        <f>'прил 8'!G230</f>
        <v>130000</v>
      </c>
      <c r="G225" s="135"/>
    </row>
    <row r="226" spans="1:8" outlineLevel="1" x14ac:dyDescent="0.25">
      <c r="A226" s="45" t="s">
        <v>54</v>
      </c>
      <c r="B226" s="387" t="s">
        <v>55</v>
      </c>
      <c r="C226" s="387" t="s">
        <v>126</v>
      </c>
      <c r="D226" s="387" t="s">
        <v>6</v>
      </c>
      <c r="E226" s="52">
        <f>E227+E233+E249+E283</f>
        <v>13710716.370000001</v>
      </c>
      <c r="F226" s="52">
        <f>F227+F233+F249+F283</f>
        <v>13254253.370000001</v>
      </c>
      <c r="G226" s="144"/>
      <c r="H226" s="144" t="e">
        <f>#REF!</f>
        <v>#REF!</v>
      </c>
    </row>
    <row r="227" spans="1:8" ht="19.55" customHeight="1" outlineLevel="2" x14ac:dyDescent="0.25">
      <c r="A227" s="12" t="s">
        <v>56</v>
      </c>
      <c r="B227" s="43" t="s">
        <v>57</v>
      </c>
      <c r="C227" s="43" t="s">
        <v>126</v>
      </c>
      <c r="D227" s="43" t="s">
        <v>6</v>
      </c>
      <c r="E227" s="386">
        <f>E228</f>
        <v>600000</v>
      </c>
      <c r="F227" s="386">
        <f>F228</f>
        <v>600000</v>
      </c>
      <c r="G227" s="144"/>
    </row>
    <row r="228" spans="1:8" ht="38.25" customHeight="1" outlineLevel="2" x14ac:dyDescent="0.25">
      <c r="A228" s="45" t="s">
        <v>1158</v>
      </c>
      <c r="B228" s="387" t="s">
        <v>57</v>
      </c>
      <c r="C228" s="387" t="s">
        <v>319</v>
      </c>
      <c r="D228" s="387" t="s">
        <v>6</v>
      </c>
      <c r="E228" s="386">
        <f t="shared" ref="E228:F231" si="13">E229</f>
        <v>600000</v>
      </c>
      <c r="F228" s="386">
        <f t="shared" si="13"/>
        <v>600000</v>
      </c>
      <c r="G228" s="144"/>
    </row>
    <row r="229" spans="1:8" ht="36.700000000000003" outlineLevel="2" x14ac:dyDescent="0.25">
      <c r="A229" s="12" t="s">
        <v>332</v>
      </c>
      <c r="B229" s="43" t="s">
        <v>57</v>
      </c>
      <c r="C229" s="43" t="s">
        <v>320</v>
      </c>
      <c r="D229" s="43" t="s">
        <v>6</v>
      </c>
      <c r="E229" s="386">
        <f t="shared" si="13"/>
        <v>600000</v>
      </c>
      <c r="F229" s="386">
        <f t="shared" si="13"/>
        <v>600000</v>
      </c>
      <c r="G229" s="144"/>
    </row>
    <row r="230" spans="1:8" ht="18.7" customHeight="1" outlineLevel="2" x14ac:dyDescent="0.25">
      <c r="A230" s="12" t="s">
        <v>333</v>
      </c>
      <c r="B230" s="43" t="s">
        <v>57</v>
      </c>
      <c r="C230" s="43" t="s">
        <v>334</v>
      </c>
      <c r="D230" s="43" t="s">
        <v>6</v>
      </c>
      <c r="E230" s="386">
        <f t="shared" si="13"/>
        <v>600000</v>
      </c>
      <c r="F230" s="386">
        <f t="shared" si="13"/>
        <v>600000</v>
      </c>
      <c r="G230" s="144"/>
    </row>
    <row r="231" spans="1:8" ht="18" customHeight="1" outlineLevel="2" x14ac:dyDescent="0.25">
      <c r="A231" s="12" t="s">
        <v>15</v>
      </c>
      <c r="B231" s="43" t="s">
        <v>57</v>
      </c>
      <c r="C231" s="43" t="s">
        <v>334</v>
      </c>
      <c r="D231" s="43" t="s">
        <v>16</v>
      </c>
      <c r="E231" s="386">
        <f t="shared" si="13"/>
        <v>600000</v>
      </c>
      <c r="F231" s="386">
        <f t="shared" si="13"/>
        <v>600000</v>
      </c>
      <c r="G231" s="144"/>
    </row>
    <row r="232" spans="1:8" ht="33.799999999999997" customHeight="1" outlineLevel="4" x14ac:dyDescent="0.25">
      <c r="A232" s="12" t="s">
        <v>17</v>
      </c>
      <c r="B232" s="43" t="s">
        <v>57</v>
      </c>
      <c r="C232" s="43" t="s">
        <v>334</v>
      </c>
      <c r="D232" s="43" t="s">
        <v>18</v>
      </c>
      <c r="E232" s="386">
        <f>'прил 8'!F237</f>
        <v>600000</v>
      </c>
      <c r="F232" s="386">
        <f>'прил 8'!G237</f>
        <v>600000</v>
      </c>
      <c r="G232" s="144"/>
    </row>
    <row r="233" spans="1:8" outlineLevel="5" x14ac:dyDescent="0.25">
      <c r="A233" s="12" t="s">
        <v>58</v>
      </c>
      <c r="B233" s="43" t="s">
        <v>59</v>
      </c>
      <c r="C233" s="43" t="s">
        <v>126</v>
      </c>
      <c r="D233" s="43" t="s">
        <v>6</v>
      </c>
      <c r="E233" s="386">
        <f>E234</f>
        <v>100000</v>
      </c>
      <c r="F233" s="386">
        <f>F234</f>
        <v>100000</v>
      </c>
      <c r="G233" s="144"/>
    </row>
    <row r="234" spans="1:8" ht="39.75" customHeight="1" outlineLevel="6" x14ac:dyDescent="0.25">
      <c r="A234" s="45" t="s">
        <v>1159</v>
      </c>
      <c r="B234" s="387" t="s">
        <v>59</v>
      </c>
      <c r="C234" s="387" t="s">
        <v>134</v>
      </c>
      <c r="D234" s="387" t="s">
        <v>6</v>
      </c>
      <c r="E234" s="386">
        <f>E235</f>
        <v>100000</v>
      </c>
      <c r="F234" s="386">
        <f>F235</f>
        <v>100000</v>
      </c>
      <c r="G234" s="144"/>
    </row>
    <row r="235" spans="1:8" ht="36.700000000000003" customHeight="1" outlineLevel="4" x14ac:dyDescent="0.25">
      <c r="A235" s="12" t="s">
        <v>1033</v>
      </c>
      <c r="B235" s="43" t="s">
        <v>59</v>
      </c>
      <c r="C235" s="43" t="s">
        <v>335</v>
      </c>
      <c r="D235" s="43" t="s">
        <v>6</v>
      </c>
      <c r="E235" s="386">
        <f>E236+E243+E246</f>
        <v>100000</v>
      </c>
      <c r="F235" s="386">
        <f>F236+F243+F246</f>
        <v>100000</v>
      </c>
      <c r="G235" s="144"/>
    </row>
    <row r="236" spans="1:8" ht="76.75" customHeight="1" outlineLevel="5" x14ac:dyDescent="0.25">
      <c r="A236" s="12" t="s">
        <v>60</v>
      </c>
      <c r="B236" s="43" t="s">
        <v>59</v>
      </c>
      <c r="C236" s="43" t="s">
        <v>336</v>
      </c>
      <c r="D236" s="43" t="s">
        <v>6</v>
      </c>
      <c r="E236" s="386">
        <f>E237+E239+E241</f>
        <v>100000</v>
      </c>
      <c r="F236" s="386">
        <f>F237+F239+F241</f>
        <v>100000</v>
      </c>
      <c r="G236" s="144"/>
    </row>
    <row r="237" spans="1:8" ht="18" customHeight="1" outlineLevel="6" x14ac:dyDescent="0.25">
      <c r="A237" s="12" t="s">
        <v>15</v>
      </c>
      <c r="B237" s="43" t="s">
        <v>59</v>
      </c>
      <c r="C237" s="43" t="s">
        <v>336</v>
      </c>
      <c r="D237" s="43" t="s">
        <v>16</v>
      </c>
      <c r="E237" s="386">
        <f>E238</f>
        <v>100000</v>
      </c>
      <c r="F237" s="386">
        <f>F238</f>
        <v>100000</v>
      </c>
      <c r="G237" s="144"/>
    </row>
    <row r="238" spans="1:8" s="2" customFormat="1" ht="35.5" customHeight="1" x14ac:dyDescent="0.25">
      <c r="A238" s="12" t="s">
        <v>17</v>
      </c>
      <c r="B238" s="43" t="s">
        <v>59</v>
      </c>
      <c r="C238" s="43" t="s">
        <v>336</v>
      </c>
      <c r="D238" s="43" t="s">
        <v>18</v>
      </c>
      <c r="E238" s="386">
        <f>'прил 8'!F243</f>
        <v>100000</v>
      </c>
      <c r="F238" s="386">
        <f>'прил 8'!G243</f>
        <v>100000</v>
      </c>
      <c r="G238" s="144"/>
    </row>
    <row r="239" spans="1:8" s="2" customFormat="1" ht="36.700000000000003" hidden="1" x14ac:dyDescent="0.25">
      <c r="A239" s="12" t="s">
        <v>258</v>
      </c>
      <c r="B239" s="43" t="s">
        <v>59</v>
      </c>
      <c r="C239" s="43" t="s">
        <v>336</v>
      </c>
      <c r="D239" s="43" t="s">
        <v>259</v>
      </c>
      <c r="E239" s="386">
        <f>E240</f>
        <v>0</v>
      </c>
      <c r="F239" s="386">
        <f>F240</f>
        <v>0</v>
      </c>
      <c r="G239" s="144"/>
    </row>
    <row r="240" spans="1:8" s="2" customFormat="1" hidden="1" x14ac:dyDescent="0.25">
      <c r="A240" s="12" t="s">
        <v>260</v>
      </c>
      <c r="B240" s="43" t="s">
        <v>59</v>
      </c>
      <c r="C240" s="43" t="s">
        <v>336</v>
      </c>
      <c r="D240" s="43" t="s">
        <v>261</v>
      </c>
      <c r="E240" s="386">
        <v>0</v>
      </c>
      <c r="F240" s="386">
        <v>0</v>
      </c>
      <c r="G240" s="144"/>
    </row>
    <row r="241" spans="1:7" s="2" customFormat="1" hidden="1" x14ac:dyDescent="0.25">
      <c r="A241" s="12" t="s">
        <v>19</v>
      </c>
      <c r="B241" s="43" t="s">
        <v>59</v>
      </c>
      <c r="C241" s="43" t="s">
        <v>336</v>
      </c>
      <c r="D241" s="43" t="s">
        <v>20</v>
      </c>
      <c r="E241" s="386">
        <f>E242</f>
        <v>0</v>
      </c>
      <c r="F241" s="386">
        <f>F242</f>
        <v>0</v>
      </c>
      <c r="G241" s="144"/>
    </row>
    <row r="242" spans="1:7" s="2" customFormat="1" ht="55.05" hidden="1" x14ac:dyDescent="0.25">
      <c r="A242" s="12" t="s">
        <v>963</v>
      </c>
      <c r="B242" s="43" t="s">
        <v>59</v>
      </c>
      <c r="C242" s="43" t="s">
        <v>336</v>
      </c>
      <c r="D242" s="43" t="s">
        <v>48</v>
      </c>
      <c r="E242" s="386"/>
      <c r="F242" s="386"/>
      <c r="G242" s="144"/>
    </row>
    <row r="243" spans="1:7" ht="39.75" hidden="1" customHeight="1" outlineLevel="1" x14ac:dyDescent="0.25">
      <c r="A243" s="12" t="s">
        <v>246</v>
      </c>
      <c r="B243" s="43" t="s">
        <v>59</v>
      </c>
      <c r="C243" s="43" t="s">
        <v>337</v>
      </c>
      <c r="D243" s="43" t="s">
        <v>6</v>
      </c>
      <c r="E243" s="386">
        <f>E244</f>
        <v>0</v>
      </c>
      <c r="F243" s="386">
        <f>F244</f>
        <v>0</v>
      </c>
      <c r="G243" s="144"/>
    </row>
    <row r="244" spans="1:7" ht="20.25" hidden="1" customHeight="1" outlineLevel="2" x14ac:dyDescent="0.25">
      <c r="A244" s="12" t="s">
        <v>19</v>
      </c>
      <c r="B244" s="43" t="s">
        <v>59</v>
      </c>
      <c r="C244" s="43" t="s">
        <v>337</v>
      </c>
      <c r="D244" s="43" t="s">
        <v>20</v>
      </c>
      <c r="E244" s="386">
        <f>E245</f>
        <v>0</v>
      </c>
      <c r="F244" s="386">
        <f>F245</f>
        <v>0</v>
      </c>
      <c r="G244" s="144"/>
    </row>
    <row r="245" spans="1:7" ht="39.25" hidden="1" customHeight="1" outlineLevel="3" x14ac:dyDescent="0.25">
      <c r="A245" s="12" t="s">
        <v>963</v>
      </c>
      <c r="B245" s="43" t="s">
        <v>59</v>
      </c>
      <c r="C245" s="43" t="s">
        <v>337</v>
      </c>
      <c r="D245" s="43" t="s">
        <v>48</v>
      </c>
      <c r="E245" s="386">
        <f>'прил 8'!F250</f>
        <v>0</v>
      </c>
      <c r="F245" s="386">
        <f>'прил 8'!G250</f>
        <v>0</v>
      </c>
      <c r="G245" s="144"/>
    </row>
    <row r="246" spans="1:7" ht="36" hidden="1" customHeight="1" outlineLevel="4" x14ac:dyDescent="0.25">
      <c r="A246" s="12" t="s">
        <v>256</v>
      </c>
      <c r="B246" s="43" t="s">
        <v>59</v>
      </c>
      <c r="C246" s="43" t="s">
        <v>338</v>
      </c>
      <c r="D246" s="43" t="s">
        <v>6</v>
      </c>
      <c r="E246" s="386">
        <f>E247</f>
        <v>0</v>
      </c>
      <c r="F246" s="386">
        <f>F247</f>
        <v>0</v>
      </c>
      <c r="G246" s="144"/>
    </row>
    <row r="247" spans="1:7" ht="17.5" hidden="1" customHeight="1" outlineLevel="5" x14ac:dyDescent="0.25">
      <c r="A247" s="12" t="s">
        <v>19</v>
      </c>
      <c r="B247" s="43" t="s">
        <v>59</v>
      </c>
      <c r="C247" s="43" t="s">
        <v>338</v>
      </c>
      <c r="D247" s="43" t="s">
        <v>20</v>
      </c>
      <c r="E247" s="386">
        <f>'прил 8'!F253</f>
        <v>0</v>
      </c>
      <c r="F247" s="386">
        <f>F248</f>
        <v>0</v>
      </c>
      <c r="G247" s="144"/>
    </row>
    <row r="248" spans="1:7" ht="39.25" hidden="1" customHeight="1" outlineLevel="6" x14ac:dyDescent="0.25">
      <c r="A248" s="12" t="s">
        <v>963</v>
      </c>
      <c r="B248" s="43" t="s">
        <v>59</v>
      </c>
      <c r="C248" s="43" t="s">
        <v>338</v>
      </c>
      <c r="D248" s="43" t="s">
        <v>48</v>
      </c>
      <c r="E248" s="386">
        <v>0</v>
      </c>
      <c r="F248" s="386">
        <f>'прил 8'!G253</f>
        <v>0</v>
      </c>
      <c r="G248" s="144"/>
    </row>
    <row r="249" spans="1:7" outlineLevel="1" collapsed="1" x14ac:dyDescent="0.25">
      <c r="A249" s="12" t="s">
        <v>61</v>
      </c>
      <c r="B249" s="43" t="s">
        <v>62</v>
      </c>
      <c r="C249" s="43" t="s">
        <v>126</v>
      </c>
      <c r="D249" s="43" t="s">
        <v>6</v>
      </c>
      <c r="E249" s="386">
        <f>E250+E258+E269</f>
        <v>13010716.370000001</v>
      </c>
      <c r="F249" s="386">
        <f>F250+F258+F269</f>
        <v>12554253.370000001</v>
      </c>
      <c r="G249" s="144"/>
    </row>
    <row r="250" spans="1:7" ht="37.549999999999997" customHeight="1" outlineLevel="2" x14ac:dyDescent="0.25">
      <c r="A250" s="45" t="s">
        <v>1159</v>
      </c>
      <c r="B250" s="387" t="s">
        <v>62</v>
      </c>
      <c r="C250" s="387" t="s">
        <v>134</v>
      </c>
      <c r="D250" s="387" t="s">
        <v>6</v>
      </c>
      <c r="E250" s="386">
        <f>E251</f>
        <v>200000</v>
      </c>
      <c r="F250" s="386">
        <f>F251</f>
        <v>200000</v>
      </c>
      <c r="G250" s="144"/>
    </row>
    <row r="251" spans="1:7" ht="19.55" customHeight="1" outlineLevel="3" x14ac:dyDescent="0.25">
      <c r="A251" s="12" t="s">
        <v>339</v>
      </c>
      <c r="B251" s="43" t="s">
        <v>62</v>
      </c>
      <c r="C251" s="43" t="s">
        <v>229</v>
      </c>
      <c r="D251" s="43" t="s">
        <v>6</v>
      </c>
      <c r="E251" s="386">
        <f>E252+E255</f>
        <v>200000</v>
      </c>
      <c r="F251" s="386">
        <f>F252+F255</f>
        <v>200000</v>
      </c>
      <c r="G251" s="144"/>
    </row>
    <row r="252" spans="1:7" ht="19.55" hidden="1" customHeight="1" outlineLevel="3" x14ac:dyDescent="0.25">
      <c r="A252" s="12" t="s">
        <v>343</v>
      </c>
      <c r="B252" s="43" t="s">
        <v>62</v>
      </c>
      <c r="C252" s="43" t="s">
        <v>418</v>
      </c>
      <c r="D252" s="43" t="s">
        <v>6</v>
      </c>
      <c r="E252" s="386">
        <f>E253</f>
        <v>0</v>
      </c>
      <c r="F252" s="386">
        <f>F253</f>
        <v>0</v>
      </c>
      <c r="G252" s="144"/>
    </row>
    <row r="253" spans="1:7" ht="19.55" hidden="1" customHeight="1" outlineLevel="3" x14ac:dyDescent="0.25">
      <c r="A253" s="12" t="s">
        <v>15</v>
      </c>
      <c r="B253" s="43" t="s">
        <v>62</v>
      </c>
      <c r="C253" s="43" t="s">
        <v>418</v>
      </c>
      <c r="D253" s="43" t="s">
        <v>16</v>
      </c>
      <c r="E253" s="386">
        <f>E254</f>
        <v>0</v>
      </c>
      <c r="F253" s="386">
        <f>F254</f>
        <v>0</v>
      </c>
      <c r="G253" s="144"/>
    </row>
    <row r="254" spans="1:7" ht="36.700000000000003" hidden="1" outlineLevel="3" x14ac:dyDescent="0.25">
      <c r="A254" s="12" t="s">
        <v>17</v>
      </c>
      <c r="B254" s="43" t="s">
        <v>62</v>
      </c>
      <c r="C254" s="43" t="s">
        <v>418</v>
      </c>
      <c r="D254" s="43" t="s">
        <v>18</v>
      </c>
      <c r="E254" s="386">
        <f>'прил 8'!F259</f>
        <v>0</v>
      </c>
      <c r="F254" s="386">
        <f>'прил 8'!G259</f>
        <v>0</v>
      </c>
      <c r="G254" s="144"/>
    </row>
    <row r="255" spans="1:7" ht="18" customHeight="1" outlineLevel="4" x14ac:dyDescent="0.25">
      <c r="A255" s="12" t="s">
        <v>63</v>
      </c>
      <c r="B255" s="43" t="s">
        <v>62</v>
      </c>
      <c r="C255" s="43" t="s">
        <v>340</v>
      </c>
      <c r="D255" s="43" t="s">
        <v>6</v>
      </c>
      <c r="E255" s="386">
        <f>E256</f>
        <v>200000</v>
      </c>
      <c r="F255" s="386">
        <f>F256</f>
        <v>200000</v>
      </c>
      <c r="G255" s="144"/>
    </row>
    <row r="256" spans="1:7" ht="18" customHeight="1" outlineLevel="5" x14ac:dyDescent="0.25">
      <c r="A256" s="12" t="s">
        <v>15</v>
      </c>
      <c r="B256" s="43" t="s">
        <v>62</v>
      </c>
      <c r="C256" s="43" t="s">
        <v>340</v>
      </c>
      <c r="D256" s="43" t="s">
        <v>16</v>
      </c>
      <c r="E256" s="386">
        <f>E257</f>
        <v>200000</v>
      </c>
      <c r="F256" s="386">
        <f>F257</f>
        <v>200000</v>
      </c>
      <c r="G256" s="144"/>
    </row>
    <row r="257" spans="1:7" ht="36.700000000000003" outlineLevel="6" x14ac:dyDescent="0.25">
      <c r="A257" s="12" t="s">
        <v>17</v>
      </c>
      <c r="B257" s="43" t="s">
        <v>62</v>
      </c>
      <c r="C257" s="43" t="s">
        <v>340</v>
      </c>
      <c r="D257" s="43" t="s">
        <v>18</v>
      </c>
      <c r="E257" s="386">
        <f>'прил 8'!F262</f>
        <v>200000</v>
      </c>
      <c r="F257" s="386">
        <f>'прил 8'!G262</f>
        <v>200000</v>
      </c>
      <c r="G257" s="144"/>
    </row>
    <row r="258" spans="1:7" ht="36.700000000000003" outlineLevel="6" x14ac:dyDescent="0.25">
      <c r="A258" s="45" t="s">
        <v>1160</v>
      </c>
      <c r="B258" s="387" t="s">
        <v>62</v>
      </c>
      <c r="C258" s="387" t="s">
        <v>464</v>
      </c>
      <c r="D258" s="387" t="s">
        <v>6</v>
      </c>
      <c r="E258" s="386">
        <f>E259</f>
        <v>1345000</v>
      </c>
      <c r="F258" s="386">
        <f>F259</f>
        <v>888537</v>
      </c>
      <c r="G258" s="144"/>
    </row>
    <row r="259" spans="1:7" ht="20.25" customHeight="1" outlineLevel="6" x14ac:dyDescent="0.25">
      <c r="A259" s="12" t="s">
        <v>465</v>
      </c>
      <c r="B259" s="43" t="s">
        <v>62</v>
      </c>
      <c r="C259" s="43" t="s">
        <v>466</v>
      </c>
      <c r="D259" s="43" t="s">
        <v>6</v>
      </c>
      <c r="E259" s="386">
        <f>E260+E263+E266</f>
        <v>1345000</v>
      </c>
      <c r="F259" s="386">
        <f>F260+F263+F266</f>
        <v>888537</v>
      </c>
      <c r="G259" s="144"/>
    </row>
    <row r="260" spans="1:7" ht="55.05" outlineLevel="6" x14ac:dyDescent="0.25">
      <c r="A260" s="12" t="s">
        <v>467</v>
      </c>
      <c r="B260" s="43" t="s">
        <v>62</v>
      </c>
      <c r="C260" s="43" t="s">
        <v>468</v>
      </c>
      <c r="D260" s="43" t="s">
        <v>6</v>
      </c>
      <c r="E260" s="386">
        <f>E261</f>
        <v>970000</v>
      </c>
      <c r="F260" s="386">
        <f>F261</f>
        <v>513537</v>
      </c>
      <c r="G260" s="144"/>
    </row>
    <row r="261" spans="1:7" ht="36.700000000000003" outlineLevel="6" x14ac:dyDescent="0.25">
      <c r="A261" s="12" t="s">
        <v>15</v>
      </c>
      <c r="B261" s="43" t="s">
        <v>62</v>
      </c>
      <c r="C261" s="43" t="s">
        <v>468</v>
      </c>
      <c r="D261" s="43" t="s">
        <v>16</v>
      </c>
      <c r="E261" s="386">
        <f>E262</f>
        <v>970000</v>
      </c>
      <c r="F261" s="386">
        <f>F262</f>
        <v>513537</v>
      </c>
      <c r="G261" s="144"/>
    </row>
    <row r="262" spans="1:7" ht="36.700000000000003" outlineLevel="6" x14ac:dyDescent="0.25">
      <c r="A262" s="12" t="s">
        <v>17</v>
      </c>
      <c r="B262" s="43" t="s">
        <v>62</v>
      </c>
      <c r="C262" s="43" t="s">
        <v>468</v>
      </c>
      <c r="D262" s="43" t="s">
        <v>18</v>
      </c>
      <c r="E262" s="386">
        <f>'прил 8'!F267</f>
        <v>970000</v>
      </c>
      <c r="F262" s="386">
        <f>'прил 8'!G267</f>
        <v>513537</v>
      </c>
      <c r="G262" s="144"/>
    </row>
    <row r="263" spans="1:7" ht="36.700000000000003" hidden="1" outlineLevel="6" x14ac:dyDescent="0.25">
      <c r="A263" s="12" t="s">
        <v>469</v>
      </c>
      <c r="B263" s="43" t="s">
        <v>62</v>
      </c>
      <c r="C263" s="43" t="s">
        <v>470</v>
      </c>
      <c r="D263" s="43" t="s">
        <v>6</v>
      </c>
      <c r="E263" s="386">
        <f>E264</f>
        <v>0</v>
      </c>
      <c r="F263" s="386">
        <f>F264</f>
        <v>0</v>
      </c>
      <c r="G263" s="144"/>
    </row>
    <row r="264" spans="1:7" ht="36.700000000000003" hidden="1" outlineLevel="6" x14ac:dyDescent="0.25">
      <c r="A264" s="12" t="s">
        <v>15</v>
      </c>
      <c r="B264" s="43" t="s">
        <v>62</v>
      </c>
      <c r="C264" s="43" t="s">
        <v>470</v>
      </c>
      <c r="D264" s="43" t="s">
        <v>16</v>
      </c>
      <c r="E264" s="386">
        <f>E265</f>
        <v>0</v>
      </c>
      <c r="F264" s="386">
        <f>F265</f>
        <v>0</v>
      </c>
      <c r="G264" s="144"/>
    </row>
    <row r="265" spans="1:7" ht="36.700000000000003" hidden="1" outlineLevel="6" x14ac:dyDescent="0.25">
      <c r="A265" s="12" t="s">
        <v>17</v>
      </c>
      <c r="B265" s="43" t="s">
        <v>62</v>
      </c>
      <c r="C265" s="43" t="s">
        <v>470</v>
      </c>
      <c r="D265" s="43" t="s">
        <v>18</v>
      </c>
      <c r="E265" s="386">
        <f>'прил 8'!F270</f>
        <v>0</v>
      </c>
      <c r="F265" s="386">
        <f>'прил 8'!G270</f>
        <v>0</v>
      </c>
      <c r="G265" s="144"/>
    </row>
    <row r="266" spans="1:7" outlineLevel="6" x14ac:dyDescent="0.25">
      <c r="A266" s="12" t="s">
        <v>471</v>
      </c>
      <c r="B266" s="43" t="s">
        <v>62</v>
      </c>
      <c r="C266" s="43" t="s">
        <v>472</v>
      </c>
      <c r="D266" s="43" t="s">
        <v>6</v>
      </c>
      <c r="E266" s="386">
        <f>E267</f>
        <v>375000</v>
      </c>
      <c r="F266" s="386">
        <f>F267</f>
        <v>375000</v>
      </c>
      <c r="G266" s="144"/>
    </row>
    <row r="267" spans="1:7" ht="36.700000000000003" outlineLevel="6" x14ac:dyDescent="0.25">
      <c r="A267" s="12" t="s">
        <v>15</v>
      </c>
      <c r="B267" s="43" t="s">
        <v>62</v>
      </c>
      <c r="C267" s="43" t="s">
        <v>472</v>
      </c>
      <c r="D267" s="43" t="s">
        <v>16</v>
      </c>
      <c r="E267" s="386">
        <f>E268</f>
        <v>375000</v>
      </c>
      <c r="F267" s="386">
        <f>F268</f>
        <v>375000</v>
      </c>
      <c r="G267" s="144"/>
    </row>
    <row r="268" spans="1:7" ht="36.700000000000003" outlineLevel="6" x14ac:dyDescent="0.25">
      <c r="A268" s="12" t="s">
        <v>17</v>
      </c>
      <c r="B268" s="43" t="s">
        <v>62</v>
      </c>
      <c r="C268" s="43" t="s">
        <v>472</v>
      </c>
      <c r="D268" s="43" t="s">
        <v>18</v>
      </c>
      <c r="E268" s="386">
        <f>'прил 8'!F273</f>
        <v>375000</v>
      </c>
      <c r="F268" s="386">
        <f>'прил 8'!G273</f>
        <v>375000</v>
      </c>
      <c r="G268" s="144"/>
    </row>
    <row r="269" spans="1:7" ht="55.05" outlineLevel="6" x14ac:dyDescent="0.25">
      <c r="A269" s="45" t="s">
        <v>473</v>
      </c>
      <c r="B269" s="387" t="s">
        <v>62</v>
      </c>
      <c r="C269" s="387" t="s">
        <v>474</v>
      </c>
      <c r="D269" s="387" t="s">
        <v>6</v>
      </c>
      <c r="E269" s="386">
        <f>E270+E275</f>
        <v>11465716.370000001</v>
      </c>
      <c r="F269" s="386">
        <f>F270+F275</f>
        <v>11465716.370000001</v>
      </c>
      <c r="G269" s="144"/>
    </row>
    <row r="270" spans="1:7" ht="38.25" hidden="1" customHeight="1" outlineLevel="6" x14ac:dyDescent="0.25">
      <c r="A270" s="45" t="s">
        <v>501</v>
      </c>
      <c r="B270" s="387" t="s">
        <v>62</v>
      </c>
      <c r="C270" s="387" t="s">
        <v>502</v>
      </c>
      <c r="D270" s="387" t="s">
        <v>6</v>
      </c>
      <c r="E270" s="386">
        <f t="shared" ref="E270:F273" si="14">E271</f>
        <v>0</v>
      </c>
      <c r="F270" s="386">
        <f t="shared" si="14"/>
        <v>0</v>
      </c>
      <c r="G270" s="144"/>
    </row>
    <row r="271" spans="1:7" hidden="1" outlineLevel="6" x14ac:dyDescent="0.25">
      <c r="A271" s="12" t="s">
        <v>931</v>
      </c>
      <c r="B271" s="43" t="s">
        <v>62</v>
      </c>
      <c r="C271" s="43" t="s">
        <v>503</v>
      </c>
      <c r="D271" s="43" t="s">
        <v>6</v>
      </c>
      <c r="E271" s="386">
        <f t="shared" si="14"/>
        <v>0</v>
      </c>
      <c r="F271" s="386">
        <f t="shared" si="14"/>
        <v>0</v>
      </c>
      <c r="G271" s="144"/>
    </row>
    <row r="272" spans="1:7" hidden="1" outlineLevel="6" x14ac:dyDescent="0.25">
      <c r="A272" s="12" t="s">
        <v>499</v>
      </c>
      <c r="B272" s="43" t="s">
        <v>62</v>
      </c>
      <c r="C272" s="43" t="s">
        <v>504</v>
      </c>
      <c r="D272" s="43" t="s">
        <v>6</v>
      </c>
      <c r="E272" s="386">
        <f t="shared" si="14"/>
        <v>0</v>
      </c>
      <c r="F272" s="386">
        <f t="shared" si="14"/>
        <v>0</v>
      </c>
      <c r="G272" s="144"/>
    </row>
    <row r="273" spans="1:7" ht="36.700000000000003" hidden="1" outlineLevel="6" x14ac:dyDescent="0.25">
      <c r="A273" s="12" t="s">
        <v>15</v>
      </c>
      <c r="B273" s="43" t="s">
        <v>62</v>
      </c>
      <c r="C273" s="43" t="s">
        <v>504</v>
      </c>
      <c r="D273" s="43" t="s">
        <v>16</v>
      </c>
      <c r="E273" s="386">
        <f t="shared" si="14"/>
        <v>0</v>
      </c>
      <c r="F273" s="386">
        <f t="shared" si="14"/>
        <v>0</v>
      </c>
      <c r="G273" s="144"/>
    </row>
    <row r="274" spans="1:7" ht="36.700000000000003" hidden="1" outlineLevel="6" x14ac:dyDescent="0.25">
      <c r="A274" s="12" t="s">
        <v>17</v>
      </c>
      <c r="B274" s="43" t="s">
        <v>62</v>
      </c>
      <c r="C274" s="43" t="s">
        <v>504</v>
      </c>
      <c r="D274" s="43" t="s">
        <v>18</v>
      </c>
      <c r="E274" s="386">
        <f>'прил 8'!F279</f>
        <v>0</v>
      </c>
      <c r="F274" s="386">
        <f>'прил 8'!G279</f>
        <v>0</v>
      </c>
      <c r="G274" s="144"/>
    </row>
    <row r="275" spans="1:7" ht="36.700000000000003" outlineLevel="6" x14ac:dyDescent="0.25">
      <c r="A275" s="45" t="s">
        <v>505</v>
      </c>
      <c r="B275" s="43" t="s">
        <v>62</v>
      </c>
      <c r="C275" s="387" t="s">
        <v>507</v>
      </c>
      <c r="D275" s="387" t="s">
        <v>6</v>
      </c>
      <c r="E275" s="386">
        <f>E276</f>
        <v>11465716.370000001</v>
      </c>
      <c r="F275" s="386">
        <f>F276</f>
        <v>11465716.370000001</v>
      </c>
      <c r="G275" s="144"/>
    </row>
    <row r="276" spans="1:7" ht="36.700000000000003" outlineLevel="6" x14ac:dyDescent="0.25">
      <c r="A276" s="45" t="s">
        <v>506</v>
      </c>
      <c r="B276" s="43" t="s">
        <v>62</v>
      </c>
      <c r="C276" s="387" t="s">
        <v>508</v>
      </c>
      <c r="D276" s="387" t="s">
        <v>6</v>
      </c>
      <c r="E276" s="386">
        <f>E277+E280</f>
        <v>11465716.370000001</v>
      </c>
      <c r="F276" s="386">
        <f>F277+F280</f>
        <v>11465716.370000001</v>
      </c>
      <c r="G276" s="144"/>
    </row>
    <row r="277" spans="1:7" ht="58.75" customHeight="1" outlineLevel="6" x14ac:dyDescent="0.25">
      <c r="A277" s="44" t="s">
        <v>951</v>
      </c>
      <c r="B277" s="43" t="s">
        <v>62</v>
      </c>
      <c r="C277" s="43" t="s">
        <v>531</v>
      </c>
      <c r="D277" s="43" t="s">
        <v>6</v>
      </c>
      <c r="E277" s="386">
        <f>E278</f>
        <v>11351059.210000001</v>
      </c>
      <c r="F277" s="386">
        <f>F278</f>
        <v>11351059.210000001</v>
      </c>
      <c r="G277" s="144"/>
    </row>
    <row r="278" spans="1:7" ht="36.700000000000003" outlineLevel="6" x14ac:dyDescent="0.25">
      <c r="A278" s="12" t="s">
        <v>15</v>
      </c>
      <c r="B278" s="43" t="s">
        <v>62</v>
      </c>
      <c r="C278" s="43" t="s">
        <v>531</v>
      </c>
      <c r="D278" s="43" t="s">
        <v>16</v>
      </c>
      <c r="E278" s="386">
        <f>E279</f>
        <v>11351059.210000001</v>
      </c>
      <c r="F278" s="386">
        <f>F279</f>
        <v>11351059.210000001</v>
      </c>
      <c r="G278" s="144"/>
    </row>
    <row r="279" spans="1:7" ht="36.700000000000003" outlineLevel="6" x14ac:dyDescent="0.25">
      <c r="A279" s="12" t="s">
        <v>17</v>
      </c>
      <c r="B279" s="43" t="s">
        <v>62</v>
      </c>
      <c r="C279" s="43" t="s">
        <v>531</v>
      </c>
      <c r="D279" s="43" t="s">
        <v>18</v>
      </c>
      <c r="E279" s="386">
        <f>'прил 8'!F287</f>
        <v>11351059.210000001</v>
      </c>
      <c r="F279" s="386">
        <f>'прил 8'!G287</f>
        <v>11351059.210000001</v>
      </c>
      <c r="G279" s="144"/>
    </row>
    <row r="280" spans="1:7" ht="55.05" outlineLevel="6" x14ac:dyDescent="0.25">
      <c r="A280" s="12" t="s">
        <v>510</v>
      </c>
      <c r="B280" s="43" t="s">
        <v>62</v>
      </c>
      <c r="C280" s="43" t="s">
        <v>509</v>
      </c>
      <c r="D280" s="43" t="s">
        <v>6</v>
      </c>
      <c r="E280" s="386">
        <f>E281</f>
        <v>114657.16</v>
      </c>
      <c r="F280" s="386">
        <f>F281</f>
        <v>114657.16</v>
      </c>
      <c r="G280" s="144"/>
    </row>
    <row r="281" spans="1:7" ht="36.700000000000003" outlineLevel="6" x14ac:dyDescent="0.25">
      <c r="A281" s="12" t="s">
        <v>15</v>
      </c>
      <c r="B281" s="43" t="s">
        <v>62</v>
      </c>
      <c r="C281" s="43" t="s">
        <v>509</v>
      </c>
      <c r="D281" s="43" t="s">
        <v>16</v>
      </c>
      <c r="E281" s="386">
        <f>E282</f>
        <v>114657.16</v>
      </c>
      <c r="F281" s="386">
        <f>F282</f>
        <v>114657.16</v>
      </c>
      <c r="G281" s="144"/>
    </row>
    <row r="282" spans="1:7" ht="36.700000000000003" outlineLevel="6" x14ac:dyDescent="0.25">
      <c r="A282" s="12" t="s">
        <v>17</v>
      </c>
      <c r="B282" s="43" t="s">
        <v>62</v>
      </c>
      <c r="C282" s="43" t="s">
        <v>509</v>
      </c>
      <c r="D282" s="43" t="s">
        <v>18</v>
      </c>
      <c r="E282" s="386">
        <f>'прил 8'!F290</f>
        <v>114657.16</v>
      </c>
      <c r="F282" s="386">
        <f>'прил 8'!G290</f>
        <v>114657.16</v>
      </c>
      <c r="G282" s="144"/>
    </row>
    <row r="283" spans="1:7" ht="20.25" hidden="1" customHeight="1" outlineLevel="4" x14ac:dyDescent="0.25">
      <c r="A283" s="12" t="s">
        <v>284</v>
      </c>
      <c r="B283" s="43" t="s">
        <v>285</v>
      </c>
      <c r="C283" s="43" t="s">
        <v>126</v>
      </c>
      <c r="D283" s="43" t="s">
        <v>6</v>
      </c>
      <c r="E283" s="386">
        <f t="shared" ref="E283:F290" si="15">E284</f>
        <v>0</v>
      </c>
      <c r="F283" s="386">
        <f t="shared" si="15"/>
        <v>0</v>
      </c>
      <c r="G283" s="144"/>
    </row>
    <row r="284" spans="1:7" ht="38.25" hidden="1" customHeight="1" outlineLevel="5" x14ac:dyDescent="0.25">
      <c r="A284" s="45" t="s">
        <v>1161</v>
      </c>
      <c r="B284" s="387" t="s">
        <v>285</v>
      </c>
      <c r="C284" s="387" t="s">
        <v>134</v>
      </c>
      <c r="D284" s="387" t="s">
        <v>6</v>
      </c>
      <c r="E284" s="386">
        <f t="shared" si="15"/>
        <v>0</v>
      </c>
      <c r="F284" s="386">
        <f t="shared" si="15"/>
        <v>0</v>
      </c>
      <c r="G284" s="144"/>
    </row>
    <row r="285" spans="1:7" ht="39.25" hidden="1" customHeight="1" outlineLevel="6" x14ac:dyDescent="0.25">
      <c r="A285" s="12" t="s">
        <v>738</v>
      </c>
      <c r="B285" s="43" t="s">
        <v>285</v>
      </c>
      <c r="C285" s="43" t="s">
        <v>335</v>
      </c>
      <c r="D285" s="43" t="s">
        <v>6</v>
      </c>
      <c r="E285" s="386">
        <f>E289+E286</f>
        <v>0</v>
      </c>
      <c r="F285" s="386">
        <f>F289+F286</f>
        <v>0</v>
      </c>
      <c r="G285" s="144"/>
    </row>
    <row r="286" spans="1:7" ht="39.25" hidden="1" customHeight="1" outlineLevel="6" x14ac:dyDescent="0.25">
      <c r="A286" s="31" t="s">
        <v>952</v>
      </c>
      <c r="B286" s="43" t="s">
        <v>285</v>
      </c>
      <c r="C286" s="425" t="s">
        <v>532</v>
      </c>
      <c r="D286" s="43" t="s">
        <v>6</v>
      </c>
      <c r="E286" s="386">
        <f>E287</f>
        <v>0</v>
      </c>
      <c r="F286" s="386">
        <f>F287</f>
        <v>0</v>
      </c>
      <c r="G286" s="144"/>
    </row>
    <row r="287" spans="1:7" ht="39.25" hidden="1" customHeight="1" outlineLevel="6" x14ac:dyDescent="0.25">
      <c r="A287" s="12" t="s">
        <v>19</v>
      </c>
      <c r="B287" s="43" t="s">
        <v>285</v>
      </c>
      <c r="C287" s="425" t="s">
        <v>532</v>
      </c>
      <c r="D287" s="43" t="s">
        <v>20</v>
      </c>
      <c r="E287" s="386">
        <f>E288</f>
        <v>0</v>
      </c>
      <c r="F287" s="386">
        <f>F288</f>
        <v>0</v>
      </c>
      <c r="G287" s="144"/>
    </row>
    <row r="288" spans="1:7" ht="39.25" hidden="1" customHeight="1" outlineLevel="6" x14ac:dyDescent="0.25">
      <c r="A288" s="12" t="s">
        <v>47</v>
      </c>
      <c r="B288" s="43" t="s">
        <v>285</v>
      </c>
      <c r="C288" s="425" t="s">
        <v>532</v>
      </c>
      <c r="D288" s="43" t="s">
        <v>48</v>
      </c>
      <c r="E288" s="386">
        <f>'прил 8'!F299</f>
        <v>0</v>
      </c>
      <c r="F288" s="386">
        <f>'прил 8'!G299</f>
        <v>0</v>
      </c>
      <c r="G288" s="144"/>
    </row>
    <row r="289" spans="1:8" ht="44.85" hidden="1" customHeight="1" outlineLevel="6" x14ac:dyDescent="0.25">
      <c r="A289" s="12" t="s">
        <v>295</v>
      </c>
      <c r="B289" s="43" t="s">
        <v>285</v>
      </c>
      <c r="C289" s="43" t="s">
        <v>341</v>
      </c>
      <c r="D289" s="43" t="s">
        <v>6</v>
      </c>
      <c r="E289" s="386">
        <f t="shared" si="15"/>
        <v>0</v>
      </c>
      <c r="F289" s="386">
        <f t="shared" si="15"/>
        <v>0</v>
      </c>
      <c r="G289" s="144"/>
      <c r="H289" s="1" t="s">
        <v>51</v>
      </c>
    </row>
    <row r="290" spans="1:8" hidden="1" outlineLevel="6" x14ac:dyDescent="0.25">
      <c r="A290" s="12" t="s">
        <v>19</v>
      </c>
      <c r="B290" s="43" t="s">
        <v>285</v>
      </c>
      <c r="C290" s="43" t="s">
        <v>341</v>
      </c>
      <c r="D290" s="43" t="s">
        <v>20</v>
      </c>
      <c r="E290" s="386">
        <f t="shared" si="15"/>
        <v>0</v>
      </c>
      <c r="F290" s="386">
        <f t="shared" si="15"/>
        <v>0</v>
      </c>
      <c r="G290" s="144"/>
    </row>
    <row r="291" spans="1:8" ht="39.25" hidden="1" customHeight="1" outlineLevel="6" x14ac:dyDescent="0.25">
      <c r="A291" s="12" t="s">
        <v>47</v>
      </c>
      <c r="B291" s="43" t="s">
        <v>285</v>
      </c>
      <c r="C291" s="43" t="s">
        <v>341</v>
      </c>
      <c r="D291" s="43" t="s">
        <v>48</v>
      </c>
      <c r="E291" s="386">
        <f>'прил 8'!F302</f>
        <v>0</v>
      </c>
      <c r="F291" s="386">
        <f>'прил 8'!G302</f>
        <v>0</v>
      </c>
      <c r="G291" s="144"/>
    </row>
    <row r="292" spans="1:8" outlineLevel="6" x14ac:dyDescent="0.25">
      <c r="A292" s="45" t="s">
        <v>64</v>
      </c>
      <c r="B292" s="387" t="s">
        <v>65</v>
      </c>
      <c r="C292" s="387" t="s">
        <v>126</v>
      </c>
      <c r="D292" s="387" t="s">
        <v>6</v>
      </c>
      <c r="E292" s="52">
        <f>E293</f>
        <v>515000</v>
      </c>
      <c r="F292" s="52">
        <f>F293</f>
        <v>515000</v>
      </c>
      <c r="G292" s="144"/>
      <c r="H292" s="144" t="e">
        <f>#REF!</f>
        <v>#REF!</v>
      </c>
    </row>
    <row r="293" spans="1:8" ht="18" customHeight="1" outlineLevel="6" x14ac:dyDescent="0.25">
      <c r="A293" s="12" t="s">
        <v>66</v>
      </c>
      <c r="B293" s="43" t="s">
        <v>67</v>
      </c>
      <c r="C293" s="43" t="s">
        <v>126</v>
      </c>
      <c r="D293" s="43" t="s">
        <v>6</v>
      </c>
      <c r="E293" s="386">
        <f>E294+E303</f>
        <v>515000</v>
      </c>
      <c r="F293" s="386">
        <f>F294+F303</f>
        <v>515000</v>
      </c>
      <c r="G293" s="135"/>
    </row>
    <row r="294" spans="1:8" ht="36.700000000000003" outlineLevel="3" x14ac:dyDescent="0.25">
      <c r="A294" s="45" t="s">
        <v>1162</v>
      </c>
      <c r="B294" s="387" t="s">
        <v>67</v>
      </c>
      <c r="C294" s="387" t="s">
        <v>135</v>
      </c>
      <c r="D294" s="387" t="s">
        <v>6</v>
      </c>
      <c r="E294" s="386">
        <f>E295+E299</f>
        <v>470000</v>
      </c>
      <c r="F294" s="386">
        <f>F295+F299</f>
        <v>470000</v>
      </c>
      <c r="G294" s="135"/>
    </row>
    <row r="295" spans="1:8" ht="38.25" customHeight="1" outlineLevel="4" x14ac:dyDescent="0.25">
      <c r="A295" s="12" t="s">
        <v>342</v>
      </c>
      <c r="B295" s="43" t="s">
        <v>67</v>
      </c>
      <c r="C295" s="43" t="s">
        <v>371</v>
      </c>
      <c r="D295" s="43" t="s">
        <v>6</v>
      </c>
      <c r="E295" s="386">
        <f t="shared" ref="E295:F297" si="16">E296</f>
        <v>440000</v>
      </c>
      <c r="F295" s="386">
        <f t="shared" si="16"/>
        <v>440000</v>
      </c>
      <c r="G295" s="135"/>
    </row>
    <row r="296" spans="1:8" ht="19.55" customHeight="1" outlineLevel="6" x14ac:dyDescent="0.25">
      <c r="A296" s="12" t="s">
        <v>240</v>
      </c>
      <c r="B296" s="43" t="s">
        <v>67</v>
      </c>
      <c r="C296" s="43" t="s">
        <v>344</v>
      </c>
      <c r="D296" s="43" t="s">
        <v>6</v>
      </c>
      <c r="E296" s="386">
        <f t="shared" si="16"/>
        <v>440000</v>
      </c>
      <c r="F296" s="386">
        <f t="shared" si="16"/>
        <v>440000</v>
      </c>
      <c r="G296" s="135"/>
    </row>
    <row r="297" spans="1:8" ht="18" customHeight="1" outlineLevel="6" x14ac:dyDescent="0.25">
      <c r="A297" s="12" t="s">
        <v>15</v>
      </c>
      <c r="B297" s="43" t="s">
        <v>67</v>
      </c>
      <c r="C297" s="43" t="s">
        <v>344</v>
      </c>
      <c r="D297" s="43" t="s">
        <v>16</v>
      </c>
      <c r="E297" s="386">
        <f t="shared" si="16"/>
        <v>440000</v>
      </c>
      <c r="F297" s="386">
        <f t="shared" si="16"/>
        <v>440000</v>
      </c>
      <c r="G297" s="135"/>
    </row>
    <row r="298" spans="1:8" ht="23.3" customHeight="1" outlineLevel="6" x14ac:dyDescent="0.25">
      <c r="A298" s="12" t="s">
        <v>17</v>
      </c>
      <c r="B298" s="43" t="s">
        <v>67</v>
      </c>
      <c r="C298" s="43" t="s">
        <v>344</v>
      </c>
      <c r="D298" s="43" t="s">
        <v>18</v>
      </c>
      <c r="E298" s="386">
        <f>'прил 8'!F309</f>
        <v>440000</v>
      </c>
      <c r="F298" s="386">
        <f>'прил 8'!G309</f>
        <v>440000</v>
      </c>
      <c r="G298" s="135"/>
    </row>
    <row r="299" spans="1:8" ht="19.55" customHeight="1" outlineLevel="6" x14ac:dyDescent="0.25">
      <c r="A299" s="12" t="s">
        <v>345</v>
      </c>
      <c r="B299" s="43" t="s">
        <v>67</v>
      </c>
      <c r="C299" s="43" t="s">
        <v>242</v>
      </c>
      <c r="D299" s="43" t="s">
        <v>6</v>
      </c>
      <c r="E299" s="386">
        <f t="shared" ref="E299:F301" si="17">E300</f>
        <v>30000</v>
      </c>
      <c r="F299" s="386">
        <f t="shared" si="17"/>
        <v>30000</v>
      </c>
      <c r="G299" s="135"/>
    </row>
    <row r="300" spans="1:8" outlineLevel="6" x14ac:dyDescent="0.25">
      <c r="A300" s="12" t="s">
        <v>68</v>
      </c>
      <c r="B300" s="43" t="s">
        <v>67</v>
      </c>
      <c r="C300" s="43" t="s">
        <v>241</v>
      </c>
      <c r="D300" s="43" t="s">
        <v>6</v>
      </c>
      <c r="E300" s="386">
        <f t="shared" si="17"/>
        <v>30000</v>
      </c>
      <c r="F300" s="386">
        <f t="shared" si="17"/>
        <v>30000</v>
      </c>
      <c r="G300" s="135"/>
    </row>
    <row r="301" spans="1:8" ht="18.7" customHeight="1" outlineLevel="4" x14ac:dyDescent="0.25">
      <c r="A301" s="12" t="s">
        <v>15</v>
      </c>
      <c r="B301" s="43" t="s">
        <v>67</v>
      </c>
      <c r="C301" s="43" t="s">
        <v>241</v>
      </c>
      <c r="D301" s="43" t="s">
        <v>16</v>
      </c>
      <c r="E301" s="386">
        <f t="shared" si="17"/>
        <v>30000</v>
      </c>
      <c r="F301" s="386">
        <f t="shared" si="17"/>
        <v>30000</v>
      </c>
      <c r="G301" s="135"/>
    </row>
    <row r="302" spans="1:8" ht="36.700000000000003" outlineLevel="5" x14ac:dyDescent="0.25">
      <c r="A302" s="12" t="s">
        <v>17</v>
      </c>
      <c r="B302" s="43" t="s">
        <v>67</v>
      </c>
      <c r="C302" s="43" t="s">
        <v>241</v>
      </c>
      <c r="D302" s="43" t="s">
        <v>18</v>
      </c>
      <c r="E302" s="386">
        <f>'прил 8'!F313</f>
        <v>30000</v>
      </c>
      <c r="F302" s="386">
        <f>'прил 8'!G313</f>
        <v>30000</v>
      </c>
      <c r="G302" s="135"/>
    </row>
    <row r="303" spans="1:8" ht="75.25" customHeight="1" outlineLevel="6" x14ac:dyDescent="0.25">
      <c r="A303" s="45" t="s">
        <v>1177</v>
      </c>
      <c r="B303" s="387" t="s">
        <v>67</v>
      </c>
      <c r="C303" s="387" t="s">
        <v>346</v>
      </c>
      <c r="D303" s="387" t="s">
        <v>6</v>
      </c>
      <c r="E303" s="386">
        <f t="shared" ref="E303:F306" si="18">E304</f>
        <v>45000</v>
      </c>
      <c r="F303" s="386">
        <f t="shared" si="18"/>
        <v>45000</v>
      </c>
      <c r="G303" s="135"/>
    </row>
    <row r="304" spans="1:8" ht="27" customHeight="1" outlineLevel="2" x14ac:dyDescent="0.25">
      <c r="A304" s="12" t="s">
        <v>347</v>
      </c>
      <c r="B304" s="43" t="s">
        <v>67</v>
      </c>
      <c r="C304" s="43" t="s">
        <v>348</v>
      </c>
      <c r="D304" s="43" t="s">
        <v>6</v>
      </c>
      <c r="E304" s="386">
        <f t="shared" si="18"/>
        <v>45000</v>
      </c>
      <c r="F304" s="386">
        <f t="shared" si="18"/>
        <v>45000</v>
      </c>
      <c r="G304" s="135"/>
    </row>
    <row r="305" spans="1:8" outlineLevel="4" x14ac:dyDescent="0.25">
      <c r="A305" s="12" t="s">
        <v>349</v>
      </c>
      <c r="B305" s="43" t="s">
        <v>67</v>
      </c>
      <c r="C305" s="43" t="s">
        <v>350</v>
      </c>
      <c r="D305" s="43" t="s">
        <v>6</v>
      </c>
      <c r="E305" s="386">
        <f t="shared" si="18"/>
        <v>45000</v>
      </c>
      <c r="F305" s="386">
        <f t="shared" si="18"/>
        <v>45000</v>
      </c>
      <c r="G305" s="135"/>
    </row>
    <row r="306" spans="1:8" ht="18" customHeight="1" outlineLevel="5" x14ac:dyDescent="0.25">
      <c r="A306" s="12" t="s">
        <v>15</v>
      </c>
      <c r="B306" s="43" t="s">
        <v>67</v>
      </c>
      <c r="C306" s="43" t="s">
        <v>350</v>
      </c>
      <c r="D306" s="43" t="s">
        <v>16</v>
      </c>
      <c r="E306" s="386">
        <f t="shared" si="18"/>
        <v>45000</v>
      </c>
      <c r="F306" s="386">
        <f t="shared" si="18"/>
        <v>45000</v>
      </c>
      <c r="G306" s="135"/>
    </row>
    <row r="307" spans="1:8" ht="36.700000000000003" outlineLevel="6" x14ac:dyDescent="0.25">
      <c r="A307" s="12" t="s">
        <v>17</v>
      </c>
      <c r="B307" s="43" t="s">
        <v>67</v>
      </c>
      <c r="C307" s="43" t="s">
        <v>350</v>
      </c>
      <c r="D307" s="43" t="s">
        <v>18</v>
      </c>
      <c r="E307" s="386">
        <f>'прил 8'!F318</f>
        <v>45000</v>
      </c>
      <c r="F307" s="386">
        <f>'прил 8'!G318</f>
        <v>45000</v>
      </c>
      <c r="G307" s="135"/>
    </row>
    <row r="308" spans="1:8" outlineLevel="1" x14ac:dyDescent="0.25">
      <c r="A308" s="45" t="s">
        <v>69</v>
      </c>
      <c r="B308" s="387" t="s">
        <v>70</v>
      </c>
      <c r="C308" s="387" t="s">
        <v>126</v>
      </c>
      <c r="D308" s="387" t="s">
        <v>6</v>
      </c>
      <c r="E308" s="52">
        <f>E309+E335+E379+E399+E410</f>
        <v>829026544.68999994</v>
      </c>
      <c r="F308" s="52">
        <f>F309+F335+F379+F399+F410</f>
        <v>858358444.75999999</v>
      </c>
      <c r="G308" s="144"/>
      <c r="H308" s="144" t="e">
        <f>#REF!</f>
        <v>#REF!</v>
      </c>
    </row>
    <row r="309" spans="1:8" ht="17.5" customHeight="1" outlineLevel="2" x14ac:dyDescent="0.25">
      <c r="A309" s="12" t="s">
        <v>110</v>
      </c>
      <c r="B309" s="43" t="s">
        <v>111</v>
      </c>
      <c r="C309" s="43" t="s">
        <v>126</v>
      </c>
      <c r="D309" s="43" t="s">
        <v>6</v>
      </c>
      <c r="E309" s="386">
        <f>E310</f>
        <v>165033895</v>
      </c>
      <c r="F309" s="386">
        <f>F310</f>
        <v>170994541</v>
      </c>
      <c r="G309" s="135"/>
    </row>
    <row r="310" spans="1:8" ht="39.75" customHeight="1" outlineLevel="3" x14ac:dyDescent="0.25">
      <c r="A310" s="45" t="s">
        <v>1169</v>
      </c>
      <c r="B310" s="387" t="s">
        <v>111</v>
      </c>
      <c r="C310" s="387" t="s">
        <v>138</v>
      </c>
      <c r="D310" s="387" t="s">
        <v>6</v>
      </c>
      <c r="E310" s="386">
        <f>E311</f>
        <v>165033895</v>
      </c>
      <c r="F310" s="386">
        <f>F311</f>
        <v>170994541</v>
      </c>
      <c r="G310" s="135"/>
    </row>
    <row r="311" spans="1:8" ht="36.700000000000003" outlineLevel="3" x14ac:dyDescent="0.25">
      <c r="A311" s="12" t="s">
        <v>1038</v>
      </c>
      <c r="B311" s="43" t="s">
        <v>111</v>
      </c>
      <c r="C311" s="43" t="s">
        <v>139</v>
      </c>
      <c r="D311" s="43" t="s">
        <v>6</v>
      </c>
      <c r="E311" s="386">
        <f>E312+E319</f>
        <v>165033895</v>
      </c>
      <c r="F311" s="386">
        <f>F312+F319</f>
        <v>170994541</v>
      </c>
      <c r="G311" s="135"/>
    </row>
    <row r="312" spans="1:8" ht="36.700000000000003" outlineLevel="3" x14ac:dyDescent="0.25">
      <c r="A312" s="12" t="s">
        <v>200</v>
      </c>
      <c r="B312" s="43" t="s">
        <v>111</v>
      </c>
      <c r="C312" s="43" t="s">
        <v>216</v>
      </c>
      <c r="D312" s="43" t="s">
        <v>6</v>
      </c>
      <c r="E312" s="386">
        <f>E313+E316</f>
        <v>164875895</v>
      </c>
      <c r="F312" s="386">
        <f>F313+F316</f>
        <v>170836541</v>
      </c>
      <c r="G312" s="135"/>
    </row>
    <row r="313" spans="1:8" ht="38.25" customHeight="1" outlineLevel="3" x14ac:dyDescent="0.25">
      <c r="A313" s="12" t="s">
        <v>113</v>
      </c>
      <c r="B313" s="43" t="s">
        <v>111</v>
      </c>
      <c r="C313" s="43" t="s">
        <v>144</v>
      </c>
      <c r="D313" s="43" t="s">
        <v>6</v>
      </c>
      <c r="E313" s="386">
        <f>E314</f>
        <v>53565488</v>
      </c>
      <c r="F313" s="386">
        <f>F314</f>
        <v>53029688</v>
      </c>
      <c r="G313" s="135"/>
    </row>
    <row r="314" spans="1:8" ht="39.25" customHeight="1" outlineLevel="4" x14ac:dyDescent="0.25">
      <c r="A314" s="12" t="s">
        <v>37</v>
      </c>
      <c r="B314" s="43" t="s">
        <v>111</v>
      </c>
      <c r="C314" s="43" t="s">
        <v>144</v>
      </c>
      <c r="D314" s="43" t="s">
        <v>38</v>
      </c>
      <c r="E314" s="386">
        <f>E315</f>
        <v>53565488</v>
      </c>
      <c r="F314" s="386">
        <f>F315</f>
        <v>53029688</v>
      </c>
      <c r="G314" s="135"/>
    </row>
    <row r="315" spans="1:8" outlineLevel="6" x14ac:dyDescent="0.25">
      <c r="A315" s="12" t="s">
        <v>74</v>
      </c>
      <c r="B315" s="43" t="s">
        <v>111</v>
      </c>
      <c r="C315" s="43" t="s">
        <v>144</v>
      </c>
      <c r="D315" s="43" t="s">
        <v>75</v>
      </c>
      <c r="E315" s="386">
        <f>'прил 8'!F451</f>
        <v>53565488</v>
      </c>
      <c r="F315" s="386">
        <f>'прил 8'!G451</f>
        <v>53029688</v>
      </c>
      <c r="G315" s="135"/>
    </row>
    <row r="316" spans="1:8" ht="62.5" customHeight="1" outlineLevel="6" x14ac:dyDescent="0.25">
      <c r="A316" s="44" t="s">
        <v>935</v>
      </c>
      <c r="B316" s="43" t="s">
        <v>111</v>
      </c>
      <c r="C316" s="43" t="s">
        <v>145</v>
      </c>
      <c r="D316" s="43" t="s">
        <v>6</v>
      </c>
      <c r="E316" s="386">
        <f>E317</f>
        <v>111310407</v>
      </c>
      <c r="F316" s="386">
        <f>F317</f>
        <v>117806853</v>
      </c>
      <c r="G316" s="135"/>
    </row>
    <row r="317" spans="1:8" ht="36.700000000000003" outlineLevel="5" x14ac:dyDescent="0.25">
      <c r="A317" s="12" t="s">
        <v>37</v>
      </c>
      <c r="B317" s="43" t="s">
        <v>111</v>
      </c>
      <c r="C317" s="43" t="s">
        <v>145</v>
      </c>
      <c r="D317" s="43" t="s">
        <v>38</v>
      </c>
      <c r="E317" s="386">
        <f>E318</f>
        <v>111310407</v>
      </c>
      <c r="F317" s="386">
        <f>F318</f>
        <v>117806853</v>
      </c>
      <c r="G317" s="135"/>
    </row>
    <row r="318" spans="1:8" outlineLevel="6" x14ac:dyDescent="0.25">
      <c r="A318" s="12" t="s">
        <v>74</v>
      </c>
      <c r="B318" s="43" t="s">
        <v>111</v>
      </c>
      <c r="C318" s="43" t="s">
        <v>145</v>
      </c>
      <c r="D318" s="43" t="s">
        <v>75</v>
      </c>
      <c r="E318" s="386">
        <f>'прил 8'!F454</f>
        <v>111310407</v>
      </c>
      <c r="F318" s="386">
        <f>'прил 8'!G454</f>
        <v>117806853</v>
      </c>
      <c r="G318" s="135"/>
    </row>
    <row r="319" spans="1:8" ht="36.700000000000003" outlineLevel="4" x14ac:dyDescent="0.25">
      <c r="A319" s="12" t="s">
        <v>201</v>
      </c>
      <c r="B319" s="43" t="s">
        <v>111</v>
      </c>
      <c r="C319" s="43" t="s">
        <v>218</v>
      </c>
      <c r="D319" s="43" t="s">
        <v>6</v>
      </c>
      <c r="E319" s="386">
        <f>E332+E320+E323+E326+E329</f>
        <v>158000</v>
      </c>
      <c r="F319" s="386">
        <f>F332+F320+F323+F326+F329</f>
        <v>158000</v>
      </c>
      <c r="G319" s="135"/>
    </row>
    <row r="320" spans="1:8" ht="36.700000000000003" hidden="1" outlineLevel="6" x14ac:dyDescent="0.25">
      <c r="A320" s="12" t="s">
        <v>274</v>
      </c>
      <c r="B320" s="43" t="s">
        <v>111</v>
      </c>
      <c r="C320" s="43" t="s">
        <v>275</v>
      </c>
      <c r="D320" s="43" t="s">
        <v>6</v>
      </c>
      <c r="E320" s="386">
        <f>E321</f>
        <v>0</v>
      </c>
      <c r="F320" s="386">
        <f>F321</f>
        <v>0</v>
      </c>
      <c r="G320" s="135"/>
    </row>
    <row r="321" spans="1:9" ht="36.700000000000003" hidden="1" outlineLevel="5" x14ac:dyDescent="0.25">
      <c r="A321" s="12" t="s">
        <v>37</v>
      </c>
      <c r="B321" s="43" t="s">
        <v>111</v>
      </c>
      <c r="C321" s="43" t="s">
        <v>275</v>
      </c>
      <c r="D321" s="43" t="s">
        <v>38</v>
      </c>
      <c r="E321" s="386">
        <f>E322</f>
        <v>0</v>
      </c>
      <c r="F321" s="386">
        <f>F322</f>
        <v>0</v>
      </c>
      <c r="G321" s="135"/>
    </row>
    <row r="322" spans="1:9" hidden="1" outlineLevel="6" x14ac:dyDescent="0.25">
      <c r="A322" s="12" t="s">
        <v>74</v>
      </c>
      <c r="B322" s="43" t="s">
        <v>111</v>
      </c>
      <c r="C322" s="43" t="s">
        <v>275</v>
      </c>
      <c r="D322" s="43" t="s">
        <v>75</v>
      </c>
      <c r="E322" s="386">
        <f>'прил 8'!F458</f>
        <v>0</v>
      </c>
      <c r="F322" s="386">
        <f>'прил 8'!G458</f>
        <v>0</v>
      </c>
      <c r="G322" s="135"/>
    </row>
    <row r="323" spans="1:9" outlineLevel="4" collapsed="1" x14ac:dyDescent="0.25">
      <c r="A323" s="12" t="s">
        <v>262</v>
      </c>
      <c r="B323" s="43" t="s">
        <v>111</v>
      </c>
      <c r="C323" s="43" t="s">
        <v>276</v>
      </c>
      <c r="D323" s="43" t="s">
        <v>6</v>
      </c>
      <c r="E323" s="386">
        <f>E324</f>
        <v>158000</v>
      </c>
      <c r="F323" s="386">
        <f>F324</f>
        <v>158000</v>
      </c>
      <c r="G323" s="135"/>
      <c r="I323" s="1" t="s">
        <v>51</v>
      </c>
    </row>
    <row r="324" spans="1:9" ht="40.75" customHeight="1" outlineLevel="5" x14ac:dyDescent="0.25">
      <c r="A324" s="12" t="s">
        <v>37</v>
      </c>
      <c r="B324" s="43" t="s">
        <v>111</v>
      </c>
      <c r="C324" s="43" t="s">
        <v>276</v>
      </c>
      <c r="D324" s="43" t="s">
        <v>38</v>
      </c>
      <c r="E324" s="386">
        <f>E325</f>
        <v>158000</v>
      </c>
      <c r="F324" s="386">
        <f>F325</f>
        <v>158000</v>
      </c>
      <c r="G324" s="135"/>
    </row>
    <row r="325" spans="1:9" outlineLevel="6" x14ac:dyDescent="0.25">
      <c r="A325" s="12" t="s">
        <v>74</v>
      </c>
      <c r="B325" s="43" t="s">
        <v>111</v>
      </c>
      <c r="C325" s="43" t="s">
        <v>276</v>
      </c>
      <c r="D325" s="43" t="s">
        <v>75</v>
      </c>
      <c r="E325" s="386">
        <f>'прил 8'!F461</f>
        <v>158000</v>
      </c>
      <c r="F325" s="386">
        <f>'прил 8'!G461</f>
        <v>158000</v>
      </c>
      <c r="G325" s="135"/>
    </row>
    <row r="326" spans="1:9" hidden="1" outlineLevel="6" x14ac:dyDescent="0.25">
      <c r="A326" s="12" t="s">
        <v>300</v>
      </c>
      <c r="B326" s="43" t="s">
        <v>111</v>
      </c>
      <c r="C326" s="43" t="s">
        <v>488</v>
      </c>
      <c r="D326" s="43" t="s">
        <v>6</v>
      </c>
      <c r="E326" s="386">
        <f>E327</f>
        <v>0</v>
      </c>
      <c r="F326" s="386">
        <f>F327</f>
        <v>0</v>
      </c>
      <c r="G326" s="135"/>
    </row>
    <row r="327" spans="1:9" ht="36.700000000000003" hidden="1" outlineLevel="6" x14ac:dyDescent="0.25">
      <c r="A327" s="12" t="s">
        <v>37</v>
      </c>
      <c r="B327" s="43" t="s">
        <v>111</v>
      </c>
      <c r="C327" s="43" t="s">
        <v>488</v>
      </c>
      <c r="D327" s="43" t="s">
        <v>38</v>
      </c>
      <c r="E327" s="386">
        <f>E328</f>
        <v>0</v>
      </c>
      <c r="F327" s="386">
        <f>F328</f>
        <v>0</v>
      </c>
      <c r="G327" s="135"/>
    </row>
    <row r="328" spans="1:9" hidden="1" outlineLevel="6" x14ac:dyDescent="0.25">
      <c r="A328" s="12" t="s">
        <v>74</v>
      </c>
      <c r="B328" s="43" t="s">
        <v>111</v>
      </c>
      <c r="C328" s="43" t="s">
        <v>488</v>
      </c>
      <c r="D328" s="43" t="s">
        <v>75</v>
      </c>
      <c r="E328" s="386">
        <f>'прил 8'!F464</f>
        <v>0</v>
      </c>
      <c r="F328" s="386">
        <f>'прил 8'!G464</f>
        <v>0</v>
      </c>
      <c r="G328" s="135"/>
    </row>
    <row r="329" spans="1:9" ht="34.5" hidden="1" customHeight="1" outlineLevel="6" x14ac:dyDescent="0.25">
      <c r="A329" s="12" t="s">
        <v>415</v>
      </c>
      <c r="B329" s="43" t="s">
        <v>111</v>
      </c>
      <c r="C329" s="43" t="s">
        <v>416</v>
      </c>
      <c r="D329" s="43" t="s">
        <v>6</v>
      </c>
      <c r="E329" s="386">
        <f>E330</f>
        <v>0</v>
      </c>
      <c r="F329" s="386">
        <f>F330</f>
        <v>0</v>
      </c>
      <c r="G329" s="135"/>
    </row>
    <row r="330" spans="1:9" ht="36.700000000000003" hidden="1" outlineLevel="6" x14ac:dyDescent="0.25">
      <c r="A330" s="12" t="s">
        <v>37</v>
      </c>
      <c r="B330" s="43" t="s">
        <v>111</v>
      </c>
      <c r="C330" s="43" t="s">
        <v>416</v>
      </c>
      <c r="D330" s="43" t="s">
        <v>38</v>
      </c>
      <c r="E330" s="386">
        <f>E331</f>
        <v>0</v>
      </c>
      <c r="F330" s="386">
        <f>F331</f>
        <v>0</v>
      </c>
      <c r="G330" s="135"/>
    </row>
    <row r="331" spans="1:9" ht="17.5" hidden="1" customHeight="1" outlineLevel="6" x14ac:dyDescent="0.25">
      <c r="A331" s="12" t="s">
        <v>74</v>
      </c>
      <c r="B331" s="43" t="s">
        <v>111</v>
      </c>
      <c r="C331" s="43" t="s">
        <v>416</v>
      </c>
      <c r="D331" s="43" t="s">
        <v>75</v>
      </c>
      <c r="E331" s="386">
        <f>'прил 8'!F467</f>
        <v>0</v>
      </c>
      <c r="F331" s="386">
        <f>'прил 8'!G467</f>
        <v>0</v>
      </c>
      <c r="G331" s="135"/>
    </row>
    <row r="332" spans="1:9" ht="52.3" hidden="1" customHeight="1" outlineLevel="2" x14ac:dyDescent="0.25">
      <c r="A332" s="12" t="s">
        <v>405</v>
      </c>
      <c r="B332" s="43" t="s">
        <v>111</v>
      </c>
      <c r="C332" s="43" t="s">
        <v>406</v>
      </c>
      <c r="D332" s="43" t="s">
        <v>6</v>
      </c>
      <c r="E332" s="386">
        <f>E333</f>
        <v>0</v>
      </c>
      <c r="F332" s="386">
        <f>F333</f>
        <v>0</v>
      </c>
      <c r="G332" s="135"/>
    </row>
    <row r="333" spans="1:9" ht="36.700000000000003" hidden="1" outlineLevel="4" x14ac:dyDescent="0.25">
      <c r="A333" s="12" t="s">
        <v>37</v>
      </c>
      <c r="B333" s="43" t="s">
        <v>111</v>
      </c>
      <c r="C333" s="43" t="s">
        <v>406</v>
      </c>
      <c r="D333" s="43" t="s">
        <v>38</v>
      </c>
      <c r="E333" s="386">
        <f>E334</f>
        <v>0</v>
      </c>
      <c r="F333" s="386">
        <f>F334</f>
        <v>0</v>
      </c>
      <c r="G333" s="135"/>
    </row>
    <row r="334" spans="1:9" ht="21.25" hidden="1" customHeight="1" outlineLevel="5" x14ac:dyDescent="0.25">
      <c r="A334" s="12" t="s">
        <v>74</v>
      </c>
      <c r="B334" s="43" t="s">
        <v>111</v>
      </c>
      <c r="C334" s="43" t="s">
        <v>406</v>
      </c>
      <c r="D334" s="43" t="s">
        <v>75</v>
      </c>
      <c r="E334" s="386">
        <f>'прил 8'!F476</f>
        <v>0</v>
      </c>
      <c r="F334" s="386">
        <f>'прил 8'!G476</f>
        <v>0</v>
      </c>
      <c r="G334" s="135"/>
    </row>
    <row r="335" spans="1:9" outlineLevel="5" x14ac:dyDescent="0.25">
      <c r="A335" s="12" t="s">
        <v>71</v>
      </c>
      <c r="B335" s="43" t="s">
        <v>72</v>
      </c>
      <c r="C335" s="43" t="s">
        <v>126</v>
      </c>
      <c r="D335" s="43" t="s">
        <v>6</v>
      </c>
      <c r="E335" s="386">
        <f>E336</f>
        <v>594360359.29999995</v>
      </c>
      <c r="F335" s="386">
        <f>F336</f>
        <v>619734109.79999995</v>
      </c>
      <c r="G335" s="135"/>
    </row>
    <row r="336" spans="1:9" ht="36.700000000000003" outlineLevel="6" x14ac:dyDescent="0.25">
      <c r="A336" s="45" t="s">
        <v>1169</v>
      </c>
      <c r="B336" s="387" t="s">
        <v>72</v>
      </c>
      <c r="C336" s="387" t="s">
        <v>138</v>
      </c>
      <c r="D336" s="387" t="s">
        <v>6</v>
      </c>
      <c r="E336" s="386">
        <f>E337</f>
        <v>594360359.29999995</v>
      </c>
      <c r="F336" s="386">
        <f>F337</f>
        <v>619734109.79999995</v>
      </c>
      <c r="G336" s="135"/>
    </row>
    <row r="337" spans="1:7" ht="36.700000000000003" outlineLevel="5" x14ac:dyDescent="0.25">
      <c r="A337" s="12" t="s">
        <v>1039</v>
      </c>
      <c r="B337" s="43" t="s">
        <v>72</v>
      </c>
      <c r="C337" s="43" t="s">
        <v>146</v>
      </c>
      <c r="D337" s="43" t="s">
        <v>6</v>
      </c>
      <c r="E337" s="386">
        <f>E338+E351+E364+E371+E375</f>
        <v>594360359.29999995</v>
      </c>
      <c r="F337" s="386">
        <f>F338+F351+F364+F371+F375</f>
        <v>619734109.79999995</v>
      </c>
      <c r="G337" s="135"/>
    </row>
    <row r="338" spans="1:7" ht="39.75" customHeight="1" outlineLevel="6" x14ac:dyDescent="0.25">
      <c r="A338" s="12" t="s">
        <v>203</v>
      </c>
      <c r="B338" s="43" t="s">
        <v>72</v>
      </c>
      <c r="C338" s="43" t="s">
        <v>219</v>
      </c>
      <c r="D338" s="43" t="s">
        <v>6</v>
      </c>
      <c r="E338" s="386">
        <f>E339+E342+E345+E348</f>
        <v>581410332</v>
      </c>
      <c r="F338" s="386">
        <f>F339+F342+F345+F348</f>
        <v>606784082.5</v>
      </c>
      <c r="G338" s="135"/>
    </row>
    <row r="339" spans="1:7" ht="39.75" customHeight="1" outlineLevel="6" x14ac:dyDescent="0.25">
      <c r="A339" s="44" t="s">
        <v>961</v>
      </c>
      <c r="B339" s="43" t="s">
        <v>72</v>
      </c>
      <c r="C339" s="43" t="s">
        <v>538</v>
      </c>
      <c r="D339" s="43" t="s">
        <v>6</v>
      </c>
      <c r="E339" s="386">
        <f>E340</f>
        <v>23400000</v>
      </c>
      <c r="F339" s="386">
        <f>F340</f>
        <v>23400000</v>
      </c>
      <c r="G339" s="135"/>
    </row>
    <row r="340" spans="1:7" ht="39.75" customHeight="1" outlineLevel="6" x14ac:dyDescent="0.25">
      <c r="A340" s="12" t="s">
        <v>37</v>
      </c>
      <c r="B340" s="43" t="s">
        <v>72</v>
      </c>
      <c r="C340" s="43" t="s">
        <v>538</v>
      </c>
      <c r="D340" s="43" t="s">
        <v>38</v>
      </c>
      <c r="E340" s="386">
        <f>E341</f>
        <v>23400000</v>
      </c>
      <c r="F340" s="386">
        <f>F341</f>
        <v>23400000</v>
      </c>
      <c r="G340" s="135"/>
    </row>
    <row r="341" spans="1:7" ht="22.75" customHeight="1" outlineLevel="6" x14ac:dyDescent="0.25">
      <c r="A341" s="12" t="s">
        <v>74</v>
      </c>
      <c r="B341" s="43" t="s">
        <v>72</v>
      </c>
      <c r="C341" s="43" t="s">
        <v>538</v>
      </c>
      <c r="D341" s="43" t="s">
        <v>75</v>
      </c>
      <c r="E341" s="386">
        <f>'прил 8'!F483</f>
        <v>23400000</v>
      </c>
      <c r="F341" s="386">
        <f>'прил 8'!G483</f>
        <v>23400000</v>
      </c>
      <c r="G341" s="135"/>
    </row>
    <row r="342" spans="1:7" ht="38.25" customHeight="1" outlineLevel="6" x14ac:dyDescent="0.25">
      <c r="A342" s="12" t="s">
        <v>114</v>
      </c>
      <c r="B342" s="43" t="s">
        <v>72</v>
      </c>
      <c r="C342" s="43" t="s">
        <v>147</v>
      </c>
      <c r="D342" s="43" t="s">
        <v>6</v>
      </c>
      <c r="E342" s="386">
        <f>E343</f>
        <v>115452712</v>
      </c>
      <c r="F342" s="386">
        <f>F343</f>
        <v>114952712</v>
      </c>
      <c r="G342" s="135"/>
    </row>
    <row r="343" spans="1:7" ht="36.700000000000003" outlineLevel="6" x14ac:dyDescent="0.25">
      <c r="A343" s="12" t="s">
        <v>37</v>
      </c>
      <c r="B343" s="43" t="s">
        <v>72</v>
      </c>
      <c r="C343" s="43" t="s">
        <v>147</v>
      </c>
      <c r="D343" s="43" t="s">
        <v>38</v>
      </c>
      <c r="E343" s="386">
        <f>E344</f>
        <v>115452712</v>
      </c>
      <c r="F343" s="386">
        <f>F344</f>
        <v>114952712</v>
      </c>
      <c r="G343" s="135"/>
    </row>
    <row r="344" spans="1:7" outlineLevel="6" x14ac:dyDescent="0.25">
      <c r="A344" s="12" t="s">
        <v>74</v>
      </c>
      <c r="B344" s="43" t="s">
        <v>72</v>
      </c>
      <c r="C344" s="43" t="s">
        <v>147</v>
      </c>
      <c r="D344" s="43" t="s">
        <v>75</v>
      </c>
      <c r="E344" s="386">
        <f>'прил 8'!F486</f>
        <v>115452712</v>
      </c>
      <c r="F344" s="386">
        <f>'прил 8'!G486</f>
        <v>114952712</v>
      </c>
      <c r="G344" s="135"/>
    </row>
    <row r="345" spans="1:7" s="2" customFormat="1" ht="78.45" customHeight="1" x14ac:dyDescent="0.25">
      <c r="A345" s="44" t="s">
        <v>936</v>
      </c>
      <c r="B345" s="43" t="s">
        <v>72</v>
      </c>
      <c r="C345" s="43" t="s">
        <v>148</v>
      </c>
      <c r="D345" s="43" t="s">
        <v>6</v>
      </c>
      <c r="E345" s="386">
        <f>E346</f>
        <v>427876420</v>
      </c>
      <c r="F345" s="386">
        <f>F346</f>
        <v>453521427</v>
      </c>
      <c r="G345" s="135"/>
    </row>
    <row r="346" spans="1:7" ht="36.700000000000003" outlineLevel="1" x14ac:dyDescent="0.25">
      <c r="A346" s="12" t="s">
        <v>37</v>
      </c>
      <c r="B346" s="43" t="s">
        <v>72</v>
      </c>
      <c r="C346" s="43" t="s">
        <v>148</v>
      </c>
      <c r="D346" s="43" t="s">
        <v>38</v>
      </c>
      <c r="E346" s="386">
        <f>E347</f>
        <v>427876420</v>
      </c>
      <c r="F346" s="386">
        <f>F347</f>
        <v>453521427</v>
      </c>
      <c r="G346" s="135"/>
    </row>
    <row r="347" spans="1:7" ht="19.55" customHeight="1" outlineLevel="2" x14ac:dyDescent="0.25">
      <c r="A347" s="12" t="s">
        <v>74</v>
      </c>
      <c r="B347" s="43" t="s">
        <v>72</v>
      </c>
      <c r="C347" s="43" t="s">
        <v>148</v>
      </c>
      <c r="D347" s="43" t="s">
        <v>75</v>
      </c>
      <c r="E347" s="386">
        <f>'прил 8'!F489</f>
        <v>427876420</v>
      </c>
      <c r="F347" s="386">
        <f>'прил 8'!G489</f>
        <v>453521427</v>
      </c>
      <c r="G347" s="135"/>
    </row>
    <row r="348" spans="1:7" ht="73.400000000000006" outlineLevel="2" x14ac:dyDescent="0.25">
      <c r="A348" s="44" t="s">
        <v>958</v>
      </c>
      <c r="B348" s="43" t="s">
        <v>72</v>
      </c>
      <c r="C348" s="43" t="s">
        <v>794</v>
      </c>
      <c r="D348" s="43" t="s">
        <v>6</v>
      </c>
      <c r="E348" s="386">
        <f>E349</f>
        <v>14681200</v>
      </c>
      <c r="F348" s="386">
        <f>F349</f>
        <v>14909943.5</v>
      </c>
      <c r="G348" s="135"/>
    </row>
    <row r="349" spans="1:7" ht="36.700000000000003" outlineLevel="2" x14ac:dyDescent="0.25">
      <c r="A349" s="12" t="s">
        <v>37</v>
      </c>
      <c r="B349" s="43" t="s">
        <v>72</v>
      </c>
      <c r="C349" s="43" t="s">
        <v>794</v>
      </c>
      <c r="D349" s="43" t="s">
        <v>38</v>
      </c>
      <c r="E349" s="386">
        <f>E350</f>
        <v>14681200</v>
      </c>
      <c r="F349" s="386">
        <f>F350</f>
        <v>14909943.5</v>
      </c>
      <c r="G349" s="135"/>
    </row>
    <row r="350" spans="1:7" outlineLevel="2" x14ac:dyDescent="0.25">
      <c r="A350" s="12" t="s">
        <v>74</v>
      </c>
      <c r="B350" s="43" t="s">
        <v>72</v>
      </c>
      <c r="C350" s="43" t="s">
        <v>794</v>
      </c>
      <c r="D350" s="43" t="s">
        <v>75</v>
      </c>
      <c r="E350" s="386">
        <f>'прил 8'!F492</f>
        <v>14681200</v>
      </c>
      <c r="F350" s="386">
        <f>'прил 8'!G492</f>
        <v>14909943.5</v>
      </c>
      <c r="G350" s="135"/>
    </row>
    <row r="351" spans="1:7" ht="41.3" customHeight="1" outlineLevel="6" x14ac:dyDescent="0.25">
      <c r="A351" s="12" t="s">
        <v>204</v>
      </c>
      <c r="B351" s="43" t="s">
        <v>72</v>
      </c>
      <c r="C351" s="43" t="s">
        <v>217</v>
      </c>
      <c r="D351" s="43" t="s">
        <v>6</v>
      </c>
      <c r="E351" s="386">
        <f>E361+E352+E355+E358</f>
        <v>221200</v>
      </c>
      <c r="F351" s="386">
        <f>F361+F352+F355+F358</f>
        <v>221200</v>
      </c>
      <c r="G351" s="135"/>
    </row>
    <row r="352" spans="1:7" outlineLevel="6" x14ac:dyDescent="0.25">
      <c r="A352" s="12" t="s">
        <v>262</v>
      </c>
      <c r="B352" s="43" t="s">
        <v>72</v>
      </c>
      <c r="C352" s="43" t="s">
        <v>263</v>
      </c>
      <c r="D352" s="43" t="s">
        <v>6</v>
      </c>
      <c r="E352" s="386">
        <f>E353</f>
        <v>221200</v>
      </c>
      <c r="F352" s="386">
        <f>F353</f>
        <v>221200</v>
      </c>
      <c r="G352" s="135"/>
    </row>
    <row r="353" spans="1:7" ht="36.700000000000003" outlineLevel="6" x14ac:dyDescent="0.25">
      <c r="A353" s="12" t="s">
        <v>37</v>
      </c>
      <c r="B353" s="43" t="s">
        <v>72</v>
      </c>
      <c r="C353" s="43" t="s">
        <v>263</v>
      </c>
      <c r="D353" s="43" t="s">
        <v>38</v>
      </c>
      <c r="E353" s="386">
        <f>E354</f>
        <v>221200</v>
      </c>
      <c r="F353" s="386">
        <f>F354</f>
        <v>221200</v>
      </c>
      <c r="G353" s="135"/>
    </row>
    <row r="354" spans="1:7" outlineLevel="4" x14ac:dyDescent="0.25">
      <c r="A354" s="12" t="s">
        <v>74</v>
      </c>
      <c r="B354" s="43" t="s">
        <v>72</v>
      </c>
      <c r="C354" s="43" t="s">
        <v>263</v>
      </c>
      <c r="D354" s="43" t="s">
        <v>75</v>
      </c>
      <c r="E354" s="386">
        <f>'прил 8'!F496</f>
        <v>221200</v>
      </c>
      <c r="F354" s="386">
        <f>'прил 8'!G496</f>
        <v>221200</v>
      </c>
      <c r="G354" s="135"/>
    </row>
    <row r="355" spans="1:7" hidden="1" outlineLevel="5" x14ac:dyDescent="0.25">
      <c r="A355" s="55" t="s">
        <v>300</v>
      </c>
      <c r="B355" s="43" t="s">
        <v>72</v>
      </c>
      <c r="C355" s="43" t="s">
        <v>301</v>
      </c>
      <c r="D355" s="43" t="s">
        <v>6</v>
      </c>
      <c r="E355" s="386">
        <f>E356</f>
        <v>0</v>
      </c>
      <c r="F355" s="386">
        <f>F356</f>
        <v>0</v>
      </c>
      <c r="G355" s="135"/>
    </row>
    <row r="356" spans="1:7" ht="36.700000000000003" hidden="1" outlineLevel="6" x14ac:dyDescent="0.25">
      <c r="A356" s="12" t="s">
        <v>37</v>
      </c>
      <c r="B356" s="43" t="s">
        <v>72</v>
      </c>
      <c r="C356" s="43" t="s">
        <v>301</v>
      </c>
      <c r="D356" s="43" t="s">
        <v>38</v>
      </c>
      <c r="E356" s="386">
        <f>E357</f>
        <v>0</v>
      </c>
      <c r="F356" s="386">
        <f>F357</f>
        <v>0</v>
      </c>
      <c r="G356" s="135"/>
    </row>
    <row r="357" spans="1:7" ht="19.55" hidden="1" customHeight="1" outlineLevel="6" x14ac:dyDescent="0.25">
      <c r="A357" s="12" t="s">
        <v>74</v>
      </c>
      <c r="B357" s="43" t="s">
        <v>72</v>
      </c>
      <c r="C357" s="43" t="s">
        <v>301</v>
      </c>
      <c r="D357" s="43" t="s">
        <v>75</v>
      </c>
      <c r="E357" s="386">
        <v>0</v>
      </c>
      <c r="F357" s="386">
        <v>0</v>
      </c>
      <c r="G357" s="135"/>
    </row>
    <row r="358" spans="1:7" ht="18" hidden="1" customHeight="1" outlineLevel="6" x14ac:dyDescent="0.25">
      <c r="A358" s="12" t="s">
        <v>415</v>
      </c>
      <c r="B358" s="43" t="s">
        <v>72</v>
      </c>
      <c r="C358" s="43" t="s">
        <v>651</v>
      </c>
      <c r="D358" s="43" t="s">
        <v>6</v>
      </c>
      <c r="E358" s="386">
        <f>E359</f>
        <v>0</v>
      </c>
      <c r="F358" s="386">
        <f>F359</f>
        <v>0</v>
      </c>
      <c r="G358" s="135"/>
    </row>
    <row r="359" spans="1:7" ht="19.55" hidden="1" customHeight="1" outlineLevel="6" x14ac:dyDescent="0.25">
      <c r="A359" s="12" t="s">
        <v>37</v>
      </c>
      <c r="B359" s="43" t="s">
        <v>72</v>
      </c>
      <c r="C359" s="43" t="s">
        <v>651</v>
      </c>
      <c r="D359" s="43" t="s">
        <v>38</v>
      </c>
      <c r="E359" s="386">
        <f>E360</f>
        <v>0</v>
      </c>
      <c r="F359" s="386">
        <f>F360</f>
        <v>0</v>
      </c>
      <c r="G359" s="135"/>
    </row>
    <row r="360" spans="1:7" ht="18.7" hidden="1" customHeight="1" outlineLevel="6" x14ac:dyDescent="0.25">
      <c r="A360" s="12" t="s">
        <v>74</v>
      </c>
      <c r="B360" s="43" t="s">
        <v>72</v>
      </c>
      <c r="C360" s="43" t="s">
        <v>651</v>
      </c>
      <c r="D360" s="43" t="s">
        <v>75</v>
      </c>
      <c r="E360" s="386">
        <v>0</v>
      </c>
      <c r="F360" s="386">
        <v>0</v>
      </c>
      <c r="G360" s="135"/>
    </row>
    <row r="361" spans="1:7" ht="49.75" hidden="1" customHeight="1" outlineLevel="6" x14ac:dyDescent="0.25">
      <c r="A361" s="12" t="s">
        <v>407</v>
      </c>
      <c r="B361" s="43" t="s">
        <v>72</v>
      </c>
      <c r="C361" s="43" t="s">
        <v>408</v>
      </c>
      <c r="D361" s="43" t="s">
        <v>6</v>
      </c>
      <c r="E361" s="386">
        <f>E362</f>
        <v>0</v>
      </c>
      <c r="F361" s="386">
        <f>F362</f>
        <v>0</v>
      </c>
      <c r="G361" s="135"/>
    </row>
    <row r="362" spans="1:7" ht="41.3" hidden="1" customHeight="1" outlineLevel="6" x14ac:dyDescent="0.25">
      <c r="A362" s="12" t="s">
        <v>37</v>
      </c>
      <c r="B362" s="43" t="s">
        <v>72</v>
      </c>
      <c r="C362" s="43" t="s">
        <v>408</v>
      </c>
      <c r="D362" s="43" t="s">
        <v>38</v>
      </c>
      <c r="E362" s="386">
        <f>E363</f>
        <v>0</v>
      </c>
      <c r="F362" s="386">
        <f>F363</f>
        <v>0</v>
      </c>
      <c r="G362" s="135"/>
    </row>
    <row r="363" spans="1:7" ht="19.55" hidden="1" customHeight="1" outlineLevel="6" x14ac:dyDescent="0.25">
      <c r="A363" s="12" t="s">
        <v>74</v>
      </c>
      <c r="B363" s="43" t="s">
        <v>72</v>
      </c>
      <c r="C363" s="43" t="s">
        <v>408</v>
      </c>
      <c r="D363" s="43" t="s">
        <v>75</v>
      </c>
      <c r="E363" s="386">
        <f>'прил 8'!F508</f>
        <v>0</v>
      </c>
      <c r="F363" s="386">
        <f>'прил 8'!G508</f>
        <v>0</v>
      </c>
      <c r="G363" s="135"/>
    </row>
    <row r="364" spans="1:7" ht="36.700000000000003" outlineLevel="6" x14ac:dyDescent="0.25">
      <c r="A364" s="12" t="s">
        <v>267</v>
      </c>
      <c r="B364" s="43" t="s">
        <v>72</v>
      </c>
      <c r="C364" s="43" t="s">
        <v>220</v>
      </c>
      <c r="D364" s="43" t="s">
        <v>6</v>
      </c>
      <c r="E364" s="386">
        <f>E365+E369</f>
        <v>8647450</v>
      </c>
      <c r="F364" s="386">
        <f>F365+F368</f>
        <v>8647450</v>
      </c>
      <c r="G364" s="135"/>
    </row>
    <row r="365" spans="1:7" ht="77.95" customHeight="1" outlineLevel="6" x14ac:dyDescent="0.25">
      <c r="A365" s="12" t="s">
        <v>595</v>
      </c>
      <c r="B365" s="43" t="s">
        <v>72</v>
      </c>
      <c r="C365" s="43" t="s">
        <v>596</v>
      </c>
      <c r="D365" s="43" t="s">
        <v>6</v>
      </c>
      <c r="E365" s="386">
        <f t="shared" ref="E365:F366" si="19">E366</f>
        <v>8225450</v>
      </c>
      <c r="F365" s="386">
        <f t="shared" si="19"/>
        <v>8225450</v>
      </c>
      <c r="G365" s="135"/>
    </row>
    <row r="366" spans="1:7" ht="36.700000000000003" outlineLevel="6" x14ac:dyDescent="0.25">
      <c r="A366" s="12" t="s">
        <v>37</v>
      </c>
      <c r="B366" s="43" t="s">
        <v>72</v>
      </c>
      <c r="C366" s="43" t="s">
        <v>596</v>
      </c>
      <c r="D366" s="43" t="s">
        <v>38</v>
      </c>
      <c r="E366" s="386">
        <f t="shared" si="19"/>
        <v>8225450</v>
      </c>
      <c r="F366" s="386">
        <f t="shared" si="19"/>
        <v>8225450</v>
      </c>
      <c r="G366" s="135"/>
    </row>
    <row r="367" spans="1:7" outlineLevel="6" x14ac:dyDescent="0.25">
      <c r="A367" s="12" t="s">
        <v>74</v>
      </c>
      <c r="B367" s="43" t="s">
        <v>72</v>
      </c>
      <c r="C367" s="43" t="s">
        <v>596</v>
      </c>
      <c r="D367" s="43" t="s">
        <v>75</v>
      </c>
      <c r="E367" s="386">
        <f>'прил 8'!F512</f>
        <v>8225450</v>
      </c>
      <c r="F367" s="386">
        <f>'прил 8'!G512</f>
        <v>8225450</v>
      </c>
      <c r="G367" s="135"/>
    </row>
    <row r="368" spans="1:7" ht="128.4" outlineLevel="6" x14ac:dyDescent="0.25">
      <c r="A368" s="415" t="s">
        <v>1057</v>
      </c>
      <c r="B368" s="425" t="s">
        <v>72</v>
      </c>
      <c r="C368" s="425" t="s">
        <v>1058</v>
      </c>
      <c r="D368" s="425" t="s">
        <v>6</v>
      </c>
      <c r="E368" s="386">
        <f>E369</f>
        <v>422000</v>
      </c>
      <c r="F368" s="386">
        <f>F369</f>
        <v>422000</v>
      </c>
      <c r="G368" s="135"/>
    </row>
    <row r="369" spans="1:7" ht="36.700000000000003" outlineLevel="6" x14ac:dyDescent="0.25">
      <c r="A369" s="423" t="s">
        <v>37</v>
      </c>
      <c r="B369" s="425" t="s">
        <v>72</v>
      </c>
      <c r="C369" s="425" t="s">
        <v>1058</v>
      </c>
      <c r="D369" s="425" t="s">
        <v>38</v>
      </c>
      <c r="E369" s="386">
        <f>E370</f>
        <v>422000</v>
      </c>
      <c r="F369" s="386">
        <f>F370</f>
        <v>422000</v>
      </c>
      <c r="G369" s="135"/>
    </row>
    <row r="370" spans="1:7" outlineLevel="6" x14ac:dyDescent="0.25">
      <c r="A370" s="423" t="s">
        <v>74</v>
      </c>
      <c r="B370" s="425" t="s">
        <v>72</v>
      </c>
      <c r="C370" s="425" t="s">
        <v>1058</v>
      </c>
      <c r="D370" s="425" t="s">
        <v>75</v>
      </c>
      <c r="E370" s="386">
        <f>'прил 8'!F515</f>
        <v>422000</v>
      </c>
      <c r="F370" s="386">
        <f>'прил 8'!G515</f>
        <v>422000</v>
      </c>
      <c r="G370" s="135"/>
    </row>
    <row r="371" spans="1:7" hidden="1" outlineLevel="6" x14ac:dyDescent="0.25">
      <c r="A371" s="12" t="s">
        <v>880</v>
      </c>
      <c r="B371" s="43" t="s">
        <v>72</v>
      </c>
      <c r="C371" s="43" t="s">
        <v>302</v>
      </c>
      <c r="D371" s="43" t="s">
        <v>6</v>
      </c>
      <c r="E371" s="386">
        <f t="shared" ref="E371:F373" si="20">E372</f>
        <v>0</v>
      </c>
      <c r="F371" s="386">
        <f t="shared" si="20"/>
        <v>0</v>
      </c>
      <c r="G371" s="135"/>
    </row>
    <row r="372" spans="1:7" ht="65.900000000000006" hidden="1" customHeight="1" outlineLevel="6" x14ac:dyDescent="0.25">
      <c r="A372" s="7" t="s">
        <v>964</v>
      </c>
      <c r="B372" s="43" t="s">
        <v>72</v>
      </c>
      <c r="C372" s="43" t="s">
        <v>969</v>
      </c>
      <c r="D372" s="401" t="s">
        <v>6</v>
      </c>
      <c r="E372" s="386">
        <f t="shared" si="20"/>
        <v>0</v>
      </c>
      <c r="F372" s="386">
        <f t="shared" si="20"/>
        <v>0</v>
      </c>
      <c r="G372" s="135"/>
    </row>
    <row r="373" spans="1:7" ht="36.700000000000003" hidden="1" outlineLevel="6" x14ac:dyDescent="0.25">
      <c r="A373" s="12" t="s">
        <v>37</v>
      </c>
      <c r="B373" s="43" t="s">
        <v>72</v>
      </c>
      <c r="C373" s="43" t="s">
        <v>969</v>
      </c>
      <c r="D373" s="401" t="s">
        <v>38</v>
      </c>
      <c r="E373" s="386">
        <f t="shared" si="20"/>
        <v>0</v>
      </c>
      <c r="F373" s="386">
        <f t="shared" si="20"/>
        <v>0</v>
      </c>
      <c r="G373" s="135"/>
    </row>
    <row r="374" spans="1:7" hidden="1" outlineLevel="6" x14ac:dyDescent="0.25">
      <c r="A374" s="12" t="s">
        <v>74</v>
      </c>
      <c r="B374" s="43" t="s">
        <v>72</v>
      </c>
      <c r="C374" s="43" t="s">
        <v>969</v>
      </c>
      <c r="D374" s="401" t="s">
        <v>75</v>
      </c>
      <c r="E374" s="386">
        <f>'прил 8'!F519</f>
        <v>0</v>
      </c>
      <c r="F374" s="386">
        <f>'прил 8'!G519</f>
        <v>0</v>
      </c>
      <c r="G374" s="135"/>
    </row>
    <row r="375" spans="1:7" ht="34" outlineLevel="6" x14ac:dyDescent="0.3">
      <c r="A375" s="382" t="s">
        <v>995</v>
      </c>
      <c r="B375" s="43" t="s">
        <v>72</v>
      </c>
      <c r="C375" s="43" t="s">
        <v>997</v>
      </c>
      <c r="D375" s="43" t="s">
        <v>6</v>
      </c>
      <c r="E375" s="386">
        <f t="shared" ref="E375:F377" si="21">E376</f>
        <v>4081377.3</v>
      </c>
      <c r="F375" s="386">
        <f t="shared" si="21"/>
        <v>4081377.3</v>
      </c>
      <c r="G375" s="135"/>
    </row>
    <row r="376" spans="1:7" ht="55.05" outlineLevel="6" x14ac:dyDescent="0.3">
      <c r="A376" s="22" t="s">
        <v>996</v>
      </c>
      <c r="B376" s="43" t="s">
        <v>72</v>
      </c>
      <c r="C376" s="43" t="s">
        <v>997</v>
      </c>
      <c r="D376" s="43" t="s">
        <v>6</v>
      </c>
      <c r="E376" s="386">
        <f t="shared" si="21"/>
        <v>4081377.3</v>
      </c>
      <c r="F376" s="386">
        <f t="shared" si="21"/>
        <v>4081377.3</v>
      </c>
      <c r="G376" s="135"/>
    </row>
    <row r="377" spans="1:7" ht="36.700000000000003" outlineLevel="6" x14ac:dyDescent="0.25">
      <c r="A377" s="12" t="s">
        <v>37</v>
      </c>
      <c r="B377" s="43" t="s">
        <v>72</v>
      </c>
      <c r="C377" s="43" t="s">
        <v>997</v>
      </c>
      <c r="D377" s="43" t="s">
        <v>38</v>
      </c>
      <c r="E377" s="386">
        <f t="shared" si="21"/>
        <v>4081377.3</v>
      </c>
      <c r="F377" s="386">
        <f t="shared" si="21"/>
        <v>4081377.3</v>
      </c>
      <c r="G377" s="135"/>
    </row>
    <row r="378" spans="1:7" outlineLevel="6" x14ac:dyDescent="0.25">
      <c r="A378" s="12" t="s">
        <v>74</v>
      </c>
      <c r="B378" s="43" t="s">
        <v>72</v>
      </c>
      <c r="C378" s="43" t="s">
        <v>997</v>
      </c>
      <c r="D378" s="43" t="s">
        <v>75</v>
      </c>
      <c r="E378" s="386">
        <f>'прил 8'!F523</f>
        <v>4081377.3</v>
      </c>
      <c r="F378" s="386">
        <f>'прил 8'!G523</f>
        <v>4081377.3</v>
      </c>
      <c r="G378" s="135"/>
    </row>
    <row r="379" spans="1:7" outlineLevel="5" x14ac:dyDescent="0.25">
      <c r="A379" s="12" t="s">
        <v>251</v>
      </c>
      <c r="B379" s="43" t="s">
        <v>250</v>
      </c>
      <c r="C379" s="43" t="s">
        <v>126</v>
      </c>
      <c r="D379" s="43" t="s">
        <v>6</v>
      </c>
      <c r="E379" s="386">
        <f>E380+E394</f>
        <v>46634412.370000005</v>
      </c>
      <c r="F379" s="386">
        <f>F380+F394</f>
        <v>45071801.329999998</v>
      </c>
      <c r="G379" s="135"/>
    </row>
    <row r="380" spans="1:7" ht="36.700000000000003" outlineLevel="6" x14ac:dyDescent="0.25">
      <c r="A380" s="45" t="s">
        <v>1169</v>
      </c>
      <c r="B380" s="387" t="s">
        <v>250</v>
      </c>
      <c r="C380" s="387" t="s">
        <v>138</v>
      </c>
      <c r="D380" s="387" t="s">
        <v>6</v>
      </c>
      <c r="E380" s="386">
        <f>E381</f>
        <v>26534882</v>
      </c>
      <c r="F380" s="386">
        <f>F381</f>
        <v>26034882</v>
      </c>
      <c r="G380" s="135"/>
    </row>
    <row r="381" spans="1:7" ht="39.75" customHeight="1" outlineLevel="6" x14ac:dyDescent="0.25">
      <c r="A381" s="12" t="s">
        <v>1018</v>
      </c>
      <c r="B381" s="43" t="s">
        <v>250</v>
      </c>
      <c r="C381" s="43" t="s">
        <v>149</v>
      </c>
      <c r="D381" s="43" t="s">
        <v>6</v>
      </c>
      <c r="E381" s="386">
        <f>E382+E386+E390</f>
        <v>26534882</v>
      </c>
      <c r="F381" s="386">
        <f>F382+F386+F390</f>
        <v>26034882</v>
      </c>
      <c r="G381" s="135"/>
    </row>
    <row r="382" spans="1:7" ht="36.700000000000003" outlineLevel="6" x14ac:dyDescent="0.25">
      <c r="A382" s="404" t="s">
        <v>205</v>
      </c>
      <c r="B382" s="43" t="s">
        <v>250</v>
      </c>
      <c r="C382" s="43" t="s">
        <v>221</v>
      </c>
      <c r="D382" s="43" t="s">
        <v>6</v>
      </c>
      <c r="E382" s="386">
        <f>E383</f>
        <v>25267092</v>
      </c>
      <c r="F382" s="386">
        <f t="shared" ref="E382:F384" si="22">F383</f>
        <v>24767092</v>
      </c>
      <c r="G382" s="135"/>
    </row>
    <row r="383" spans="1:7" ht="37.549999999999997" customHeight="1" outlineLevel="6" x14ac:dyDescent="0.25">
      <c r="A383" s="12" t="s">
        <v>115</v>
      </c>
      <c r="B383" s="43" t="s">
        <v>250</v>
      </c>
      <c r="C383" s="43" t="s">
        <v>151</v>
      </c>
      <c r="D383" s="43" t="s">
        <v>6</v>
      </c>
      <c r="E383" s="386">
        <f t="shared" si="22"/>
        <v>25267092</v>
      </c>
      <c r="F383" s="386">
        <f t="shared" si="22"/>
        <v>24767092</v>
      </c>
      <c r="G383" s="135"/>
    </row>
    <row r="384" spans="1:7" ht="36.700000000000003" outlineLevel="6" x14ac:dyDescent="0.25">
      <c r="A384" s="12" t="s">
        <v>37</v>
      </c>
      <c r="B384" s="43" t="s">
        <v>250</v>
      </c>
      <c r="C384" s="43" t="s">
        <v>151</v>
      </c>
      <c r="D384" s="43" t="s">
        <v>38</v>
      </c>
      <c r="E384" s="386">
        <f t="shared" si="22"/>
        <v>25267092</v>
      </c>
      <c r="F384" s="386">
        <f t="shared" si="22"/>
        <v>24767092</v>
      </c>
      <c r="G384" s="135"/>
    </row>
    <row r="385" spans="1:7" outlineLevel="6" x14ac:dyDescent="0.25">
      <c r="A385" s="12" t="s">
        <v>74</v>
      </c>
      <c r="B385" s="43" t="s">
        <v>250</v>
      </c>
      <c r="C385" s="43" t="s">
        <v>151</v>
      </c>
      <c r="D385" s="43" t="s">
        <v>75</v>
      </c>
      <c r="E385" s="386">
        <f>'прил 8'!F530</f>
        <v>25267092</v>
      </c>
      <c r="F385" s="386">
        <f>'прил 8'!G530</f>
        <v>24767092</v>
      </c>
      <c r="G385" s="135"/>
    </row>
    <row r="386" spans="1:7" ht="36.700000000000003" outlineLevel="6" x14ac:dyDescent="0.25">
      <c r="A386" s="12" t="s">
        <v>377</v>
      </c>
      <c r="B386" s="43" t="s">
        <v>250</v>
      </c>
      <c r="C386" s="43" t="s">
        <v>222</v>
      </c>
      <c r="D386" s="43" t="s">
        <v>6</v>
      </c>
      <c r="E386" s="386">
        <f t="shared" ref="E386:F388" si="23">E387</f>
        <v>31600</v>
      </c>
      <c r="F386" s="386">
        <f t="shared" si="23"/>
        <v>31600</v>
      </c>
      <c r="G386" s="135"/>
    </row>
    <row r="387" spans="1:7" outlineLevel="6" x14ac:dyDescent="0.25">
      <c r="A387" s="12" t="s">
        <v>262</v>
      </c>
      <c r="B387" s="43" t="s">
        <v>250</v>
      </c>
      <c r="C387" s="43" t="s">
        <v>280</v>
      </c>
      <c r="D387" s="43" t="s">
        <v>6</v>
      </c>
      <c r="E387" s="386">
        <f t="shared" si="23"/>
        <v>31600</v>
      </c>
      <c r="F387" s="386">
        <f t="shared" si="23"/>
        <v>31600</v>
      </c>
      <c r="G387" s="135"/>
    </row>
    <row r="388" spans="1:7" ht="36.700000000000003" outlineLevel="6" x14ac:dyDescent="0.25">
      <c r="A388" s="12" t="s">
        <v>37</v>
      </c>
      <c r="B388" s="43" t="s">
        <v>250</v>
      </c>
      <c r="C388" s="43" t="s">
        <v>280</v>
      </c>
      <c r="D388" s="43" t="s">
        <v>38</v>
      </c>
      <c r="E388" s="386">
        <f t="shared" si="23"/>
        <v>31600</v>
      </c>
      <c r="F388" s="386">
        <f t="shared" si="23"/>
        <v>31600</v>
      </c>
      <c r="G388" s="135"/>
    </row>
    <row r="389" spans="1:7" outlineLevel="6" x14ac:dyDescent="0.25">
      <c r="A389" s="12" t="s">
        <v>74</v>
      </c>
      <c r="B389" s="43" t="s">
        <v>250</v>
      </c>
      <c r="C389" s="43" t="s">
        <v>280</v>
      </c>
      <c r="D389" s="43" t="s">
        <v>75</v>
      </c>
      <c r="E389" s="386">
        <f>'прил 8'!F534</f>
        <v>31600</v>
      </c>
      <c r="F389" s="386">
        <f>'прил 8'!G534</f>
        <v>31600</v>
      </c>
      <c r="G389" s="135"/>
    </row>
    <row r="390" spans="1:7" ht="60.45" customHeight="1" outlineLevel="2" x14ac:dyDescent="0.25">
      <c r="A390" s="423" t="s">
        <v>1087</v>
      </c>
      <c r="B390" s="425" t="s">
        <v>250</v>
      </c>
      <c r="C390" s="425" t="s">
        <v>1088</v>
      </c>
      <c r="D390" s="23" t="s">
        <v>6</v>
      </c>
      <c r="E390" s="386">
        <f t="shared" ref="E390:F392" si="24">E391</f>
        <v>1236190</v>
      </c>
      <c r="F390" s="386">
        <f t="shared" si="24"/>
        <v>1236190</v>
      </c>
      <c r="G390" s="135"/>
    </row>
    <row r="391" spans="1:7" ht="55.2" customHeight="1" outlineLevel="2" x14ac:dyDescent="0.25">
      <c r="A391" s="423" t="s">
        <v>1089</v>
      </c>
      <c r="B391" s="425" t="s">
        <v>250</v>
      </c>
      <c r="C391" s="425" t="s">
        <v>1090</v>
      </c>
      <c r="D391" s="23" t="s">
        <v>6</v>
      </c>
      <c r="E391" s="386">
        <f t="shared" si="24"/>
        <v>1236190</v>
      </c>
      <c r="F391" s="386">
        <f t="shared" si="24"/>
        <v>1236190</v>
      </c>
      <c r="G391" s="135"/>
    </row>
    <row r="392" spans="1:7" ht="34.65" customHeight="1" outlineLevel="2" x14ac:dyDescent="0.25">
      <c r="A392" s="423" t="s">
        <v>37</v>
      </c>
      <c r="B392" s="425" t="s">
        <v>250</v>
      </c>
      <c r="C392" s="425" t="s">
        <v>1090</v>
      </c>
      <c r="D392" s="23" t="s">
        <v>38</v>
      </c>
      <c r="E392" s="386">
        <f t="shared" si="24"/>
        <v>1236190</v>
      </c>
      <c r="F392" s="386">
        <f t="shared" si="24"/>
        <v>1236190</v>
      </c>
      <c r="G392" s="135"/>
    </row>
    <row r="393" spans="1:7" ht="21.25" customHeight="1" outlineLevel="2" x14ac:dyDescent="0.25">
      <c r="A393" s="423" t="s">
        <v>74</v>
      </c>
      <c r="B393" s="425" t="s">
        <v>250</v>
      </c>
      <c r="C393" s="425" t="s">
        <v>1090</v>
      </c>
      <c r="D393" s="23" t="s">
        <v>75</v>
      </c>
      <c r="E393" s="386">
        <f>'прил 8'!F547</f>
        <v>1236190</v>
      </c>
      <c r="F393" s="386">
        <f>'прил 8'!G547</f>
        <v>1236190</v>
      </c>
      <c r="G393" s="135"/>
    </row>
    <row r="394" spans="1:7" s="76" customFormat="1" ht="36.700000000000003" outlineLevel="3" x14ac:dyDescent="0.25">
      <c r="A394" s="45" t="s">
        <v>1164</v>
      </c>
      <c r="B394" s="387" t="s">
        <v>250</v>
      </c>
      <c r="C394" s="387" t="s">
        <v>136</v>
      </c>
      <c r="D394" s="387" t="s">
        <v>6</v>
      </c>
      <c r="E394" s="52">
        <f t="shared" ref="E394:F397" si="25">E395</f>
        <v>20099530.370000001</v>
      </c>
      <c r="F394" s="52">
        <f t="shared" si="25"/>
        <v>19036919.329999998</v>
      </c>
      <c r="G394" s="416"/>
    </row>
    <row r="395" spans="1:7" ht="38.25" customHeight="1" outlineLevel="4" x14ac:dyDescent="0.25">
      <c r="A395" s="12" t="s">
        <v>351</v>
      </c>
      <c r="B395" s="43" t="s">
        <v>250</v>
      </c>
      <c r="C395" s="43" t="s">
        <v>225</v>
      </c>
      <c r="D395" s="43" t="s">
        <v>6</v>
      </c>
      <c r="E395" s="386">
        <f t="shared" si="25"/>
        <v>20099530.370000001</v>
      </c>
      <c r="F395" s="386">
        <f t="shared" si="25"/>
        <v>19036919.329999998</v>
      </c>
      <c r="G395" s="135"/>
    </row>
    <row r="396" spans="1:7" ht="36" customHeight="1" outlineLevel="5" x14ac:dyDescent="0.25">
      <c r="A396" s="12" t="s">
        <v>73</v>
      </c>
      <c r="B396" s="43" t="s">
        <v>250</v>
      </c>
      <c r="C396" s="43" t="s">
        <v>137</v>
      </c>
      <c r="D396" s="43" t="s">
        <v>6</v>
      </c>
      <c r="E396" s="386">
        <f t="shared" si="25"/>
        <v>20099530.370000001</v>
      </c>
      <c r="F396" s="386">
        <f t="shared" si="25"/>
        <v>19036919.329999998</v>
      </c>
      <c r="G396" s="135"/>
    </row>
    <row r="397" spans="1:7" ht="36.700000000000003" outlineLevel="6" x14ac:dyDescent="0.25">
      <c r="A397" s="12" t="s">
        <v>37</v>
      </c>
      <c r="B397" s="43" t="s">
        <v>250</v>
      </c>
      <c r="C397" s="43" t="s">
        <v>137</v>
      </c>
      <c r="D397" s="43" t="s">
        <v>38</v>
      </c>
      <c r="E397" s="386">
        <f t="shared" si="25"/>
        <v>20099530.370000001</v>
      </c>
      <c r="F397" s="386">
        <f t="shared" si="25"/>
        <v>19036919.329999998</v>
      </c>
      <c r="G397" s="135"/>
    </row>
    <row r="398" spans="1:7" ht="18" customHeight="1" outlineLevel="5" x14ac:dyDescent="0.25">
      <c r="A398" s="12" t="s">
        <v>74</v>
      </c>
      <c r="B398" s="43" t="s">
        <v>250</v>
      </c>
      <c r="C398" s="43" t="s">
        <v>137</v>
      </c>
      <c r="D398" s="43" t="s">
        <v>75</v>
      </c>
      <c r="E398" s="386">
        <f>'прил 8'!F325</f>
        <v>20099530.370000001</v>
      </c>
      <c r="F398" s="386">
        <f>'прил 8'!G325</f>
        <v>19036919.329999998</v>
      </c>
      <c r="G398" s="135"/>
    </row>
    <row r="399" spans="1:7" outlineLevel="6" x14ac:dyDescent="0.25">
      <c r="A399" s="12" t="s">
        <v>76</v>
      </c>
      <c r="B399" s="43" t="s">
        <v>77</v>
      </c>
      <c r="C399" s="43" t="s">
        <v>126</v>
      </c>
      <c r="D399" s="43" t="s">
        <v>6</v>
      </c>
      <c r="E399" s="386">
        <f>E400</f>
        <v>195000</v>
      </c>
      <c r="F399" s="386">
        <f>F400</f>
        <v>195000</v>
      </c>
      <c r="G399" s="135"/>
    </row>
    <row r="400" spans="1:7" s="417" customFormat="1" ht="36.700000000000003" x14ac:dyDescent="0.3">
      <c r="A400" s="45" t="s">
        <v>1169</v>
      </c>
      <c r="B400" s="387" t="s">
        <v>77</v>
      </c>
      <c r="C400" s="387" t="s">
        <v>138</v>
      </c>
      <c r="D400" s="387" t="s">
        <v>6</v>
      </c>
      <c r="E400" s="52">
        <f>E401+E406</f>
        <v>195000</v>
      </c>
      <c r="F400" s="52">
        <f>F401+F406</f>
        <v>195000</v>
      </c>
      <c r="G400" s="416"/>
    </row>
    <row r="401" spans="1:7" ht="18" customHeight="1" outlineLevel="1" x14ac:dyDescent="0.25">
      <c r="A401" s="12" t="s">
        <v>1043</v>
      </c>
      <c r="B401" s="43" t="s">
        <v>77</v>
      </c>
      <c r="C401" s="43" t="s">
        <v>146</v>
      </c>
      <c r="D401" s="43" t="s">
        <v>6</v>
      </c>
      <c r="E401" s="386">
        <f>E402</f>
        <v>70000</v>
      </c>
      <c r="F401" s="386">
        <f>F402</f>
        <v>70000</v>
      </c>
      <c r="G401" s="135"/>
    </row>
    <row r="402" spans="1:7" ht="36.700000000000003" outlineLevel="2" x14ac:dyDescent="0.25">
      <c r="A402" s="12" t="s">
        <v>204</v>
      </c>
      <c r="B402" s="43" t="s">
        <v>77</v>
      </c>
      <c r="C402" s="43" t="s">
        <v>217</v>
      </c>
      <c r="D402" s="43" t="s">
        <v>6</v>
      </c>
      <c r="E402" s="386">
        <f t="shared" ref="E402:F404" si="26">E403</f>
        <v>70000</v>
      </c>
      <c r="F402" s="386">
        <f t="shared" si="26"/>
        <v>70000</v>
      </c>
      <c r="G402" s="135"/>
    </row>
    <row r="403" spans="1:7" ht="18" customHeight="1" outlineLevel="2" x14ac:dyDescent="0.25">
      <c r="A403" s="12" t="s">
        <v>395</v>
      </c>
      <c r="B403" s="43" t="s">
        <v>77</v>
      </c>
      <c r="C403" s="43" t="s">
        <v>232</v>
      </c>
      <c r="D403" s="43" t="s">
        <v>6</v>
      </c>
      <c r="E403" s="386">
        <f t="shared" si="26"/>
        <v>70000</v>
      </c>
      <c r="F403" s="386">
        <f t="shared" si="26"/>
        <v>70000</v>
      </c>
      <c r="G403" s="135"/>
    </row>
    <row r="404" spans="1:7" ht="18" customHeight="1" outlineLevel="2" x14ac:dyDescent="0.25">
      <c r="A404" s="12" t="s">
        <v>15</v>
      </c>
      <c r="B404" s="43" t="s">
        <v>77</v>
      </c>
      <c r="C404" s="43" t="s">
        <v>232</v>
      </c>
      <c r="D404" s="43" t="s">
        <v>16</v>
      </c>
      <c r="E404" s="386">
        <f t="shared" si="26"/>
        <v>70000</v>
      </c>
      <c r="F404" s="386">
        <f t="shared" si="26"/>
        <v>70000</v>
      </c>
      <c r="G404" s="135"/>
    </row>
    <row r="405" spans="1:7" ht="36.700000000000003" outlineLevel="2" x14ac:dyDescent="0.25">
      <c r="A405" s="12" t="s">
        <v>17</v>
      </c>
      <c r="B405" s="43" t="s">
        <v>77</v>
      </c>
      <c r="C405" s="43" t="s">
        <v>232</v>
      </c>
      <c r="D405" s="43" t="s">
        <v>18</v>
      </c>
      <c r="E405" s="386">
        <f>'прил 8'!F554</f>
        <v>70000</v>
      </c>
      <c r="F405" s="386">
        <f>'прил 8'!G554</f>
        <v>70000</v>
      </c>
      <c r="G405" s="135"/>
    </row>
    <row r="406" spans="1:7" ht="23.95" customHeight="1" outlineLevel="1" x14ac:dyDescent="0.25">
      <c r="A406" s="12" t="s">
        <v>234</v>
      </c>
      <c r="B406" s="43" t="s">
        <v>77</v>
      </c>
      <c r="C406" s="43" t="s">
        <v>233</v>
      </c>
      <c r="D406" s="43" t="s">
        <v>6</v>
      </c>
      <c r="E406" s="386">
        <f t="shared" ref="E406:F408" si="27">E407</f>
        <v>125000</v>
      </c>
      <c r="F406" s="386">
        <f t="shared" si="27"/>
        <v>125000</v>
      </c>
      <c r="G406" s="135"/>
    </row>
    <row r="407" spans="1:7" outlineLevel="2" x14ac:dyDescent="0.25">
      <c r="A407" s="12" t="s">
        <v>78</v>
      </c>
      <c r="B407" s="43" t="s">
        <v>77</v>
      </c>
      <c r="C407" s="43" t="s">
        <v>153</v>
      </c>
      <c r="D407" s="43" t="s">
        <v>6</v>
      </c>
      <c r="E407" s="386">
        <f t="shared" si="27"/>
        <v>125000</v>
      </c>
      <c r="F407" s="386">
        <f t="shared" si="27"/>
        <v>125000</v>
      </c>
      <c r="G407" s="135"/>
    </row>
    <row r="408" spans="1:7" ht="18.7" customHeight="1" outlineLevel="3" x14ac:dyDescent="0.25">
      <c r="A408" s="12" t="s">
        <v>15</v>
      </c>
      <c r="B408" s="43" t="s">
        <v>77</v>
      </c>
      <c r="C408" s="43" t="s">
        <v>153</v>
      </c>
      <c r="D408" s="43" t="s">
        <v>16</v>
      </c>
      <c r="E408" s="386">
        <f t="shared" si="27"/>
        <v>125000</v>
      </c>
      <c r="F408" s="386">
        <f t="shared" si="27"/>
        <v>125000</v>
      </c>
      <c r="G408" s="135"/>
    </row>
    <row r="409" spans="1:7" ht="39.25" customHeight="1" outlineLevel="4" x14ac:dyDescent="0.25">
      <c r="A409" s="12" t="s">
        <v>17</v>
      </c>
      <c r="B409" s="43" t="s">
        <v>77</v>
      </c>
      <c r="C409" s="43" t="s">
        <v>153</v>
      </c>
      <c r="D409" s="43" t="s">
        <v>18</v>
      </c>
      <c r="E409" s="386">
        <f>'прил 8'!F558</f>
        <v>125000</v>
      </c>
      <c r="F409" s="386">
        <f>'прил 8'!G558</f>
        <v>125000</v>
      </c>
      <c r="G409" s="135"/>
    </row>
    <row r="410" spans="1:7" outlineLevel="5" x14ac:dyDescent="0.25">
      <c r="A410" s="423" t="s">
        <v>116</v>
      </c>
      <c r="B410" s="425" t="s">
        <v>117</v>
      </c>
      <c r="C410" s="425" t="s">
        <v>126</v>
      </c>
      <c r="D410" s="425" t="s">
        <v>6</v>
      </c>
      <c r="E410" s="386">
        <f>E411</f>
        <v>22802878.02</v>
      </c>
      <c r="F410" s="386">
        <f>F411</f>
        <v>22362992.629999999</v>
      </c>
      <c r="G410" s="135"/>
    </row>
    <row r="411" spans="1:7" ht="36.700000000000003" outlineLevel="6" x14ac:dyDescent="0.25">
      <c r="A411" s="45" t="s">
        <v>1170</v>
      </c>
      <c r="B411" s="387" t="s">
        <v>117</v>
      </c>
      <c r="C411" s="387" t="s">
        <v>138</v>
      </c>
      <c r="D411" s="387" t="s">
        <v>6</v>
      </c>
      <c r="E411" s="386">
        <f>E412+E430</f>
        <v>22802878.02</v>
      </c>
      <c r="F411" s="386">
        <f>F412+F430</f>
        <v>22362992.629999999</v>
      </c>
      <c r="G411" s="135"/>
    </row>
    <row r="412" spans="1:7" s="2" customFormat="1" ht="39.75" customHeight="1" x14ac:dyDescent="0.25">
      <c r="A412" s="12" t="s">
        <v>206</v>
      </c>
      <c r="B412" s="43" t="s">
        <v>117</v>
      </c>
      <c r="C412" s="43" t="s">
        <v>223</v>
      </c>
      <c r="D412" s="43" t="s">
        <v>6</v>
      </c>
      <c r="E412" s="386">
        <f>E413+E420+E427</f>
        <v>20087758.02</v>
      </c>
      <c r="F412" s="386">
        <f>F413+F420+F427</f>
        <v>19647872.629999999</v>
      </c>
      <c r="G412" s="135"/>
    </row>
    <row r="413" spans="1:7" ht="39.25" customHeight="1" outlineLevel="1" x14ac:dyDescent="0.25">
      <c r="A413" s="12" t="s">
        <v>449</v>
      </c>
      <c r="B413" s="43" t="s">
        <v>117</v>
      </c>
      <c r="C413" s="43" t="s">
        <v>489</v>
      </c>
      <c r="D413" s="43" t="s">
        <v>6</v>
      </c>
      <c r="E413" s="386">
        <f>E414+E416+E418</f>
        <v>5373360</v>
      </c>
      <c r="F413" s="386">
        <f>F414+F416+F418</f>
        <v>5775522</v>
      </c>
      <c r="G413" s="135"/>
    </row>
    <row r="414" spans="1:7" ht="36.700000000000003" customHeight="1" outlineLevel="2" x14ac:dyDescent="0.25">
      <c r="A414" s="12" t="s">
        <v>11</v>
      </c>
      <c r="B414" s="43" t="s">
        <v>117</v>
      </c>
      <c r="C414" s="43" t="s">
        <v>489</v>
      </c>
      <c r="D414" s="43" t="s">
        <v>12</v>
      </c>
      <c r="E414" s="386">
        <f>E415</f>
        <v>5093360</v>
      </c>
      <c r="F414" s="386">
        <f>F415</f>
        <v>5495522</v>
      </c>
      <c r="G414" s="135"/>
    </row>
    <row r="415" spans="1:7" ht="18" customHeight="1" outlineLevel="4" x14ac:dyDescent="0.25">
      <c r="A415" s="12" t="s">
        <v>13</v>
      </c>
      <c r="B415" s="43" t="s">
        <v>117</v>
      </c>
      <c r="C415" s="43" t="s">
        <v>489</v>
      </c>
      <c r="D415" s="43" t="s">
        <v>14</v>
      </c>
      <c r="E415" s="386">
        <f>'прил 8'!F564</f>
        <v>5093360</v>
      </c>
      <c r="F415" s="386">
        <f>'прил 8'!G564</f>
        <v>5495522</v>
      </c>
      <c r="G415" s="135"/>
    </row>
    <row r="416" spans="1:7" ht="18" customHeight="1" outlineLevel="5" x14ac:dyDescent="0.25">
      <c r="A416" s="12" t="s">
        <v>15</v>
      </c>
      <c r="B416" s="43" t="s">
        <v>117</v>
      </c>
      <c r="C416" s="43" t="s">
        <v>489</v>
      </c>
      <c r="D416" s="43" t="s">
        <v>16</v>
      </c>
      <c r="E416" s="386">
        <f>E417</f>
        <v>280000</v>
      </c>
      <c r="F416" s="386">
        <f>F417</f>
        <v>280000</v>
      </c>
      <c r="G416" s="135"/>
    </row>
    <row r="417" spans="1:9" ht="36" customHeight="1" outlineLevel="6" x14ac:dyDescent="0.25">
      <c r="A417" s="12" t="s">
        <v>17</v>
      </c>
      <c r="B417" s="43" t="s">
        <v>117</v>
      </c>
      <c r="C417" s="43" t="s">
        <v>489</v>
      </c>
      <c r="D417" s="43" t="s">
        <v>18</v>
      </c>
      <c r="E417" s="386">
        <f>'прил 8'!F566</f>
        <v>280000</v>
      </c>
      <c r="F417" s="386">
        <f>'прил 8'!G566</f>
        <v>280000</v>
      </c>
      <c r="G417" s="135"/>
    </row>
    <row r="418" spans="1:9" hidden="1" outlineLevel="4" x14ac:dyDescent="0.25">
      <c r="A418" s="12" t="s">
        <v>19</v>
      </c>
      <c r="B418" s="43" t="s">
        <v>117</v>
      </c>
      <c r="C418" s="43" t="s">
        <v>489</v>
      </c>
      <c r="D418" s="43" t="s">
        <v>20</v>
      </c>
      <c r="E418" s="386">
        <f>E419</f>
        <v>0</v>
      </c>
      <c r="F418" s="386">
        <f>F419</f>
        <v>0</v>
      </c>
      <c r="G418" s="135"/>
    </row>
    <row r="419" spans="1:9" hidden="1" outlineLevel="5" x14ac:dyDescent="0.25">
      <c r="A419" s="12" t="s">
        <v>21</v>
      </c>
      <c r="B419" s="43" t="s">
        <v>117</v>
      </c>
      <c r="C419" s="43" t="s">
        <v>489</v>
      </c>
      <c r="D419" s="43" t="s">
        <v>22</v>
      </c>
      <c r="E419" s="386">
        <f>'прил 12'!F631</f>
        <v>0</v>
      </c>
      <c r="F419" s="386">
        <f>'прил 12'!G631</f>
        <v>0</v>
      </c>
      <c r="G419" s="135"/>
    </row>
    <row r="420" spans="1:9" ht="36.700000000000003" outlineLevel="6" x14ac:dyDescent="0.25">
      <c r="A420" s="12" t="s">
        <v>33</v>
      </c>
      <c r="B420" s="43" t="s">
        <v>117</v>
      </c>
      <c r="C420" s="43" t="s">
        <v>154</v>
      </c>
      <c r="D420" s="43" t="s">
        <v>6</v>
      </c>
      <c r="E420" s="386">
        <f>E421+E423+E425</f>
        <v>12760192.02</v>
      </c>
      <c r="F420" s="386">
        <f>F421+F423+F425</f>
        <v>11736367.629999999</v>
      </c>
      <c r="G420" s="135"/>
    </row>
    <row r="421" spans="1:9" s="2" customFormat="1" ht="54.7" customHeight="1" x14ac:dyDescent="0.25">
      <c r="A421" s="12" t="s">
        <v>11</v>
      </c>
      <c r="B421" s="43" t="s">
        <v>117</v>
      </c>
      <c r="C421" s="43" t="s">
        <v>154</v>
      </c>
      <c r="D421" s="43" t="s">
        <v>12</v>
      </c>
      <c r="E421" s="386">
        <f>E422</f>
        <v>11374841.02</v>
      </c>
      <c r="F421" s="386">
        <f>F422</f>
        <v>10651744.629999999</v>
      </c>
      <c r="G421" s="135"/>
    </row>
    <row r="422" spans="1:9" x14ac:dyDescent="0.25">
      <c r="A422" s="12" t="s">
        <v>34</v>
      </c>
      <c r="B422" s="43" t="s">
        <v>117</v>
      </c>
      <c r="C422" s="43" t="s">
        <v>154</v>
      </c>
      <c r="D422" s="43" t="s">
        <v>35</v>
      </c>
      <c r="E422" s="386">
        <f>'прил 8'!F571</f>
        <v>11374841.02</v>
      </c>
      <c r="F422" s="386">
        <f>'прил 8'!G571</f>
        <v>10651744.629999999</v>
      </c>
      <c r="G422" s="135"/>
    </row>
    <row r="423" spans="1:9" ht="18" customHeight="1" x14ac:dyDescent="0.25">
      <c r="A423" s="12" t="s">
        <v>15</v>
      </c>
      <c r="B423" s="43" t="s">
        <v>117</v>
      </c>
      <c r="C423" s="43" t="s">
        <v>154</v>
      </c>
      <c r="D423" s="43" t="s">
        <v>16</v>
      </c>
      <c r="E423" s="386">
        <f>E424</f>
        <v>1354600</v>
      </c>
      <c r="F423" s="386">
        <f>F424</f>
        <v>1054600</v>
      </c>
      <c r="G423" s="135"/>
    </row>
    <row r="424" spans="1:9" ht="36.700000000000003" x14ac:dyDescent="0.25">
      <c r="A424" s="12" t="s">
        <v>17</v>
      </c>
      <c r="B424" s="43" t="s">
        <v>117</v>
      </c>
      <c r="C424" s="43" t="s">
        <v>154</v>
      </c>
      <c r="D424" s="43" t="s">
        <v>18</v>
      </c>
      <c r="E424" s="386">
        <f>'прил 8'!F573</f>
        <v>1354600</v>
      </c>
      <c r="F424" s="386">
        <f>'прил 8'!G573</f>
        <v>1054600</v>
      </c>
      <c r="G424" s="135"/>
      <c r="H424" s="67"/>
      <c r="I424" s="67"/>
    </row>
    <row r="425" spans="1:9" x14ac:dyDescent="0.25">
      <c r="A425" s="12" t="s">
        <v>19</v>
      </c>
      <c r="B425" s="43" t="s">
        <v>117</v>
      </c>
      <c r="C425" s="43" t="s">
        <v>154</v>
      </c>
      <c r="D425" s="43" t="s">
        <v>20</v>
      </c>
      <c r="E425" s="386">
        <f>E426</f>
        <v>30751</v>
      </c>
      <c r="F425" s="386">
        <f>F426</f>
        <v>30023</v>
      </c>
      <c r="G425" s="135"/>
      <c r="H425" s="67"/>
      <c r="I425" s="67"/>
    </row>
    <row r="426" spans="1:9" x14ac:dyDescent="0.25">
      <c r="A426" s="12" t="s">
        <v>21</v>
      </c>
      <c r="B426" s="43" t="s">
        <v>117</v>
      </c>
      <c r="C426" s="43" t="s">
        <v>154</v>
      </c>
      <c r="D426" s="43" t="s">
        <v>22</v>
      </c>
      <c r="E426" s="386">
        <f>'прил 8'!F575</f>
        <v>30751</v>
      </c>
      <c r="F426" s="386">
        <f>'прил 8'!G575</f>
        <v>30023</v>
      </c>
      <c r="G426" s="135"/>
      <c r="H426" s="67"/>
      <c r="I426" s="67"/>
    </row>
    <row r="427" spans="1:9" ht="39.25" customHeight="1" x14ac:dyDescent="0.25">
      <c r="A427" s="12" t="s">
        <v>36</v>
      </c>
      <c r="B427" s="43" t="s">
        <v>117</v>
      </c>
      <c r="C427" s="43" t="s">
        <v>155</v>
      </c>
      <c r="D427" s="43" t="s">
        <v>6</v>
      </c>
      <c r="E427" s="386">
        <f>E428</f>
        <v>1954206</v>
      </c>
      <c r="F427" s="386">
        <f>F428</f>
        <v>2135983</v>
      </c>
      <c r="G427" s="135"/>
      <c r="H427" s="67"/>
      <c r="I427" s="67"/>
    </row>
    <row r="428" spans="1:9" ht="36.700000000000003" x14ac:dyDescent="0.25">
      <c r="A428" s="12" t="s">
        <v>37</v>
      </c>
      <c r="B428" s="43" t="s">
        <v>117</v>
      </c>
      <c r="C428" s="43" t="s">
        <v>155</v>
      </c>
      <c r="D428" s="43" t="s">
        <v>38</v>
      </c>
      <c r="E428" s="386">
        <f>E429</f>
        <v>1954206</v>
      </c>
      <c r="F428" s="386">
        <f>F429</f>
        <v>2135983</v>
      </c>
      <c r="G428" s="135"/>
      <c r="H428" s="67"/>
      <c r="I428" s="67"/>
    </row>
    <row r="429" spans="1:9" x14ac:dyDescent="0.25">
      <c r="A429" s="12" t="s">
        <v>39</v>
      </c>
      <c r="B429" s="43" t="s">
        <v>117</v>
      </c>
      <c r="C429" s="43" t="s">
        <v>155</v>
      </c>
      <c r="D429" s="43" t="s">
        <v>40</v>
      </c>
      <c r="E429" s="386">
        <f>'прил 8'!F577</f>
        <v>1954206</v>
      </c>
      <c r="F429" s="386">
        <f>'прил 8'!G578</f>
        <v>2135983</v>
      </c>
      <c r="G429" s="135"/>
      <c r="H429" s="67"/>
      <c r="I429" s="67"/>
    </row>
    <row r="430" spans="1:9" ht="36.700000000000003" x14ac:dyDescent="0.25">
      <c r="A430" s="423" t="s">
        <v>1040</v>
      </c>
      <c r="B430" s="425" t="s">
        <v>117</v>
      </c>
      <c r="C430" s="425" t="s">
        <v>146</v>
      </c>
      <c r="D430" s="425" t="s">
        <v>6</v>
      </c>
      <c r="E430" s="386">
        <f t="shared" ref="E430:F435" si="28">E431</f>
        <v>2715120</v>
      </c>
      <c r="F430" s="386">
        <f t="shared" si="28"/>
        <v>2715120</v>
      </c>
      <c r="G430" s="135"/>
      <c r="H430" s="67"/>
      <c r="I430" s="67"/>
    </row>
    <row r="431" spans="1:9" ht="36.700000000000003" x14ac:dyDescent="0.25">
      <c r="A431" s="423" t="s">
        <v>267</v>
      </c>
      <c r="B431" s="425" t="s">
        <v>117</v>
      </c>
      <c r="C431" s="425" t="s">
        <v>220</v>
      </c>
      <c r="D431" s="425" t="s">
        <v>6</v>
      </c>
      <c r="E431" s="386">
        <f t="shared" si="28"/>
        <v>2715120</v>
      </c>
      <c r="F431" s="386">
        <f t="shared" si="28"/>
        <v>2715120</v>
      </c>
      <c r="G431" s="135"/>
      <c r="H431" s="67"/>
      <c r="I431" s="67"/>
    </row>
    <row r="432" spans="1:9" ht="55.05" x14ac:dyDescent="0.25">
      <c r="A432" s="31" t="s">
        <v>937</v>
      </c>
      <c r="B432" s="425" t="s">
        <v>117</v>
      </c>
      <c r="C432" s="425" t="s">
        <v>152</v>
      </c>
      <c r="D432" s="425" t="s">
        <v>6</v>
      </c>
      <c r="E432" s="386">
        <f>E435+E433+E437</f>
        <v>2715120</v>
      </c>
      <c r="F432" s="386">
        <f>F435+F433+F437</f>
        <v>2715120</v>
      </c>
      <c r="G432" s="135"/>
      <c r="H432" s="67"/>
      <c r="I432" s="67"/>
    </row>
    <row r="433" spans="1:9" ht="36.700000000000003" x14ac:dyDescent="0.25">
      <c r="A433" s="423" t="s">
        <v>15</v>
      </c>
      <c r="B433" s="425" t="s">
        <v>117</v>
      </c>
      <c r="C433" s="425" t="s">
        <v>152</v>
      </c>
      <c r="D433" s="425" t="s">
        <v>16</v>
      </c>
      <c r="E433" s="386">
        <f>E434</f>
        <v>2000</v>
      </c>
      <c r="F433" s="386">
        <f>F434</f>
        <v>2000</v>
      </c>
      <c r="G433" s="135"/>
      <c r="H433" s="67"/>
      <c r="I433" s="67"/>
    </row>
    <row r="434" spans="1:9" ht="36.700000000000003" x14ac:dyDescent="0.25">
      <c r="A434" s="423" t="s">
        <v>17</v>
      </c>
      <c r="B434" s="425" t="s">
        <v>117</v>
      </c>
      <c r="C434" s="425" t="s">
        <v>152</v>
      </c>
      <c r="D434" s="425" t="s">
        <v>18</v>
      </c>
      <c r="E434" s="386">
        <f>'прил 8'!F583</f>
        <v>2000</v>
      </c>
      <c r="F434" s="386">
        <f>'прил 8'!G583</f>
        <v>2000</v>
      </c>
      <c r="G434" s="135"/>
      <c r="H434" s="67"/>
      <c r="I434" s="67"/>
    </row>
    <row r="435" spans="1:9" x14ac:dyDescent="0.25">
      <c r="A435" s="423" t="s">
        <v>90</v>
      </c>
      <c r="B435" s="425" t="s">
        <v>117</v>
      </c>
      <c r="C435" s="425" t="s">
        <v>152</v>
      </c>
      <c r="D435" s="425" t="s">
        <v>91</v>
      </c>
      <c r="E435" s="386">
        <f t="shared" si="28"/>
        <v>320000</v>
      </c>
      <c r="F435" s="386">
        <f t="shared" si="28"/>
        <v>320000</v>
      </c>
      <c r="G435" s="135"/>
      <c r="H435" s="67"/>
      <c r="I435" s="67"/>
    </row>
    <row r="436" spans="1:9" ht="36.700000000000003" x14ac:dyDescent="0.25">
      <c r="A436" s="423" t="s">
        <v>97</v>
      </c>
      <c r="B436" s="425" t="s">
        <v>117</v>
      </c>
      <c r="C436" s="425" t="s">
        <v>152</v>
      </c>
      <c r="D436" s="425" t="s">
        <v>98</v>
      </c>
      <c r="E436" s="386">
        <f>'прил 8'!F585</f>
        <v>320000</v>
      </c>
      <c r="F436" s="386">
        <f>'прил 8'!G585</f>
        <v>320000</v>
      </c>
      <c r="G436" s="135"/>
      <c r="H436" s="67"/>
      <c r="I436" s="67"/>
    </row>
    <row r="437" spans="1:9" ht="36.700000000000003" x14ac:dyDescent="0.25">
      <c r="A437" s="423" t="s">
        <v>37</v>
      </c>
      <c r="B437" s="425" t="s">
        <v>117</v>
      </c>
      <c r="C437" s="425" t="s">
        <v>152</v>
      </c>
      <c r="D437" s="425" t="s">
        <v>38</v>
      </c>
      <c r="E437" s="386">
        <f>E438</f>
        <v>2393120</v>
      </c>
      <c r="F437" s="386">
        <f>F438</f>
        <v>2393120</v>
      </c>
      <c r="G437" s="135"/>
      <c r="H437" s="67"/>
      <c r="I437" s="67"/>
    </row>
    <row r="438" spans="1:9" x14ac:dyDescent="0.25">
      <c r="A438" s="423" t="s">
        <v>74</v>
      </c>
      <c r="B438" s="425" t="s">
        <v>117</v>
      </c>
      <c r="C438" s="425" t="s">
        <v>152</v>
      </c>
      <c r="D438" s="425" t="s">
        <v>75</v>
      </c>
      <c r="E438" s="386">
        <f>'прил 8'!F587</f>
        <v>2393120</v>
      </c>
      <c r="F438" s="386">
        <f>'прил 8'!G587</f>
        <v>2393120</v>
      </c>
      <c r="G438" s="135"/>
      <c r="H438" s="67"/>
      <c r="I438" s="67"/>
    </row>
    <row r="439" spans="1:9" x14ac:dyDescent="0.25">
      <c r="A439" s="45" t="s">
        <v>79</v>
      </c>
      <c r="B439" s="387" t="s">
        <v>80</v>
      </c>
      <c r="C439" s="387" t="s">
        <v>126</v>
      </c>
      <c r="D439" s="387" t="s">
        <v>6</v>
      </c>
      <c r="E439" s="52">
        <f>E440</f>
        <v>36661261.839999996</v>
      </c>
      <c r="F439" s="52">
        <f>F440</f>
        <v>36175931.060000002</v>
      </c>
      <c r="G439" s="144"/>
      <c r="H439" s="144" t="e">
        <f>#REF!</f>
        <v>#REF!</v>
      </c>
      <c r="I439" s="67"/>
    </row>
    <row r="440" spans="1:9" x14ac:dyDescent="0.25">
      <c r="A440" s="12" t="s">
        <v>81</v>
      </c>
      <c r="B440" s="43" t="s">
        <v>82</v>
      </c>
      <c r="C440" s="43" t="s">
        <v>126</v>
      </c>
      <c r="D440" s="43" t="s">
        <v>6</v>
      </c>
      <c r="E440" s="386">
        <f>E441</f>
        <v>36661261.839999996</v>
      </c>
      <c r="F440" s="386">
        <f>F441</f>
        <v>36175931.060000002</v>
      </c>
      <c r="G440" s="135"/>
      <c r="H440" s="67"/>
      <c r="I440" s="67"/>
    </row>
    <row r="441" spans="1:9" ht="39.75" customHeight="1" x14ac:dyDescent="0.25">
      <c r="A441" s="45" t="s">
        <v>1181</v>
      </c>
      <c r="B441" s="387" t="s">
        <v>82</v>
      </c>
      <c r="C441" s="387" t="s">
        <v>136</v>
      </c>
      <c r="D441" s="387" t="s">
        <v>6</v>
      </c>
      <c r="E441" s="386">
        <f>E442+E456+E452</f>
        <v>36661261.839999996</v>
      </c>
      <c r="F441" s="386">
        <f>F442+F456+F452</f>
        <v>36175931.060000002</v>
      </c>
      <c r="G441" s="135"/>
      <c r="H441" s="67"/>
      <c r="I441" s="67"/>
    </row>
    <row r="442" spans="1:9" ht="36.700000000000003" x14ac:dyDescent="0.25">
      <c r="A442" s="12" t="s">
        <v>353</v>
      </c>
      <c r="B442" s="43" t="s">
        <v>82</v>
      </c>
      <c r="C442" s="43" t="s">
        <v>224</v>
      </c>
      <c r="D442" s="43" t="s">
        <v>6</v>
      </c>
      <c r="E442" s="386">
        <f>E443+E446+E449</f>
        <v>9718145.9399999995</v>
      </c>
      <c r="F442" s="386">
        <f>F443+F446+F449</f>
        <v>9684155.6500000004</v>
      </c>
      <c r="G442" s="135"/>
      <c r="H442" s="67"/>
      <c r="I442" s="67"/>
    </row>
    <row r="443" spans="1:9" ht="39.75" customHeight="1" x14ac:dyDescent="0.25">
      <c r="A443" s="12" t="s">
        <v>84</v>
      </c>
      <c r="B443" s="43" t="s">
        <v>82</v>
      </c>
      <c r="C443" s="43" t="s">
        <v>141</v>
      </c>
      <c r="D443" s="43" t="s">
        <v>6</v>
      </c>
      <c r="E443" s="386">
        <f>E444</f>
        <v>9548443.9199999999</v>
      </c>
      <c r="F443" s="386">
        <f>F444</f>
        <v>9514453.6300000008</v>
      </c>
      <c r="G443" s="135"/>
      <c r="H443" s="67"/>
      <c r="I443" s="67"/>
    </row>
    <row r="444" spans="1:9" ht="36.700000000000003" x14ac:dyDescent="0.25">
      <c r="A444" s="12" t="s">
        <v>37</v>
      </c>
      <c r="B444" s="43" t="s">
        <v>82</v>
      </c>
      <c r="C444" s="43" t="s">
        <v>141</v>
      </c>
      <c r="D444" s="43" t="s">
        <v>38</v>
      </c>
      <c r="E444" s="386">
        <f>E445</f>
        <v>9548443.9199999999</v>
      </c>
      <c r="F444" s="386">
        <f>F445</f>
        <v>9514453.6300000008</v>
      </c>
      <c r="G444" s="135"/>
      <c r="H444" s="67"/>
      <c r="I444" s="67"/>
    </row>
    <row r="445" spans="1:9" x14ac:dyDescent="0.25">
      <c r="A445" s="12" t="s">
        <v>74</v>
      </c>
      <c r="B445" s="43" t="s">
        <v>82</v>
      </c>
      <c r="C445" s="43" t="s">
        <v>141</v>
      </c>
      <c r="D445" s="43" t="s">
        <v>75</v>
      </c>
      <c r="E445" s="386">
        <f>'прил 8'!F332</f>
        <v>9548443.9199999999</v>
      </c>
      <c r="F445" s="386">
        <f>'прил 8'!G332</f>
        <v>9514453.6300000008</v>
      </c>
      <c r="G445" s="135"/>
      <c r="H445" s="67"/>
      <c r="I445" s="67"/>
    </row>
    <row r="446" spans="1:9" ht="73.400000000000006" x14ac:dyDescent="0.25">
      <c r="A446" s="44" t="s">
        <v>953</v>
      </c>
      <c r="B446" s="425" t="s">
        <v>82</v>
      </c>
      <c r="C446" s="425" t="s">
        <v>286</v>
      </c>
      <c r="D446" s="425" t="s">
        <v>6</v>
      </c>
      <c r="E446" s="386">
        <f>E447</f>
        <v>168005</v>
      </c>
      <c r="F446" s="386">
        <f>F447</f>
        <v>168005</v>
      </c>
      <c r="G446" s="135"/>
      <c r="H446" s="67"/>
      <c r="I446" s="67"/>
    </row>
    <row r="447" spans="1:9" ht="36.700000000000003" x14ac:dyDescent="0.25">
      <c r="A447" s="423" t="s">
        <v>37</v>
      </c>
      <c r="B447" s="425" t="s">
        <v>82</v>
      </c>
      <c r="C447" s="425" t="s">
        <v>286</v>
      </c>
      <c r="D447" s="425" t="s">
        <v>38</v>
      </c>
      <c r="E447" s="386">
        <f>E448</f>
        <v>168005</v>
      </c>
      <c r="F447" s="386">
        <f>F448</f>
        <v>168005</v>
      </c>
      <c r="G447" s="135"/>
      <c r="H447" s="67"/>
      <c r="I447" s="67"/>
    </row>
    <row r="448" spans="1:9" x14ac:dyDescent="0.25">
      <c r="A448" s="423" t="s">
        <v>74</v>
      </c>
      <c r="B448" s="425" t="s">
        <v>82</v>
      </c>
      <c r="C448" s="425" t="s">
        <v>286</v>
      </c>
      <c r="D448" s="425" t="s">
        <v>75</v>
      </c>
      <c r="E448" s="386">
        <f>'прил 8'!F335</f>
        <v>168005</v>
      </c>
      <c r="F448" s="386">
        <f>'прил 8'!G335</f>
        <v>168005</v>
      </c>
      <c r="G448" s="135"/>
      <c r="H448" s="67"/>
      <c r="I448" s="67"/>
    </row>
    <row r="449" spans="1:9" ht="55.05" x14ac:dyDescent="0.25">
      <c r="A449" s="423" t="s">
        <v>296</v>
      </c>
      <c r="B449" s="425" t="s">
        <v>82</v>
      </c>
      <c r="C449" s="425" t="s">
        <v>297</v>
      </c>
      <c r="D449" s="425" t="s">
        <v>6</v>
      </c>
      <c r="E449" s="386">
        <f>E450</f>
        <v>1697.02</v>
      </c>
      <c r="F449" s="386">
        <f>F450</f>
        <v>1697.02</v>
      </c>
      <c r="G449" s="135"/>
      <c r="H449" s="67"/>
      <c r="I449" s="67"/>
    </row>
    <row r="450" spans="1:9" ht="36.700000000000003" x14ac:dyDescent="0.25">
      <c r="A450" s="423" t="s">
        <v>37</v>
      </c>
      <c r="B450" s="425" t="s">
        <v>82</v>
      </c>
      <c r="C450" s="425" t="s">
        <v>297</v>
      </c>
      <c r="D450" s="425" t="s">
        <v>38</v>
      </c>
      <c r="E450" s="386">
        <f>E451</f>
        <v>1697.02</v>
      </c>
      <c r="F450" s="386">
        <f>F451</f>
        <v>1697.02</v>
      </c>
      <c r="G450" s="135"/>
      <c r="H450" s="67"/>
      <c r="I450" s="67"/>
    </row>
    <row r="451" spans="1:9" x14ac:dyDescent="0.25">
      <c r="A451" s="423" t="s">
        <v>74</v>
      </c>
      <c r="B451" s="425" t="s">
        <v>82</v>
      </c>
      <c r="C451" s="425" t="s">
        <v>297</v>
      </c>
      <c r="D451" s="425" t="s">
        <v>75</v>
      </c>
      <c r="E451" s="386">
        <f>'прил 8'!F338</f>
        <v>1697.02</v>
      </c>
      <c r="F451" s="386">
        <f>'прил 8'!G338</f>
        <v>1697.02</v>
      </c>
      <c r="G451" s="135"/>
      <c r="H451" s="67"/>
      <c r="I451" s="67"/>
    </row>
    <row r="452" spans="1:9" ht="36.700000000000003" x14ac:dyDescent="0.25">
      <c r="A452" s="12" t="s">
        <v>612</v>
      </c>
      <c r="B452" s="43" t="s">
        <v>82</v>
      </c>
      <c r="C452" s="43" t="s">
        <v>611</v>
      </c>
      <c r="D452" s="43" t="s">
        <v>6</v>
      </c>
      <c r="E452" s="386">
        <f t="shared" ref="E452:F454" si="29">E453</f>
        <v>24589059.219999999</v>
      </c>
      <c r="F452" s="386">
        <f t="shared" si="29"/>
        <v>24116458.77</v>
      </c>
      <c r="G452" s="135"/>
      <c r="H452" s="67"/>
      <c r="I452" s="67"/>
    </row>
    <row r="453" spans="1:9" ht="36" customHeight="1" x14ac:dyDescent="0.25">
      <c r="A453" s="12" t="s">
        <v>84</v>
      </c>
      <c r="B453" s="43" t="s">
        <v>82</v>
      </c>
      <c r="C453" s="43" t="s">
        <v>610</v>
      </c>
      <c r="D453" s="43" t="s">
        <v>6</v>
      </c>
      <c r="E453" s="386">
        <f t="shared" si="29"/>
        <v>24589059.219999999</v>
      </c>
      <c r="F453" s="386">
        <f t="shared" si="29"/>
        <v>24116458.77</v>
      </c>
      <c r="G453" s="135"/>
      <c r="H453" s="67"/>
      <c r="I453" s="67"/>
    </row>
    <row r="454" spans="1:9" ht="36.700000000000003" x14ac:dyDescent="0.25">
      <c r="A454" s="12" t="s">
        <v>37</v>
      </c>
      <c r="B454" s="43" t="s">
        <v>82</v>
      </c>
      <c r="C454" s="43" t="s">
        <v>610</v>
      </c>
      <c r="D454" s="43" t="s">
        <v>38</v>
      </c>
      <c r="E454" s="386">
        <f t="shared" si="29"/>
        <v>24589059.219999999</v>
      </c>
      <c r="F454" s="386">
        <f t="shared" si="29"/>
        <v>24116458.77</v>
      </c>
      <c r="G454" s="135"/>
      <c r="H454" s="67"/>
      <c r="I454" s="67"/>
    </row>
    <row r="455" spans="1:9" ht="16.5" customHeight="1" x14ac:dyDescent="0.25">
      <c r="A455" s="12" t="s">
        <v>74</v>
      </c>
      <c r="B455" s="43" t="s">
        <v>82</v>
      </c>
      <c r="C455" s="43" t="s">
        <v>610</v>
      </c>
      <c r="D455" s="43" t="s">
        <v>75</v>
      </c>
      <c r="E455" s="386">
        <f>'прил 8'!F342</f>
        <v>24589059.219999999</v>
      </c>
      <c r="F455" s="386">
        <f>'прил 8'!G342</f>
        <v>24116458.77</v>
      </c>
      <c r="G455" s="135"/>
      <c r="H455" s="67"/>
      <c r="I455" s="67"/>
    </row>
    <row r="456" spans="1:9" ht="21.25" customHeight="1" x14ac:dyDescent="0.25">
      <c r="A456" s="12" t="s">
        <v>208</v>
      </c>
      <c r="B456" s="43" t="s">
        <v>82</v>
      </c>
      <c r="C456" s="43" t="s">
        <v>226</v>
      </c>
      <c r="D456" s="43" t="s">
        <v>6</v>
      </c>
      <c r="E456" s="386">
        <f>E457+E460</f>
        <v>2354056.6799999997</v>
      </c>
      <c r="F456" s="386">
        <f>F457+F460</f>
        <v>2375316.6399999997</v>
      </c>
      <c r="G456" s="135"/>
      <c r="H456" s="67"/>
      <c r="I456" s="67"/>
    </row>
    <row r="457" spans="1:9" x14ac:dyDescent="0.25">
      <c r="A457" s="12" t="s">
        <v>83</v>
      </c>
      <c r="B457" s="43" t="s">
        <v>82</v>
      </c>
      <c r="C457" s="43" t="s">
        <v>140</v>
      </c>
      <c r="D457" s="43" t="s">
        <v>6</v>
      </c>
      <c r="E457" s="386">
        <f>E458</f>
        <v>632000</v>
      </c>
      <c r="F457" s="386">
        <f>F458</f>
        <v>632000</v>
      </c>
      <c r="G457" s="135"/>
      <c r="H457" s="67"/>
      <c r="I457" s="67"/>
    </row>
    <row r="458" spans="1:9" ht="36.700000000000003" x14ac:dyDescent="0.25">
      <c r="A458" s="12" t="s">
        <v>37</v>
      </c>
      <c r="B458" s="43" t="s">
        <v>82</v>
      </c>
      <c r="C458" s="43" t="s">
        <v>140</v>
      </c>
      <c r="D458" s="43" t="s">
        <v>38</v>
      </c>
      <c r="E458" s="386">
        <f>E459</f>
        <v>632000</v>
      </c>
      <c r="F458" s="386">
        <f>F459</f>
        <v>632000</v>
      </c>
      <c r="G458" s="135"/>
      <c r="H458" s="67"/>
      <c r="I458" s="67"/>
    </row>
    <row r="459" spans="1:9" x14ac:dyDescent="0.25">
      <c r="A459" s="12" t="s">
        <v>74</v>
      </c>
      <c r="B459" s="43" t="s">
        <v>82</v>
      </c>
      <c r="C459" s="43" t="s">
        <v>140</v>
      </c>
      <c r="D459" s="43" t="s">
        <v>75</v>
      </c>
      <c r="E459" s="386">
        <f>'прил 8'!F346</f>
        <v>632000</v>
      </c>
      <c r="F459" s="386">
        <f>'прил 8'!G346</f>
        <v>632000</v>
      </c>
      <c r="G459" s="135"/>
      <c r="H459" s="67"/>
      <c r="I459" s="67"/>
    </row>
    <row r="460" spans="1:9" ht="43.5" customHeight="1" x14ac:dyDescent="0.25">
      <c r="A460" s="12" t="s">
        <v>896</v>
      </c>
      <c r="B460" s="43" t="s">
        <v>82</v>
      </c>
      <c r="C460" s="43" t="s">
        <v>899</v>
      </c>
      <c r="D460" s="401" t="s">
        <v>6</v>
      </c>
      <c r="E460" s="402">
        <f>E461</f>
        <v>1722056.68</v>
      </c>
      <c r="F460" s="386">
        <f>F461</f>
        <v>1743316.64</v>
      </c>
      <c r="G460" s="135"/>
      <c r="H460" s="67"/>
      <c r="I460" s="67"/>
    </row>
    <row r="461" spans="1:9" ht="34.5" customHeight="1" x14ac:dyDescent="0.25">
      <c r="A461" s="12" t="s">
        <v>37</v>
      </c>
      <c r="B461" s="43" t="s">
        <v>82</v>
      </c>
      <c r="C461" s="43" t="s">
        <v>899</v>
      </c>
      <c r="D461" s="401" t="s">
        <v>38</v>
      </c>
      <c r="E461" s="402">
        <f>E462</f>
        <v>1722056.68</v>
      </c>
      <c r="F461" s="386">
        <f>F462</f>
        <v>1743316.64</v>
      </c>
      <c r="G461" s="135"/>
      <c r="H461" s="67"/>
      <c r="I461" s="67"/>
    </row>
    <row r="462" spans="1:9" ht="34.5" customHeight="1" x14ac:dyDescent="0.25">
      <c r="A462" s="12" t="s">
        <v>74</v>
      </c>
      <c r="B462" s="43" t="s">
        <v>82</v>
      </c>
      <c r="C462" s="43" t="s">
        <v>899</v>
      </c>
      <c r="D462" s="401" t="s">
        <v>75</v>
      </c>
      <c r="E462" s="402">
        <f>'прил 8'!F349</f>
        <v>1722056.68</v>
      </c>
      <c r="F462" s="386">
        <f>'прил 8'!G349</f>
        <v>1743316.64</v>
      </c>
      <c r="G462" s="135"/>
      <c r="H462" s="67"/>
      <c r="I462" s="67"/>
    </row>
    <row r="463" spans="1:9" x14ac:dyDescent="0.25">
      <c r="A463" s="45" t="s">
        <v>85</v>
      </c>
      <c r="B463" s="387" t="s">
        <v>86</v>
      </c>
      <c r="C463" s="387" t="s">
        <v>126</v>
      </c>
      <c r="D463" s="387" t="s">
        <v>6</v>
      </c>
      <c r="E463" s="52">
        <f>E464+E489+E469+E509</f>
        <v>39644334.399999999</v>
      </c>
      <c r="F463" s="52">
        <f>F464+F489+F469+F509</f>
        <v>47858254.960000001</v>
      </c>
      <c r="G463" s="144"/>
      <c r="H463" s="144" t="e">
        <f>#REF!</f>
        <v>#REF!</v>
      </c>
      <c r="I463" s="67"/>
    </row>
    <row r="464" spans="1:9" x14ac:dyDescent="0.25">
      <c r="A464" s="12" t="s">
        <v>87</v>
      </c>
      <c r="B464" s="43" t="s">
        <v>88</v>
      </c>
      <c r="C464" s="43" t="s">
        <v>126</v>
      </c>
      <c r="D464" s="43" t="s">
        <v>6</v>
      </c>
      <c r="E464" s="386">
        <f t="shared" ref="E464:F467" si="30">E465</f>
        <v>6157334</v>
      </c>
      <c r="F464" s="386">
        <f t="shared" si="30"/>
        <v>6157334</v>
      </c>
      <c r="G464" s="135"/>
      <c r="H464" s="67"/>
      <c r="I464" s="67"/>
    </row>
    <row r="465" spans="1:9" x14ac:dyDescent="0.25">
      <c r="A465" s="12" t="s">
        <v>196</v>
      </c>
      <c r="B465" s="43" t="s">
        <v>88</v>
      </c>
      <c r="C465" s="43" t="s">
        <v>127</v>
      </c>
      <c r="D465" s="43" t="s">
        <v>6</v>
      </c>
      <c r="E465" s="386">
        <f t="shared" si="30"/>
        <v>6157334</v>
      </c>
      <c r="F465" s="386">
        <f t="shared" si="30"/>
        <v>6157334</v>
      </c>
      <c r="G465" s="135"/>
      <c r="H465" s="67"/>
      <c r="I465" s="67"/>
    </row>
    <row r="466" spans="1:9" x14ac:dyDescent="0.25">
      <c r="A466" s="12" t="s">
        <v>89</v>
      </c>
      <c r="B466" s="43" t="s">
        <v>88</v>
      </c>
      <c r="C466" s="43" t="s">
        <v>142</v>
      </c>
      <c r="D466" s="43" t="s">
        <v>6</v>
      </c>
      <c r="E466" s="386">
        <f t="shared" si="30"/>
        <v>6157334</v>
      </c>
      <c r="F466" s="386">
        <f t="shared" si="30"/>
        <v>6157334</v>
      </c>
      <c r="G466" s="135"/>
      <c r="H466" s="67"/>
      <c r="I466" s="67"/>
    </row>
    <row r="467" spans="1:9" x14ac:dyDescent="0.25">
      <c r="A467" s="12" t="s">
        <v>90</v>
      </c>
      <c r="B467" s="43" t="s">
        <v>88</v>
      </c>
      <c r="C467" s="43" t="s">
        <v>142</v>
      </c>
      <c r="D467" s="43" t="s">
        <v>91</v>
      </c>
      <c r="E467" s="386">
        <f t="shared" si="30"/>
        <v>6157334</v>
      </c>
      <c r="F467" s="386">
        <f t="shared" si="30"/>
        <v>6157334</v>
      </c>
      <c r="G467" s="135"/>
      <c r="H467" s="67"/>
      <c r="I467" s="67"/>
    </row>
    <row r="468" spans="1:9" x14ac:dyDescent="0.25">
      <c r="A468" s="12" t="s">
        <v>92</v>
      </c>
      <c r="B468" s="43" t="s">
        <v>88</v>
      </c>
      <c r="C468" s="43" t="s">
        <v>142</v>
      </c>
      <c r="D468" s="43" t="s">
        <v>93</v>
      </c>
      <c r="E468" s="386">
        <f>'прил 8'!F355</f>
        <v>6157334</v>
      </c>
      <c r="F468" s="386">
        <f>'прил 8'!G355</f>
        <v>6157334</v>
      </c>
      <c r="G468" s="135"/>
      <c r="H468" s="67"/>
      <c r="I468" s="67"/>
    </row>
    <row r="469" spans="1:9" x14ac:dyDescent="0.25">
      <c r="A469" s="12" t="s">
        <v>94</v>
      </c>
      <c r="B469" s="43" t="s">
        <v>95</v>
      </c>
      <c r="C469" s="43" t="s">
        <v>126</v>
      </c>
      <c r="D469" s="43" t="s">
        <v>6</v>
      </c>
      <c r="E469" s="386">
        <f>E470+E475+E480+E485</f>
        <v>2270117.1800000002</v>
      </c>
      <c r="F469" s="386">
        <f>F470+F475+F480+F485</f>
        <v>919595.23</v>
      </c>
      <c r="G469" s="135"/>
      <c r="H469" s="67"/>
      <c r="I469" s="67"/>
    </row>
    <row r="470" spans="1:9" ht="36.700000000000003" x14ac:dyDescent="0.25">
      <c r="A470" s="45" t="s">
        <v>1169</v>
      </c>
      <c r="B470" s="387" t="s">
        <v>95</v>
      </c>
      <c r="C470" s="387" t="s">
        <v>138</v>
      </c>
      <c r="D470" s="387" t="s">
        <v>6</v>
      </c>
      <c r="E470" s="386">
        <f t="shared" ref="E470:F473" si="31">E471</f>
        <v>1310000</v>
      </c>
      <c r="F470" s="386">
        <f t="shared" si="31"/>
        <v>0</v>
      </c>
      <c r="G470" s="135"/>
      <c r="H470" s="67"/>
      <c r="I470" s="67"/>
    </row>
    <row r="471" spans="1:9" x14ac:dyDescent="0.25">
      <c r="A471" s="12" t="s">
        <v>886</v>
      </c>
      <c r="B471" s="43" t="s">
        <v>95</v>
      </c>
      <c r="C471" s="43" t="s">
        <v>667</v>
      </c>
      <c r="D471" s="43" t="s">
        <v>6</v>
      </c>
      <c r="E471" s="386">
        <f t="shared" si="31"/>
        <v>1310000</v>
      </c>
      <c r="F471" s="386">
        <f t="shared" si="31"/>
        <v>0</v>
      </c>
      <c r="G471" s="135"/>
      <c r="H471" s="67"/>
      <c r="I471" s="67"/>
    </row>
    <row r="472" spans="1:9" ht="78.8" customHeight="1" x14ac:dyDescent="0.25">
      <c r="A472" s="31" t="s">
        <v>379</v>
      </c>
      <c r="B472" s="43" t="s">
        <v>95</v>
      </c>
      <c r="C472" s="43" t="s">
        <v>668</v>
      </c>
      <c r="D472" s="43" t="s">
        <v>6</v>
      </c>
      <c r="E472" s="386">
        <f t="shared" si="31"/>
        <v>1310000</v>
      </c>
      <c r="F472" s="386">
        <f t="shared" si="31"/>
        <v>0</v>
      </c>
      <c r="G472" s="135"/>
      <c r="H472" s="67"/>
      <c r="I472" s="67"/>
    </row>
    <row r="473" spans="1:9" x14ac:dyDescent="0.25">
      <c r="A473" s="12" t="s">
        <v>90</v>
      </c>
      <c r="B473" s="43" t="s">
        <v>95</v>
      </c>
      <c r="C473" s="43" t="s">
        <v>668</v>
      </c>
      <c r="D473" s="43" t="s">
        <v>91</v>
      </c>
      <c r="E473" s="386">
        <f t="shared" si="31"/>
        <v>1310000</v>
      </c>
      <c r="F473" s="386">
        <f t="shared" si="31"/>
        <v>0</v>
      </c>
      <c r="G473" s="135"/>
      <c r="H473" s="67"/>
      <c r="I473" s="67"/>
    </row>
    <row r="474" spans="1:9" ht="36.700000000000003" x14ac:dyDescent="0.25">
      <c r="A474" s="12" t="s">
        <v>97</v>
      </c>
      <c r="B474" s="43" t="s">
        <v>95</v>
      </c>
      <c r="C474" s="43" t="s">
        <v>668</v>
      </c>
      <c r="D474" s="43" t="s">
        <v>98</v>
      </c>
      <c r="E474" s="386">
        <f>'прил 8'!F594</f>
        <v>1310000</v>
      </c>
      <c r="F474" s="386">
        <f>'прил 8'!G594</f>
        <v>0</v>
      </c>
      <c r="G474" s="135"/>
      <c r="H474" s="67"/>
      <c r="I474" s="67"/>
    </row>
    <row r="475" spans="1:9" ht="35.5" customHeight="1" x14ac:dyDescent="0.3">
      <c r="A475" s="418" t="s">
        <v>1179</v>
      </c>
      <c r="B475" s="387" t="s">
        <v>95</v>
      </c>
      <c r="C475" s="387" t="s">
        <v>129</v>
      </c>
      <c r="D475" s="387" t="s">
        <v>6</v>
      </c>
      <c r="E475" s="386">
        <f t="shared" ref="E475:F478" si="32">E476</f>
        <v>150000</v>
      </c>
      <c r="F475" s="386">
        <f t="shared" si="32"/>
        <v>150000</v>
      </c>
      <c r="G475" s="135"/>
      <c r="H475" s="67"/>
      <c r="I475" s="67"/>
    </row>
    <row r="476" spans="1:9" ht="37.549999999999997" customHeight="1" x14ac:dyDescent="0.3">
      <c r="A476" s="11" t="s">
        <v>355</v>
      </c>
      <c r="B476" s="43" t="s">
        <v>95</v>
      </c>
      <c r="C476" s="43" t="s">
        <v>386</v>
      </c>
      <c r="D476" s="43" t="s">
        <v>6</v>
      </c>
      <c r="E476" s="386">
        <f t="shared" si="32"/>
        <v>150000</v>
      </c>
      <c r="F476" s="386">
        <f t="shared" si="32"/>
        <v>150000</v>
      </c>
      <c r="G476" s="135"/>
      <c r="H476" s="67"/>
      <c r="I476" s="67"/>
    </row>
    <row r="477" spans="1:9" ht="36.700000000000003" x14ac:dyDescent="0.25">
      <c r="A477" s="12" t="s">
        <v>99</v>
      </c>
      <c r="B477" s="43" t="s">
        <v>95</v>
      </c>
      <c r="C477" s="43" t="s">
        <v>388</v>
      </c>
      <c r="D477" s="43" t="s">
        <v>6</v>
      </c>
      <c r="E477" s="386">
        <f t="shared" si="32"/>
        <v>150000</v>
      </c>
      <c r="F477" s="386">
        <f t="shared" si="32"/>
        <v>150000</v>
      </c>
      <c r="G477" s="135"/>
      <c r="H477" s="67"/>
      <c r="I477" s="67"/>
    </row>
    <row r="478" spans="1:9" x14ac:dyDescent="0.25">
      <c r="A478" s="12" t="s">
        <v>90</v>
      </c>
      <c r="B478" s="43" t="s">
        <v>95</v>
      </c>
      <c r="C478" s="43" t="s">
        <v>388</v>
      </c>
      <c r="D478" s="43" t="s">
        <v>91</v>
      </c>
      <c r="E478" s="386">
        <f t="shared" si="32"/>
        <v>150000</v>
      </c>
      <c r="F478" s="386">
        <f t="shared" si="32"/>
        <v>150000</v>
      </c>
      <c r="G478" s="135"/>
      <c r="H478" s="67"/>
      <c r="I478" s="67"/>
    </row>
    <row r="479" spans="1:9" ht="36.700000000000003" x14ac:dyDescent="0.25">
      <c r="A479" s="12" t="s">
        <v>97</v>
      </c>
      <c r="B479" s="43" t="s">
        <v>95</v>
      </c>
      <c r="C479" s="43" t="s">
        <v>388</v>
      </c>
      <c r="D479" s="43" t="s">
        <v>98</v>
      </c>
      <c r="E479" s="386">
        <f>'прил 8'!F361</f>
        <v>150000</v>
      </c>
      <c r="F479" s="386">
        <f>'прил 8'!G361</f>
        <v>150000</v>
      </c>
      <c r="G479" s="135"/>
      <c r="H479" s="67"/>
      <c r="I479" s="67"/>
    </row>
    <row r="480" spans="1:9" ht="38.25" customHeight="1" x14ac:dyDescent="0.25">
      <c r="A480" s="45" t="s">
        <v>1174</v>
      </c>
      <c r="B480" s="387" t="s">
        <v>95</v>
      </c>
      <c r="C480" s="387" t="s">
        <v>356</v>
      </c>
      <c r="D480" s="387" t="s">
        <v>6</v>
      </c>
      <c r="E480" s="386">
        <f t="shared" ref="E480:F483" si="33">E481</f>
        <v>710117.18</v>
      </c>
      <c r="F480" s="386">
        <f t="shared" si="33"/>
        <v>669595.23</v>
      </c>
      <c r="G480" s="135"/>
      <c r="H480" s="67"/>
      <c r="I480" s="67"/>
    </row>
    <row r="481" spans="1:9" ht="39.25" customHeight="1" x14ac:dyDescent="0.25">
      <c r="A481" s="12" t="s">
        <v>373</v>
      </c>
      <c r="B481" s="43" t="s">
        <v>95</v>
      </c>
      <c r="C481" s="43" t="s">
        <v>357</v>
      </c>
      <c r="D481" s="43" t="s">
        <v>6</v>
      </c>
      <c r="E481" s="386">
        <f t="shared" si="33"/>
        <v>710117.18</v>
      </c>
      <c r="F481" s="386">
        <f t="shared" si="33"/>
        <v>669595.23</v>
      </c>
      <c r="G481" s="135"/>
      <c r="H481" s="67"/>
      <c r="I481" s="67"/>
    </row>
    <row r="482" spans="1:9" ht="42.45" customHeight="1" x14ac:dyDescent="0.25">
      <c r="A482" s="12" t="s">
        <v>847</v>
      </c>
      <c r="B482" s="43" t="s">
        <v>95</v>
      </c>
      <c r="C482" s="43" t="s">
        <v>358</v>
      </c>
      <c r="D482" s="43" t="s">
        <v>6</v>
      </c>
      <c r="E482" s="386">
        <f t="shared" si="33"/>
        <v>710117.18</v>
      </c>
      <c r="F482" s="386">
        <f t="shared" si="33"/>
        <v>669595.23</v>
      </c>
      <c r="G482" s="135"/>
      <c r="H482" s="67"/>
      <c r="I482" s="67"/>
    </row>
    <row r="483" spans="1:9" x14ac:dyDescent="0.25">
      <c r="A483" s="12" t="s">
        <v>90</v>
      </c>
      <c r="B483" s="43" t="s">
        <v>95</v>
      </c>
      <c r="C483" s="43" t="s">
        <v>358</v>
      </c>
      <c r="D483" s="43" t="s">
        <v>91</v>
      </c>
      <c r="E483" s="386">
        <f t="shared" si="33"/>
        <v>710117.18</v>
      </c>
      <c r="F483" s="386">
        <f t="shared" si="33"/>
        <v>669595.23</v>
      </c>
      <c r="G483" s="135"/>
      <c r="H483" s="67"/>
      <c r="I483" s="67"/>
    </row>
    <row r="484" spans="1:9" ht="36.700000000000003" x14ac:dyDescent="0.25">
      <c r="A484" s="12" t="s">
        <v>97</v>
      </c>
      <c r="B484" s="43" t="s">
        <v>95</v>
      </c>
      <c r="C484" s="43" t="s">
        <v>358</v>
      </c>
      <c r="D484" s="43" t="s">
        <v>98</v>
      </c>
      <c r="E484" s="386">
        <f>'прил 8'!F366</f>
        <v>710117.18</v>
      </c>
      <c r="F484" s="386">
        <f>'прил 8'!G366</f>
        <v>669595.23</v>
      </c>
      <c r="G484" s="135"/>
      <c r="H484" s="67"/>
      <c r="I484" s="67"/>
    </row>
    <row r="485" spans="1:9" ht="18.7" customHeight="1" x14ac:dyDescent="0.25">
      <c r="A485" s="12" t="s">
        <v>132</v>
      </c>
      <c r="B485" s="43" t="s">
        <v>95</v>
      </c>
      <c r="C485" s="43" t="s">
        <v>127</v>
      </c>
      <c r="D485" s="43" t="s">
        <v>6</v>
      </c>
      <c r="E485" s="386">
        <f t="shared" ref="E485:F487" si="34">E486</f>
        <v>100000</v>
      </c>
      <c r="F485" s="386">
        <f t="shared" si="34"/>
        <v>100000</v>
      </c>
      <c r="G485" s="135"/>
      <c r="H485" s="67"/>
      <c r="I485" s="67"/>
    </row>
    <row r="486" spans="1:9" ht="18.7" customHeight="1" x14ac:dyDescent="0.25">
      <c r="A486" s="12" t="s">
        <v>480</v>
      </c>
      <c r="B486" s="43" t="s">
        <v>95</v>
      </c>
      <c r="C486" s="43" t="s">
        <v>493</v>
      </c>
      <c r="D486" s="43" t="s">
        <v>6</v>
      </c>
      <c r="E486" s="386">
        <f t="shared" si="34"/>
        <v>100000</v>
      </c>
      <c r="F486" s="386">
        <f t="shared" si="34"/>
        <v>100000</v>
      </c>
      <c r="G486" s="135"/>
      <c r="H486" s="67"/>
      <c r="I486" s="67"/>
    </row>
    <row r="487" spans="1:9" x14ac:dyDescent="0.25">
      <c r="A487" s="12" t="s">
        <v>90</v>
      </c>
      <c r="B487" s="43" t="s">
        <v>95</v>
      </c>
      <c r="C487" s="43" t="s">
        <v>493</v>
      </c>
      <c r="D487" s="43" t="s">
        <v>91</v>
      </c>
      <c r="E487" s="386">
        <f t="shared" si="34"/>
        <v>100000</v>
      </c>
      <c r="F487" s="386">
        <f t="shared" si="34"/>
        <v>100000</v>
      </c>
      <c r="G487" s="135"/>
      <c r="H487" s="67"/>
      <c r="I487" s="67"/>
    </row>
    <row r="488" spans="1:9" x14ac:dyDescent="0.25">
      <c r="A488" s="12" t="s">
        <v>298</v>
      </c>
      <c r="B488" s="43" t="s">
        <v>95</v>
      </c>
      <c r="C488" s="43" t="s">
        <v>493</v>
      </c>
      <c r="D488" s="43" t="s">
        <v>299</v>
      </c>
      <c r="E488" s="386">
        <f>'прил 8'!F370</f>
        <v>100000</v>
      </c>
      <c r="F488" s="386">
        <f>'прил 8'!G370</f>
        <v>100000</v>
      </c>
      <c r="G488" s="135"/>
      <c r="H488" s="67"/>
      <c r="I488" s="67"/>
    </row>
    <row r="489" spans="1:9" x14ac:dyDescent="0.25">
      <c r="A489" s="12" t="s">
        <v>123</v>
      </c>
      <c r="B489" s="43" t="s">
        <v>124</v>
      </c>
      <c r="C489" s="43" t="s">
        <v>126</v>
      </c>
      <c r="D489" s="43" t="s">
        <v>6</v>
      </c>
      <c r="E489" s="386">
        <f>E490+E498</f>
        <v>31102883.219999999</v>
      </c>
      <c r="F489" s="386">
        <f>F490+F498</f>
        <v>40667325.730000004</v>
      </c>
      <c r="G489" s="135"/>
      <c r="H489" s="67"/>
      <c r="I489" s="67"/>
    </row>
    <row r="490" spans="1:9" ht="36.700000000000003" x14ac:dyDescent="0.25">
      <c r="A490" s="45" t="s">
        <v>1170</v>
      </c>
      <c r="B490" s="387" t="s">
        <v>124</v>
      </c>
      <c r="C490" s="387" t="s">
        <v>138</v>
      </c>
      <c r="D490" s="387" t="s">
        <v>6</v>
      </c>
      <c r="E490" s="386">
        <f t="shared" ref="E490:F492" si="35">E491</f>
        <v>4081437</v>
      </c>
      <c r="F490" s="386">
        <f t="shared" si="35"/>
        <v>4244892</v>
      </c>
      <c r="G490" s="135"/>
      <c r="H490" s="67"/>
      <c r="I490" s="67"/>
    </row>
    <row r="491" spans="1:9" ht="36.700000000000003" x14ac:dyDescent="0.25">
      <c r="A491" s="12" t="s">
        <v>1038</v>
      </c>
      <c r="B491" s="43" t="s">
        <v>124</v>
      </c>
      <c r="C491" s="43" t="s">
        <v>139</v>
      </c>
      <c r="D491" s="43" t="s">
        <v>6</v>
      </c>
      <c r="E491" s="386">
        <f t="shared" si="35"/>
        <v>4081437</v>
      </c>
      <c r="F491" s="386">
        <f t="shared" si="35"/>
        <v>4244892</v>
      </c>
      <c r="G491" s="135"/>
    </row>
    <row r="492" spans="1:9" ht="20.25" customHeight="1" x14ac:dyDescent="0.25">
      <c r="A492" s="12" t="s">
        <v>202</v>
      </c>
      <c r="B492" s="43" t="s">
        <v>124</v>
      </c>
      <c r="C492" s="43" t="s">
        <v>231</v>
      </c>
      <c r="D492" s="43" t="s">
        <v>6</v>
      </c>
      <c r="E492" s="386">
        <f t="shared" si="35"/>
        <v>4081437</v>
      </c>
      <c r="F492" s="386">
        <f t="shared" si="35"/>
        <v>4244892</v>
      </c>
      <c r="G492" s="135"/>
    </row>
    <row r="493" spans="1:9" ht="72.7" customHeight="1" x14ac:dyDescent="0.25">
      <c r="A493" s="31" t="s">
        <v>938</v>
      </c>
      <c r="B493" s="43" t="s">
        <v>124</v>
      </c>
      <c r="C493" s="43" t="s">
        <v>156</v>
      </c>
      <c r="D493" s="43" t="s">
        <v>6</v>
      </c>
      <c r="E493" s="386">
        <f>E496+E494</f>
        <v>4081437</v>
      </c>
      <c r="F493" s="386">
        <f>F496+F494</f>
        <v>4244892</v>
      </c>
      <c r="G493" s="135"/>
    </row>
    <row r="494" spans="1:9" ht="36.700000000000003" customHeight="1" x14ac:dyDescent="0.25">
      <c r="A494" s="423" t="s">
        <v>15</v>
      </c>
      <c r="B494" s="425" t="s">
        <v>124</v>
      </c>
      <c r="C494" s="425" t="s">
        <v>156</v>
      </c>
      <c r="D494" s="425" t="s">
        <v>16</v>
      </c>
      <c r="E494" s="386">
        <f>E495</f>
        <v>30000</v>
      </c>
      <c r="F494" s="386">
        <f>F495</f>
        <v>30000</v>
      </c>
      <c r="G494" s="135"/>
    </row>
    <row r="495" spans="1:9" ht="36.700000000000003" customHeight="1" x14ac:dyDescent="0.25">
      <c r="A495" s="423" t="s">
        <v>17</v>
      </c>
      <c r="B495" s="425" t="s">
        <v>124</v>
      </c>
      <c r="C495" s="425" t="s">
        <v>156</v>
      </c>
      <c r="D495" s="425" t="s">
        <v>18</v>
      </c>
      <c r="E495" s="386">
        <f>'прил 8'!F601</f>
        <v>30000</v>
      </c>
      <c r="F495" s="386">
        <f>'прил 8'!G601</f>
        <v>30000</v>
      </c>
      <c r="G495" s="135"/>
    </row>
    <row r="496" spans="1:9" x14ac:dyDescent="0.25">
      <c r="A496" s="12" t="s">
        <v>90</v>
      </c>
      <c r="B496" s="43" t="s">
        <v>124</v>
      </c>
      <c r="C496" s="43" t="s">
        <v>156</v>
      </c>
      <c r="D496" s="43" t="s">
        <v>91</v>
      </c>
      <c r="E496" s="386">
        <f>E497</f>
        <v>4051437</v>
      </c>
      <c r="F496" s="386">
        <f>F497</f>
        <v>4214892</v>
      </c>
      <c r="G496" s="135"/>
    </row>
    <row r="497" spans="1:7" ht="34" customHeight="1" x14ac:dyDescent="0.25">
      <c r="A497" s="12" t="s">
        <v>92</v>
      </c>
      <c r="B497" s="43" t="s">
        <v>124</v>
      </c>
      <c r="C497" s="43" t="s">
        <v>156</v>
      </c>
      <c r="D497" s="43" t="s">
        <v>93</v>
      </c>
      <c r="E497" s="386">
        <f>'прил 8'!F603</f>
        <v>4051437</v>
      </c>
      <c r="F497" s="386">
        <f>'прил 8'!G603</f>
        <v>4214892</v>
      </c>
      <c r="G497" s="135"/>
    </row>
    <row r="498" spans="1:7" ht="18.7" customHeight="1" x14ac:dyDescent="0.25">
      <c r="A498" s="12" t="s">
        <v>132</v>
      </c>
      <c r="B498" s="43" t="s">
        <v>124</v>
      </c>
      <c r="C498" s="43" t="s">
        <v>127</v>
      </c>
      <c r="D498" s="43" t="s">
        <v>6</v>
      </c>
      <c r="E498" s="386">
        <f>E499</f>
        <v>27021446.219999999</v>
      </c>
      <c r="F498" s="386">
        <f>F499</f>
        <v>36422433.730000004</v>
      </c>
      <c r="G498" s="135"/>
    </row>
    <row r="499" spans="1:7" x14ac:dyDescent="0.25">
      <c r="A499" s="12" t="s">
        <v>269</v>
      </c>
      <c r="B499" s="43" t="s">
        <v>124</v>
      </c>
      <c r="C499" s="43" t="s">
        <v>268</v>
      </c>
      <c r="D499" s="43" t="s">
        <v>6</v>
      </c>
      <c r="E499" s="386">
        <f>E506+E500</f>
        <v>27021446.219999999</v>
      </c>
      <c r="F499" s="386">
        <f>F506+F500</f>
        <v>36422433.730000004</v>
      </c>
      <c r="G499" s="135"/>
    </row>
    <row r="500" spans="1:7" ht="55.7" customHeight="1" x14ac:dyDescent="0.25">
      <c r="A500" s="31" t="s">
        <v>934</v>
      </c>
      <c r="B500" s="43" t="s">
        <v>124</v>
      </c>
      <c r="C500" s="43" t="s">
        <v>399</v>
      </c>
      <c r="D500" s="43" t="s">
        <v>6</v>
      </c>
      <c r="E500" s="386">
        <f>E501+E503</f>
        <v>17101159.710000001</v>
      </c>
      <c r="F500" s="386">
        <f>F501+F503</f>
        <v>17784560.02</v>
      </c>
      <c r="G500" s="135"/>
    </row>
    <row r="501" spans="1:7" ht="36.700000000000003" x14ac:dyDescent="0.25">
      <c r="A501" s="12" t="s">
        <v>15</v>
      </c>
      <c r="B501" s="43" t="s">
        <v>124</v>
      </c>
      <c r="C501" s="43" t="s">
        <v>399</v>
      </c>
      <c r="D501" s="43" t="s">
        <v>16</v>
      </c>
      <c r="E501" s="386">
        <f>E502</f>
        <v>130000</v>
      </c>
      <c r="F501" s="386">
        <f>F502</f>
        <v>130000</v>
      </c>
      <c r="G501" s="135"/>
    </row>
    <row r="502" spans="1:7" ht="36.700000000000003" x14ac:dyDescent="0.25">
      <c r="A502" s="12" t="s">
        <v>17</v>
      </c>
      <c r="B502" s="43" t="s">
        <v>124</v>
      </c>
      <c r="C502" s="43" t="s">
        <v>399</v>
      </c>
      <c r="D502" s="43" t="s">
        <v>18</v>
      </c>
      <c r="E502" s="386">
        <f>'прил 8'!F376</f>
        <v>130000</v>
      </c>
      <c r="F502" s="386">
        <f>'прил 8'!G376</f>
        <v>130000</v>
      </c>
      <c r="G502" s="135"/>
    </row>
    <row r="503" spans="1:7" x14ac:dyDescent="0.25">
      <c r="A503" s="12" t="s">
        <v>90</v>
      </c>
      <c r="B503" s="43" t="s">
        <v>124</v>
      </c>
      <c r="C503" s="43" t="s">
        <v>399</v>
      </c>
      <c r="D503" s="43" t="s">
        <v>91</v>
      </c>
      <c r="E503" s="386">
        <f>E504+E505</f>
        <v>16971159.710000001</v>
      </c>
      <c r="F503" s="386">
        <f>F504+F505</f>
        <v>17654560.02</v>
      </c>
      <c r="G503" s="135"/>
    </row>
    <row r="504" spans="1:7" x14ac:dyDescent="0.25">
      <c r="A504" s="12" t="s">
        <v>92</v>
      </c>
      <c r="B504" s="43" t="s">
        <v>124</v>
      </c>
      <c r="C504" s="43" t="s">
        <v>399</v>
      </c>
      <c r="D504" s="43" t="s">
        <v>93</v>
      </c>
      <c r="E504" s="386">
        <f>'прил 8'!F378</f>
        <v>14971159.710000001</v>
      </c>
      <c r="F504" s="386">
        <f>'прил 8'!G378</f>
        <v>15654560.02</v>
      </c>
      <c r="G504" s="135"/>
    </row>
    <row r="505" spans="1:7" ht="38.049999999999997" customHeight="1" x14ac:dyDescent="0.25">
      <c r="A505" s="12" t="s">
        <v>97</v>
      </c>
      <c r="B505" s="43" t="s">
        <v>124</v>
      </c>
      <c r="C505" s="43" t="s">
        <v>399</v>
      </c>
      <c r="D505" s="43" t="s">
        <v>98</v>
      </c>
      <c r="E505" s="386">
        <f>'прил 8'!F379</f>
        <v>2000000</v>
      </c>
      <c r="F505" s="386">
        <f>'прил 8'!G379</f>
        <v>2000000</v>
      </c>
      <c r="G505" s="135"/>
    </row>
    <row r="506" spans="1:7" ht="73.55" customHeight="1" x14ac:dyDescent="0.25">
      <c r="A506" s="44" t="s">
        <v>959</v>
      </c>
      <c r="B506" s="43" t="s">
        <v>124</v>
      </c>
      <c r="C506" s="425" t="s">
        <v>1114</v>
      </c>
      <c r="D506" s="43" t="s">
        <v>6</v>
      </c>
      <c r="E506" s="386">
        <f>E507</f>
        <v>9920286.5099999998</v>
      </c>
      <c r="F506" s="386">
        <f>F507</f>
        <v>18637873.710000001</v>
      </c>
      <c r="G506" s="135"/>
    </row>
    <row r="507" spans="1:7" ht="39.25" customHeight="1" x14ac:dyDescent="0.25">
      <c r="A507" s="12" t="s">
        <v>258</v>
      </c>
      <c r="B507" s="43" t="s">
        <v>124</v>
      </c>
      <c r="C507" s="425" t="s">
        <v>1114</v>
      </c>
      <c r="D507" s="43" t="s">
        <v>259</v>
      </c>
      <c r="E507" s="386">
        <f>E508</f>
        <v>9920286.5099999998</v>
      </c>
      <c r="F507" s="386">
        <f>F508</f>
        <v>18637873.710000001</v>
      </c>
      <c r="G507" s="135"/>
    </row>
    <row r="508" spans="1:7" x14ac:dyDescent="0.25">
      <c r="A508" s="12" t="s">
        <v>260</v>
      </c>
      <c r="B508" s="43" t="s">
        <v>124</v>
      </c>
      <c r="C508" s="425" t="s">
        <v>1114</v>
      </c>
      <c r="D508" s="43" t="s">
        <v>261</v>
      </c>
      <c r="E508" s="386">
        <f>'прил 8'!F382</f>
        <v>9920286.5099999998</v>
      </c>
      <c r="F508" s="386">
        <f>'прил 8'!G382</f>
        <v>18637873.710000001</v>
      </c>
      <c r="G508" s="135"/>
    </row>
    <row r="509" spans="1:7" x14ac:dyDescent="0.25">
      <c r="A509" s="423" t="s">
        <v>1052</v>
      </c>
      <c r="B509" s="425" t="s">
        <v>1053</v>
      </c>
      <c r="C509" s="425" t="s">
        <v>126</v>
      </c>
      <c r="D509" s="425" t="s">
        <v>6</v>
      </c>
      <c r="E509" s="386">
        <f t="shared" ref="E509:F513" si="36">E510</f>
        <v>114000</v>
      </c>
      <c r="F509" s="386">
        <f t="shared" si="36"/>
        <v>114000</v>
      </c>
      <c r="G509" s="135"/>
    </row>
    <row r="510" spans="1:7" ht="36.700000000000003" x14ac:dyDescent="0.25">
      <c r="A510" s="45" t="s">
        <v>1164</v>
      </c>
      <c r="B510" s="425" t="s">
        <v>1053</v>
      </c>
      <c r="C510" s="425" t="s">
        <v>136</v>
      </c>
      <c r="D510" s="425" t="s">
        <v>6</v>
      </c>
      <c r="E510" s="386">
        <f t="shared" si="36"/>
        <v>114000</v>
      </c>
      <c r="F510" s="386">
        <f t="shared" si="36"/>
        <v>114000</v>
      </c>
      <c r="G510" s="135"/>
    </row>
    <row r="511" spans="1:7" x14ac:dyDescent="0.25">
      <c r="A511" s="423" t="s">
        <v>208</v>
      </c>
      <c r="B511" s="425" t="s">
        <v>1053</v>
      </c>
      <c r="C511" s="425" t="s">
        <v>226</v>
      </c>
      <c r="D511" s="425" t="s">
        <v>6</v>
      </c>
      <c r="E511" s="386">
        <f t="shared" si="36"/>
        <v>114000</v>
      </c>
      <c r="F511" s="386">
        <f t="shared" si="36"/>
        <v>114000</v>
      </c>
      <c r="G511" s="135"/>
    </row>
    <row r="512" spans="1:7" x14ac:dyDescent="0.25">
      <c r="A512" s="423" t="s">
        <v>83</v>
      </c>
      <c r="B512" s="425" t="s">
        <v>1053</v>
      </c>
      <c r="C512" s="425" t="s">
        <v>140</v>
      </c>
      <c r="D512" s="425" t="s">
        <v>6</v>
      </c>
      <c r="E512" s="386">
        <f t="shared" si="36"/>
        <v>114000</v>
      </c>
      <c r="F512" s="386">
        <f t="shared" si="36"/>
        <v>114000</v>
      </c>
      <c r="G512" s="135"/>
    </row>
    <row r="513" spans="1:8" ht="36.700000000000003" x14ac:dyDescent="0.25">
      <c r="A513" s="423" t="s">
        <v>37</v>
      </c>
      <c r="B513" s="425" t="s">
        <v>1053</v>
      </c>
      <c r="C513" s="425" t="s">
        <v>140</v>
      </c>
      <c r="D513" s="425" t="s">
        <v>38</v>
      </c>
      <c r="E513" s="386">
        <f t="shared" si="36"/>
        <v>114000</v>
      </c>
      <c r="F513" s="386">
        <f t="shared" si="36"/>
        <v>114000</v>
      </c>
      <c r="G513" s="135"/>
    </row>
    <row r="514" spans="1:8" ht="36.700000000000003" x14ac:dyDescent="0.25">
      <c r="A514" s="423" t="s">
        <v>354</v>
      </c>
      <c r="B514" s="425" t="s">
        <v>1053</v>
      </c>
      <c r="C514" s="425" t="s">
        <v>140</v>
      </c>
      <c r="D514" s="425" t="s">
        <v>248</v>
      </c>
      <c r="E514" s="386">
        <f>'прил 8'!F388</f>
        <v>114000</v>
      </c>
      <c r="F514" s="386">
        <f>'прил 8'!G388</f>
        <v>114000</v>
      </c>
      <c r="G514" s="135"/>
    </row>
    <row r="515" spans="1:8" x14ac:dyDescent="0.25">
      <c r="A515" s="45" t="s">
        <v>100</v>
      </c>
      <c r="B515" s="387" t="s">
        <v>101</v>
      </c>
      <c r="C515" s="387" t="s">
        <v>126</v>
      </c>
      <c r="D515" s="387" t="s">
        <v>6</v>
      </c>
      <c r="E515" s="52">
        <f>E516</f>
        <v>983256.32000000007</v>
      </c>
      <c r="F515" s="52">
        <f>F516</f>
        <v>983503.63000000012</v>
      </c>
      <c r="G515" s="144"/>
      <c r="H515" s="144" t="e">
        <f>#REF!</f>
        <v>#REF!</v>
      </c>
    </row>
    <row r="516" spans="1:8" x14ac:dyDescent="0.25">
      <c r="A516" s="12" t="s">
        <v>291</v>
      </c>
      <c r="B516" s="43" t="s">
        <v>290</v>
      </c>
      <c r="C516" s="43" t="s">
        <v>126</v>
      </c>
      <c r="D516" s="43" t="s">
        <v>6</v>
      </c>
      <c r="E516" s="386">
        <f>E517+E530</f>
        <v>983256.32000000007</v>
      </c>
      <c r="F516" s="386">
        <f>F517+F530</f>
        <v>983503.63000000012</v>
      </c>
      <c r="G516" s="135"/>
    </row>
    <row r="517" spans="1:8" ht="35.5" customHeight="1" x14ac:dyDescent="0.3">
      <c r="A517" s="418" t="s">
        <v>1167</v>
      </c>
      <c r="B517" s="387" t="s">
        <v>290</v>
      </c>
      <c r="C517" s="387" t="s">
        <v>198</v>
      </c>
      <c r="D517" s="387" t="s">
        <v>6</v>
      </c>
      <c r="E517" s="386">
        <f>E518</f>
        <v>933256.32000000007</v>
      </c>
      <c r="F517" s="386">
        <f>F518</f>
        <v>933503.63000000012</v>
      </c>
      <c r="G517" s="135"/>
    </row>
    <row r="518" spans="1:8" ht="35.5" customHeight="1" x14ac:dyDescent="0.3">
      <c r="A518" s="11" t="s">
        <v>731</v>
      </c>
      <c r="B518" s="43" t="s">
        <v>290</v>
      </c>
      <c r="C518" s="43" t="s">
        <v>227</v>
      </c>
      <c r="D518" s="43" t="s">
        <v>6</v>
      </c>
      <c r="E518" s="386">
        <f>E519+E524+E527</f>
        <v>933256.32000000007</v>
      </c>
      <c r="F518" s="386">
        <f>F519+F524+F527</f>
        <v>933503.63000000012</v>
      </c>
      <c r="G518" s="135"/>
    </row>
    <row r="519" spans="1:8" ht="18.7" customHeight="1" x14ac:dyDescent="0.25">
      <c r="A519" s="12" t="s">
        <v>102</v>
      </c>
      <c r="B519" s="43" t="s">
        <v>290</v>
      </c>
      <c r="C519" s="43" t="s">
        <v>199</v>
      </c>
      <c r="D519" s="43" t="s">
        <v>6</v>
      </c>
      <c r="E519" s="386">
        <f>E520+E522</f>
        <v>661000</v>
      </c>
      <c r="F519" s="386">
        <f>F520+F522</f>
        <v>661000</v>
      </c>
      <c r="G519" s="135"/>
    </row>
    <row r="520" spans="1:8" ht="18" customHeight="1" x14ac:dyDescent="0.25">
      <c r="A520" s="12" t="s">
        <v>15</v>
      </c>
      <c r="B520" s="43" t="s">
        <v>290</v>
      </c>
      <c r="C520" s="43" t="s">
        <v>199</v>
      </c>
      <c r="D520" s="43" t="s">
        <v>16</v>
      </c>
      <c r="E520" s="386">
        <f>E521</f>
        <v>631000</v>
      </c>
      <c r="F520" s="386">
        <f>F521</f>
        <v>631000</v>
      </c>
      <c r="G520" s="135"/>
    </row>
    <row r="521" spans="1:8" ht="34.5" customHeight="1" x14ac:dyDescent="0.3">
      <c r="A521" s="11" t="s">
        <v>17</v>
      </c>
      <c r="B521" s="43" t="s">
        <v>290</v>
      </c>
      <c r="C521" s="43" t="s">
        <v>199</v>
      </c>
      <c r="D521" s="43" t="s">
        <v>18</v>
      </c>
      <c r="E521" s="386">
        <f>'прил 8'!F395</f>
        <v>631000</v>
      </c>
      <c r="F521" s="386">
        <f>'прил 8'!G395</f>
        <v>631000</v>
      </c>
      <c r="G521" s="135"/>
    </row>
    <row r="522" spans="1:8" ht="19.55" customHeight="1" x14ac:dyDescent="0.25">
      <c r="A522" s="12" t="s">
        <v>265</v>
      </c>
      <c r="B522" s="43" t="s">
        <v>290</v>
      </c>
      <c r="C522" s="43" t="s">
        <v>199</v>
      </c>
      <c r="D522" s="43" t="s">
        <v>20</v>
      </c>
      <c r="E522" s="386">
        <f>E523</f>
        <v>30000</v>
      </c>
      <c r="F522" s="386">
        <f>F523</f>
        <v>30000</v>
      </c>
      <c r="G522" s="135"/>
    </row>
    <row r="523" spans="1:8" ht="19.55" customHeight="1" x14ac:dyDescent="0.25">
      <c r="A523" s="12" t="s">
        <v>266</v>
      </c>
      <c r="B523" s="43" t="s">
        <v>290</v>
      </c>
      <c r="C523" s="43" t="s">
        <v>199</v>
      </c>
      <c r="D523" s="43" t="s">
        <v>22</v>
      </c>
      <c r="E523" s="386">
        <f>'прил 8'!F397</f>
        <v>30000</v>
      </c>
      <c r="F523" s="386">
        <f>'прил 8'!G397</f>
        <v>30000</v>
      </c>
      <c r="G523" s="135"/>
    </row>
    <row r="524" spans="1:8" ht="61.15" customHeight="1" x14ac:dyDescent="0.25">
      <c r="A524" s="12" t="s">
        <v>955</v>
      </c>
      <c r="B524" s="43" t="s">
        <v>290</v>
      </c>
      <c r="C524" s="43" t="s">
        <v>860</v>
      </c>
      <c r="D524" s="401" t="s">
        <v>6</v>
      </c>
      <c r="E524" s="386">
        <f>E525</f>
        <v>269533.76</v>
      </c>
      <c r="F524" s="386">
        <f>F525</f>
        <v>269778.59000000003</v>
      </c>
      <c r="G524" s="135"/>
    </row>
    <row r="525" spans="1:8" ht="19.55" customHeight="1" x14ac:dyDescent="0.25">
      <c r="A525" s="12" t="s">
        <v>37</v>
      </c>
      <c r="B525" s="43" t="s">
        <v>290</v>
      </c>
      <c r="C525" s="43" t="s">
        <v>860</v>
      </c>
      <c r="D525" s="401" t="s">
        <v>16</v>
      </c>
      <c r="E525" s="386">
        <f>E526</f>
        <v>269533.76</v>
      </c>
      <c r="F525" s="386">
        <f>F526</f>
        <v>269778.59000000003</v>
      </c>
      <c r="G525" s="135"/>
    </row>
    <row r="526" spans="1:8" ht="18" customHeight="1" x14ac:dyDescent="0.25">
      <c r="A526" s="12" t="s">
        <v>74</v>
      </c>
      <c r="B526" s="43" t="s">
        <v>290</v>
      </c>
      <c r="C526" s="43" t="s">
        <v>860</v>
      </c>
      <c r="D526" s="401" t="s">
        <v>18</v>
      </c>
      <c r="E526" s="386">
        <f>'прил 8'!F400</f>
        <v>269533.76</v>
      </c>
      <c r="F526" s="386">
        <f>'прил 8'!G400</f>
        <v>269778.59000000003</v>
      </c>
      <c r="G526" s="135"/>
    </row>
    <row r="527" spans="1:8" ht="38.9" customHeight="1" x14ac:dyDescent="0.25">
      <c r="A527" s="12" t="s">
        <v>1004</v>
      </c>
      <c r="B527" s="43" t="s">
        <v>290</v>
      </c>
      <c r="C527" s="43" t="s">
        <v>292</v>
      </c>
      <c r="D527" s="401" t="s">
        <v>6</v>
      </c>
      <c r="E527" s="386">
        <f>E528</f>
        <v>2722.56</v>
      </c>
      <c r="F527" s="386">
        <f>F528</f>
        <v>2725.04</v>
      </c>
      <c r="G527" s="135"/>
    </row>
    <row r="528" spans="1:8" ht="39.25" customHeight="1" x14ac:dyDescent="0.25">
      <c r="A528" s="12" t="s">
        <v>15</v>
      </c>
      <c r="B528" s="43" t="s">
        <v>290</v>
      </c>
      <c r="C528" s="43" t="s">
        <v>292</v>
      </c>
      <c r="D528" s="401" t="s">
        <v>16</v>
      </c>
      <c r="E528" s="386">
        <f>E529</f>
        <v>2722.56</v>
      </c>
      <c r="F528" s="386">
        <f>F529</f>
        <v>2725.04</v>
      </c>
      <c r="G528" s="135"/>
    </row>
    <row r="529" spans="1:8" ht="39.75" customHeight="1" x14ac:dyDescent="0.25">
      <c r="A529" s="12" t="s">
        <v>17</v>
      </c>
      <c r="B529" s="43" t="s">
        <v>290</v>
      </c>
      <c r="C529" s="43" t="s">
        <v>292</v>
      </c>
      <c r="D529" s="401" t="s">
        <v>18</v>
      </c>
      <c r="E529" s="386">
        <f>'прил 8'!F403</f>
        <v>2722.56</v>
      </c>
      <c r="F529" s="386">
        <f>'прил 8'!G403</f>
        <v>2725.04</v>
      </c>
      <c r="G529" s="135"/>
    </row>
    <row r="530" spans="1:8" ht="36.700000000000003" x14ac:dyDescent="0.25">
      <c r="A530" s="45" t="s">
        <v>1168</v>
      </c>
      <c r="B530" s="387" t="s">
        <v>290</v>
      </c>
      <c r="C530" s="387" t="s">
        <v>419</v>
      </c>
      <c r="D530" s="387" t="s">
        <v>6</v>
      </c>
      <c r="E530" s="386">
        <f t="shared" ref="E530:F533" si="37">E531</f>
        <v>50000</v>
      </c>
      <c r="F530" s="386">
        <f t="shared" si="37"/>
        <v>50000</v>
      </c>
      <c r="G530" s="135"/>
    </row>
    <row r="531" spans="1:8" ht="19.55" customHeight="1" x14ac:dyDescent="0.25">
      <c r="A531" s="12" t="s">
        <v>420</v>
      </c>
      <c r="B531" s="43" t="s">
        <v>290</v>
      </c>
      <c r="C531" s="43" t="s">
        <v>421</v>
      </c>
      <c r="D531" s="43" t="s">
        <v>6</v>
      </c>
      <c r="E531" s="386">
        <f t="shared" si="37"/>
        <v>50000</v>
      </c>
      <c r="F531" s="386">
        <f t="shared" si="37"/>
        <v>50000</v>
      </c>
      <c r="G531" s="135"/>
    </row>
    <row r="532" spans="1:8" ht="36.700000000000003" x14ac:dyDescent="0.25">
      <c r="A532" s="12" t="s">
        <v>422</v>
      </c>
      <c r="B532" s="43" t="s">
        <v>290</v>
      </c>
      <c r="C532" s="43" t="s">
        <v>423</v>
      </c>
      <c r="D532" s="43" t="s">
        <v>6</v>
      </c>
      <c r="E532" s="386">
        <f t="shared" si="37"/>
        <v>50000</v>
      </c>
      <c r="F532" s="386">
        <f t="shared" si="37"/>
        <v>50000</v>
      </c>
      <c r="G532" s="135"/>
    </row>
    <row r="533" spans="1:8" ht="20.25" customHeight="1" x14ac:dyDescent="0.25">
      <c r="A533" s="12" t="s">
        <v>15</v>
      </c>
      <c r="B533" s="43" t="s">
        <v>290</v>
      </c>
      <c r="C533" s="43" t="s">
        <v>423</v>
      </c>
      <c r="D533" s="43" t="s">
        <v>16</v>
      </c>
      <c r="E533" s="386">
        <f t="shared" si="37"/>
        <v>50000</v>
      </c>
      <c r="F533" s="386">
        <f t="shared" si="37"/>
        <v>50000</v>
      </c>
      <c r="G533" s="135"/>
    </row>
    <row r="534" spans="1:8" ht="36.700000000000003" x14ac:dyDescent="0.25">
      <c r="A534" s="12" t="s">
        <v>17</v>
      </c>
      <c r="B534" s="43" t="s">
        <v>290</v>
      </c>
      <c r="C534" s="43" t="s">
        <v>423</v>
      </c>
      <c r="D534" s="43" t="s">
        <v>18</v>
      </c>
      <c r="E534" s="386">
        <f>'прил 8'!F408</f>
        <v>50000</v>
      </c>
      <c r="F534" s="386">
        <f>'прил 8'!G408</f>
        <v>50000</v>
      </c>
      <c r="G534" s="135"/>
    </row>
    <row r="535" spans="1:8" x14ac:dyDescent="0.25">
      <c r="A535" s="45" t="s">
        <v>103</v>
      </c>
      <c r="B535" s="387" t="s">
        <v>104</v>
      </c>
      <c r="C535" s="387" t="s">
        <v>126</v>
      </c>
      <c r="D535" s="387" t="s">
        <v>6</v>
      </c>
      <c r="E535" s="52">
        <f t="shared" ref="E535:F540" si="38">E536</f>
        <v>2500000</v>
      </c>
      <c r="F535" s="52">
        <f t="shared" si="38"/>
        <v>2500000</v>
      </c>
      <c r="G535" s="144"/>
      <c r="H535" s="144" t="e">
        <f>#REF!</f>
        <v>#REF!</v>
      </c>
    </row>
    <row r="536" spans="1:8" x14ac:dyDescent="0.25">
      <c r="A536" s="12" t="s">
        <v>105</v>
      </c>
      <c r="B536" s="43" t="s">
        <v>106</v>
      </c>
      <c r="C536" s="43" t="s">
        <v>126</v>
      </c>
      <c r="D536" s="43" t="s">
        <v>6</v>
      </c>
      <c r="E536" s="386">
        <f t="shared" si="38"/>
        <v>2500000</v>
      </c>
      <c r="F536" s="386">
        <f t="shared" si="38"/>
        <v>2500000</v>
      </c>
      <c r="G536" s="135"/>
    </row>
    <row r="537" spans="1:8" ht="38.25" customHeight="1" x14ac:dyDescent="0.25">
      <c r="A537" s="45" t="s">
        <v>1150</v>
      </c>
      <c r="B537" s="387" t="s">
        <v>106</v>
      </c>
      <c r="C537" s="387" t="s">
        <v>305</v>
      </c>
      <c r="D537" s="387" t="s">
        <v>6</v>
      </c>
      <c r="E537" s="386">
        <f t="shared" si="38"/>
        <v>2500000</v>
      </c>
      <c r="F537" s="386">
        <f t="shared" si="38"/>
        <v>2500000</v>
      </c>
      <c r="G537" s="135"/>
    </row>
    <row r="538" spans="1:8" ht="36.700000000000003" x14ac:dyDescent="0.25">
      <c r="A538" s="12" t="s">
        <v>315</v>
      </c>
      <c r="B538" s="43" t="s">
        <v>106</v>
      </c>
      <c r="C538" s="43" t="s">
        <v>306</v>
      </c>
      <c r="D538" s="43" t="s">
        <v>6</v>
      </c>
      <c r="E538" s="386">
        <f t="shared" si="38"/>
        <v>2500000</v>
      </c>
      <c r="F538" s="386">
        <f t="shared" si="38"/>
        <v>2500000</v>
      </c>
      <c r="G538" s="135"/>
    </row>
    <row r="539" spans="1:8" ht="39.75" customHeight="1" x14ac:dyDescent="0.25">
      <c r="A539" s="12" t="s">
        <v>107</v>
      </c>
      <c r="B539" s="43" t="s">
        <v>106</v>
      </c>
      <c r="C539" s="43" t="s">
        <v>307</v>
      </c>
      <c r="D539" s="43" t="s">
        <v>6</v>
      </c>
      <c r="E539" s="386">
        <f t="shared" si="38"/>
        <v>2500000</v>
      </c>
      <c r="F539" s="386">
        <f t="shared" si="38"/>
        <v>2500000</v>
      </c>
      <c r="G539" s="135"/>
    </row>
    <row r="540" spans="1:8" ht="36.700000000000003" x14ac:dyDescent="0.25">
      <c r="A540" s="12" t="s">
        <v>37</v>
      </c>
      <c r="B540" s="43" t="s">
        <v>106</v>
      </c>
      <c r="C540" s="43" t="s">
        <v>307</v>
      </c>
      <c r="D540" s="43" t="s">
        <v>38</v>
      </c>
      <c r="E540" s="386">
        <f t="shared" si="38"/>
        <v>2500000</v>
      </c>
      <c r="F540" s="386">
        <f t="shared" si="38"/>
        <v>2500000</v>
      </c>
      <c r="G540" s="135"/>
    </row>
    <row r="541" spans="1:8" x14ac:dyDescent="0.25">
      <c r="A541" s="12" t="s">
        <v>39</v>
      </c>
      <c r="B541" s="43" t="s">
        <v>106</v>
      </c>
      <c r="C541" s="43" t="s">
        <v>307</v>
      </c>
      <c r="D541" s="43" t="s">
        <v>40</v>
      </c>
      <c r="E541" s="386">
        <f>'прил 8'!F415</f>
        <v>2500000</v>
      </c>
      <c r="F541" s="386">
        <f>'прил 8'!G415</f>
        <v>2500000</v>
      </c>
      <c r="G541" s="135"/>
    </row>
    <row r="542" spans="1:8" x14ac:dyDescent="0.3">
      <c r="A542" s="663" t="s">
        <v>118</v>
      </c>
      <c r="B542" s="663"/>
      <c r="C542" s="663"/>
      <c r="D542" s="663"/>
      <c r="E542" s="419">
        <f>E12+E163+E173+E184+E226+E292+E308+E439+E463+E515+E535</f>
        <v>1060587445.65</v>
      </c>
      <c r="F542" s="419">
        <f>F12+F163+F173+F184+F226+F292+F308+F439+F463+F515+F535</f>
        <v>1095413699.4000001</v>
      </c>
      <c r="G542" s="144">
        <f>'прил 4'!C65</f>
        <v>1071081970.55</v>
      </c>
      <c r="H542" s="144">
        <f>'прил 4'!D65</f>
        <v>1116613699.2</v>
      </c>
    </row>
    <row r="543" spans="1:8" x14ac:dyDescent="0.3">
      <c r="A543" s="3"/>
      <c r="E543" s="83"/>
      <c r="F543" s="3"/>
      <c r="G543" s="135"/>
    </row>
    <row r="544" spans="1:8" x14ac:dyDescent="0.3">
      <c r="A544" s="390"/>
      <c r="B544" s="390"/>
      <c r="C544" s="390" t="s">
        <v>709</v>
      </c>
      <c r="D544" s="390"/>
      <c r="E544" s="420">
        <f>G542-E542</f>
        <v>10494524.899999976</v>
      </c>
      <c r="F544" s="420">
        <f>H542-F542</f>
        <v>21199999.799999952</v>
      </c>
      <c r="G544" s="135"/>
    </row>
    <row r="545" spans="1:7" x14ac:dyDescent="0.3">
      <c r="A545" s="3"/>
      <c r="C545" s="82"/>
      <c r="E545" s="83">
        <f>E542+E544</f>
        <v>1071081970.55</v>
      </c>
      <c r="F545" s="83">
        <f>F542+F544</f>
        <v>1116613699.2</v>
      </c>
      <c r="G545" s="135"/>
    </row>
    <row r="546" spans="1:7" x14ac:dyDescent="0.3">
      <c r="A546" s="3"/>
      <c r="C546" s="82"/>
      <c r="E546" s="83"/>
      <c r="F546" s="3"/>
      <c r="G546" s="135"/>
    </row>
    <row r="547" spans="1:7" x14ac:dyDescent="0.3">
      <c r="A547" s="3"/>
      <c r="C547" s="82" t="s">
        <v>138</v>
      </c>
      <c r="E547" s="83">
        <f>E310+E336+E380+E400+E411+E470+E490</f>
        <v>814318451.31999993</v>
      </c>
      <c r="F547" s="83">
        <f>F310+F336+F380+F400+F411+F470+F490</f>
        <v>843566417.42999995</v>
      </c>
      <c r="G547" s="135"/>
    </row>
    <row r="548" spans="1:7" x14ac:dyDescent="0.3">
      <c r="A548" s="3"/>
      <c r="C548" s="82" t="s">
        <v>136</v>
      </c>
      <c r="E548" s="83">
        <f>E394+E441+E510</f>
        <v>56874792.209999993</v>
      </c>
      <c r="F548" s="83">
        <f>F394+F441+F510</f>
        <v>55326850.390000001</v>
      </c>
      <c r="G548" s="135"/>
    </row>
    <row r="549" spans="1:7" x14ac:dyDescent="0.3">
      <c r="A549" s="3"/>
      <c r="C549" s="82" t="s">
        <v>135</v>
      </c>
      <c r="E549" s="83">
        <f>E294</f>
        <v>470000</v>
      </c>
      <c r="F549" s="83">
        <f>F294</f>
        <v>470000</v>
      </c>
      <c r="G549" s="135"/>
    </row>
    <row r="550" spans="1:7" x14ac:dyDescent="0.3">
      <c r="A550" s="3"/>
      <c r="C550" s="82" t="s">
        <v>198</v>
      </c>
      <c r="E550" s="83">
        <f>E517</f>
        <v>933256.32000000007</v>
      </c>
      <c r="F550" s="83">
        <f>F517</f>
        <v>933503.63000000012</v>
      </c>
      <c r="G550" s="135"/>
    </row>
    <row r="551" spans="1:7" x14ac:dyDescent="0.3">
      <c r="A551" s="3"/>
      <c r="C551" s="82" t="s">
        <v>129</v>
      </c>
      <c r="E551" s="83">
        <f>E475</f>
        <v>150000</v>
      </c>
      <c r="F551" s="83">
        <f>F475</f>
        <v>150000</v>
      </c>
      <c r="G551" s="135"/>
    </row>
    <row r="552" spans="1:7" x14ac:dyDescent="0.3">
      <c r="A552" s="3"/>
      <c r="C552" s="82" t="s">
        <v>128</v>
      </c>
      <c r="E552" s="83">
        <f>E62</f>
        <v>20439380</v>
      </c>
      <c r="F552" s="83">
        <f>F62</f>
        <v>18521585.600000001</v>
      </c>
      <c r="G552" s="135"/>
    </row>
    <row r="553" spans="1:7" x14ac:dyDescent="0.3">
      <c r="A553" s="3"/>
      <c r="C553" s="82" t="s">
        <v>134</v>
      </c>
      <c r="E553" s="83">
        <f>E234+E250+E284</f>
        <v>300000</v>
      </c>
      <c r="F553" s="83">
        <f>F234+F250+F284</f>
        <v>300000</v>
      </c>
      <c r="G553" s="135"/>
    </row>
    <row r="554" spans="1:7" x14ac:dyDescent="0.3">
      <c r="A554" s="3"/>
      <c r="C554" s="82" t="s">
        <v>131</v>
      </c>
      <c r="E554" s="83">
        <f>E90</f>
        <v>50000</v>
      </c>
      <c r="F554" s="83">
        <f>F90</f>
        <v>50000</v>
      </c>
      <c r="G554" s="135"/>
    </row>
    <row r="555" spans="1:7" x14ac:dyDescent="0.3">
      <c r="A555" s="3"/>
      <c r="C555" s="82" t="s">
        <v>385</v>
      </c>
      <c r="E555" s="83">
        <f>E212</f>
        <v>100000</v>
      </c>
      <c r="F555" s="83">
        <f>F212</f>
        <v>100000</v>
      </c>
      <c r="G555" s="135"/>
    </row>
    <row r="556" spans="1:7" x14ac:dyDescent="0.3">
      <c r="A556" s="3"/>
      <c r="C556" s="82" t="s">
        <v>356</v>
      </c>
      <c r="E556" s="83">
        <f>E480</f>
        <v>710117.18</v>
      </c>
      <c r="F556" s="83">
        <f>F480</f>
        <v>669595.23</v>
      </c>
      <c r="G556" s="135"/>
    </row>
    <row r="557" spans="1:7" x14ac:dyDescent="0.3">
      <c r="A557" s="3"/>
      <c r="C557" s="82" t="s">
        <v>305</v>
      </c>
      <c r="E557" s="83">
        <f>E95+E537</f>
        <v>3871937</v>
      </c>
      <c r="F557" s="83">
        <f>F95+F537</f>
        <v>3990857</v>
      </c>
      <c r="G557" s="135"/>
    </row>
    <row r="558" spans="1:7" x14ac:dyDescent="0.3">
      <c r="A558" s="3"/>
      <c r="C558" s="82" t="s">
        <v>322</v>
      </c>
      <c r="E558" s="83">
        <f>E203</f>
        <v>17038000</v>
      </c>
      <c r="F558" s="83">
        <f>F203</f>
        <v>17735000</v>
      </c>
      <c r="G558" s="135"/>
    </row>
    <row r="559" spans="1:7" x14ac:dyDescent="0.3">
      <c r="A559" s="3"/>
      <c r="C559" s="82" t="s">
        <v>346</v>
      </c>
      <c r="E559" s="83">
        <f>E303</f>
        <v>45000</v>
      </c>
      <c r="F559" s="83">
        <f>F303</f>
        <v>45000</v>
      </c>
      <c r="G559" s="135"/>
    </row>
    <row r="560" spans="1:7" x14ac:dyDescent="0.3">
      <c r="A560" s="3"/>
      <c r="C560" s="82" t="s">
        <v>327</v>
      </c>
      <c r="E560" s="83">
        <f>E217</f>
        <v>230000</v>
      </c>
      <c r="F560" s="83">
        <f>F217</f>
        <v>230000</v>
      </c>
      <c r="G560" s="135"/>
    </row>
    <row r="561" spans="1:7" x14ac:dyDescent="0.3">
      <c r="A561" s="3"/>
      <c r="C561" s="82" t="s">
        <v>319</v>
      </c>
      <c r="E561" s="83">
        <f>E103+E228</f>
        <v>1200000</v>
      </c>
      <c r="F561" s="83">
        <f>F103+F228</f>
        <v>1200000</v>
      </c>
      <c r="G561" s="135"/>
    </row>
    <row r="562" spans="1:7" x14ac:dyDescent="0.3">
      <c r="A562" s="3"/>
      <c r="C562" s="82" t="s">
        <v>308</v>
      </c>
      <c r="E562" s="83">
        <f>E198</f>
        <v>1284000</v>
      </c>
      <c r="F562" s="83">
        <f>F198</f>
        <v>1284000</v>
      </c>
      <c r="G562" s="135"/>
    </row>
    <row r="563" spans="1:7" x14ac:dyDescent="0.3">
      <c r="A563" s="3"/>
      <c r="C563" s="82" t="s">
        <v>419</v>
      </c>
      <c r="E563" s="83">
        <f>E530</f>
        <v>50000</v>
      </c>
      <c r="F563" s="83">
        <f>F530</f>
        <v>50000</v>
      </c>
      <c r="G563" s="135"/>
    </row>
    <row r="564" spans="1:7" x14ac:dyDescent="0.3">
      <c r="A564" s="3"/>
      <c r="C564" s="82" t="s">
        <v>464</v>
      </c>
      <c r="E564" s="83">
        <f>E258</f>
        <v>1345000</v>
      </c>
      <c r="F564" s="83">
        <f>F258</f>
        <v>888537</v>
      </c>
      <c r="G564" s="135"/>
    </row>
    <row r="565" spans="1:7" x14ac:dyDescent="0.3">
      <c r="A565" s="3"/>
      <c r="C565" s="82" t="s">
        <v>474</v>
      </c>
      <c r="E565" s="83">
        <f>E269</f>
        <v>11465716.370000001</v>
      </c>
      <c r="F565" s="83">
        <f>F269</f>
        <v>11465716.370000001</v>
      </c>
      <c r="G565" s="135"/>
    </row>
    <row r="566" spans="1:7" x14ac:dyDescent="0.3">
      <c r="A566" s="3"/>
      <c r="C566" s="82" t="s">
        <v>930</v>
      </c>
      <c r="E566" s="83">
        <f>E110</f>
        <v>100000</v>
      </c>
      <c r="F566" s="83">
        <f>F110</f>
        <v>100000</v>
      </c>
      <c r="G566" s="135"/>
    </row>
    <row r="567" spans="1:7" x14ac:dyDescent="0.3">
      <c r="A567" s="3"/>
      <c r="C567" s="82" t="s">
        <v>127</v>
      </c>
      <c r="E567" s="83">
        <f>E14+E19+E34+E41+E47+E115+E175+E180+E186+E192+E465+E485+E498+E165</f>
        <v>129611795.24999999</v>
      </c>
      <c r="F567" s="83">
        <f>F14+F19+F34+F41+F47+F115+F175+F180+F186+F192+F465+F485+F498+F165</f>
        <v>138336636.75</v>
      </c>
      <c r="G567" s="135"/>
    </row>
    <row r="568" spans="1:7" x14ac:dyDescent="0.3">
      <c r="A568" s="3"/>
      <c r="C568" s="82"/>
      <c r="E568" s="83">
        <f>SUM(E547:E567)</f>
        <v>1060587445.65</v>
      </c>
      <c r="F568" s="83">
        <f>SUM(F547:F567)</f>
        <v>1095413699.4000001</v>
      </c>
      <c r="G568" s="135"/>
    </row>
    <row r="569" spans="1:7" x14ac:dyDescent="0.3">
      <c r="A569" s="3"/>
      <c r="C569" s="82"/>
      <c r="E569" s="83">
        <f>E547+E548+E549+E550+E551+E552+E553+E554+E555+E556+E557+E558+E559+E560+E561+E562+E563+E564+E565+E566</f>
        <v>930975650.39999998</v>
      </c>
      <c r="F569" s="83">
        <f>F547+F548+F549+F550+F551+F552+F553+F554+F555+F556+F557+F558+F559+F560+F561+F562+F563+F564+F565+F566</f>
        <v>957077062.64999998</v>
      </c>
      <c r="G569" s="135"/>
    </row>
    <row r="570" spans="1:7" x14ac:dyDescent="0.3">
      <c r="A570" s="3"/>
      <c r="C570" s="82"/>
      <c r="E570" s="83">
        <f>E542-E568</f>
        <v>0</v>
      </c>
      <c r="F570" s="83">
        <f>F542-F568</f>
        <v>0</v>
      </c>
      <c r="G570" s="135"/>
    </row>
    <row r="571" spans="1:7" x14ac:dyDescent="0.3">
      <c r="A571" s="3"/>
      <c r="C571" s="82"/>
      <c r="E571" s="83"/>
      <c r="F571" s="83"/>
      <c r="G571" s="135"/>
    </row>
    <row r="572" spans="1:7" x14ac:dyDescent="0.3">
      <c r="A572" s="3"/>
      <c r="C572" s="82" t="s">
        <v>216</v>
      </c>
      <c r="E572" s="83">
        <f>E312</f>
        <v>164875895</v>
      </c>
      <c r="F572" s="83">
        <f>F312</f>
        <v>170836541</v>
      </c>
      <c r="G572" s="135"/>
    </row>
    <row r="573" spans="1:7" x14ac:dyDescent="0.3">
      <c r="A573" s="3"/>
      <c r="C573" s="82" t="s">
        <v>218</v>
      </c>
      <c r="E573" s="83">
        <f>E319</f>
        <v>158000</v>
      </c>
      <c r="F573" s="83">
        <f>F319</f>
        <v>158000</v>
      </c>
      <c r="G573" s="135"/>
    </row>
    <row r="574" spans="1:7" x14ac:dyDescent="0.3">
      <c r="A574" s="3"/>
      <c r="C574" s="82" t="s">
        <v>231</v>
      </c>
      <c r="E574" s="83">
        <f>E492</f>
        <v>4081437</v>
      </c>
      <c r="F574" s="83">
        <f>F492</f>
        <v>4244892</v>
      </c>
      <c r="G574" s="135"/>
    </row>
    <row r="575" spans="1:7" x14ac:dyDescent="0.3">
      <c r="A575" s="3"/>
      <c r="C575" s="82" t="s">
        <v>219</v>
      </c>
      <c r="E575" s="83">
        <f>E338</f>
        <v>581410332</v>
      </c>
      <c r="F575" s="83">
        <f>F338</f>
        <v>606784082.5</v>
      </c>
      <c r="G575" s="135"/>
    </row>
    <row r="576" spans="1:7" x14ac:dyDescent="0.3">
      <c r="A576" s="3"/>
      <c r="C576" s="82" t="s">
        <v>217</v>
      </c>
      <c r="E576" s="83">
        <f>E402+E351</f>
        <v>291200</v>
      </c>
      <c r="F576" s="83">
        <f>F402+F351</f>
        <v>291200</v>
      </c>
      <c r="G576" s="135"/>
    </row>
    <row r="577" spans="1:7" x14ac:dyDescent="0.3">
      <c r="A577" s="3"/>
      <c r="C577" s="82" t="s">
        <v>220</v>
      </c>
      <c r="E577" s="83">
        <f>E364+E431</f>
        <v>11362570</v>
      </c>
      <c r="F577" s="83">
        <f>F364+F431</f>
        <v>11362570</v>
      </c>
      <c r="G577" s="135"/>
    </row>
    <row r="578" spans="1:7" x14ac:dyDescent="0.3">
      <c r="A578" s="3"/>
      <c r="C578" s="82" t="s">
        <v>302</v>
      </c>
      <c r="E578" s="83">
        <f>E371</f>
        <v>0</v>
      </c>
      <c r="F578" s="83">
        <f>F371</f>
        <v>0</v>
      </c>
      <c r="G578" s="135"/>
    </row>
    <row r="579" spans="1:7" x14ac:dyDescent="0.3">
      <c r="A579" s="3"/>
      <c r="C579" s="82" t="s">
        <v>998</v>
      </c>
      <c r="E579" s="83">
        <f>E375</f>
        <v>4081377.3</v>
      </c>
      <c r="F579" s="83">
        <f>F375</f>
        <v>4081377.3</v>
      </c>
      <c r="G579" s="135"/>
    </row>
    <row r="580" spans="1:7" x14ac:dyDescent="0.3">
      <c r="A580" s="3"/>
      <c r="C580" s="82" t="s">
        <v>221</v>
      </c>
      <c r="E580" s="83">
        <f>E382</f>
        <v>25267092</v>
      </c>
      <c r="F580" s="83">
        <f>F382</f>
        <v>24767092</v>
      </c>
      <c r="G580" s="135"/>
    </row>
    <row r="581" spans="1:7" x14ac:dyDescent="0.3">
      <c r="A581" s="3"/>
      <c r="C581" s="82" t="s">
        <v>222</v>
      </c>
      <c r="E581" s="83">
        <f>E386</f>
        <v>31600</v>
      </c>
      <c r="F581" s="83">
        <f>F386</f>
        <v>31600</v>
      </c>
      <c r="G581" s="135"/>
    </row>
    <row r="582" spans="1:7" x14ac:dyDescent="0.3">
      <c r="A582" s="3"/>
      <c r="C582" s="82" t="s">
        <v>1091</v>
      </c>
      <c r="E582" s="83">
        <f>E390</f>
        <v>1236190</v>
      </c>
      <c r="F582" s="83">
        <f>F390</f>
        <v>1236190</v>
      </c>
      <c r="G582" s="135"/>
    </row>
    <row r="583" spans="1:7" x14ac:dyDescent="0.3">
      <c r="A583" s="3"/>
      <c r="C583" s="82" t="s">
        <v>223</v>
      </c>
      <c r="E583" s="83">
        <f>E412</f>
        <v>20087758.02</v>
      </c>
      <c r="F583" s="83">
        <f>F412</f>
        <v>19647872.629999999</v>
      </c>
      <c r="G583" s="135"/>
    </row>
    <row r="584" spans="1:7" x14ac:dyDescent="0.3">
      <c r="A584" s="3"/>
      <c r="C584" s="82" t="s">
        <v>233</v>
      </c>
      <c r="E584" s="83">
        <f>E406</f>
        <v>125000</v>
      </c>
      <c r="F584" s="83">
        <f>F406</f>
        <v>125000</v>
      </c>
      <c r="G584" s="135"/>
    </row>
    <row r="585" spans="1:7" x14ac:dyDescent="0.3">
      <c r="A585" s="3"/>
      <c r="C585" s="82" t="s">
        <v>414</v>
      </c>
      <c r="E585" s="83">
        <f>E471</f>
        <v>1310000</v>
      </c>
      <c r="F585" s="83">
        <f>F471</f>
        <v>0</v>
      </c>
      <c r="G585" s="135"/>
    </row>
    <row r="586" spans="1:7" x14ac:dyDescent="0.3">
      <c r="A586" s="3"/>
      <c r="C586" s="82" t="s">
        <v>224</v>
      </c>
      <c r="E586" s="83">
        <f>E442</f>
        <v>9718145.9399999995</v>
      </c>
      <c r="F586" s="83">
        <f>F442</f>
        <v>9684155.6500000004</v>
      </c>
      <c r="G586" s="135"/>
    </row>
    <row r="587" spans="1:7" x14ac:dyDescent="0.3">
      <c r="A587" s="3"/>
      <c r="C587" s="82" t="s">
        <v>225</v>
      </c>
      <c r="E587" s="83">
        <f>E395</f>
        <v>20099530.370000001</v>
      </c>
      <c r="F587" s="83">
        <f>F395</f>
        <v>19036919.329999998</v>
      </c>
      <c r="G587" s="135"/>
    </row>
    <row r="588" spans="1:7" x14ac:dyDescent="0.3">
      <c r="A588" s="3"/>
      <c r="C588" s="82" t="s">
        <v>226</v>
      </c>
      <c r="E588" s="83">
        <f>E456+E511</f>
        <v>2468056.6799999997</v>
      </c>
      <c r="F588" s="83">
        <f>F456+F511</f>
        <v>2489316.6399999997</v>
      </c>
      <c r="G588" s="135"/>
    </row>
    <row r="589" spans="1:7" x14ac:dyDescent="0.3">
      <c r="A589" s="3"/>
      <c r="C589" s="82" t="s">
        <v>611</v>
      </c>
      <c r="E589" s="83">
        <f>E452</f>
        <v>24589059.219999999</v>
      </c>
      <c r="F589" s="83">
        <f>F452</f>
        <v>24116458.77</v>
      </c>
      <c r="G589" s="135"/>
    </row>
    <row r="590" spans="1:7" x14ac:dyDescent="0.3">
      <c r="A590" s="3"/>
      <c r="C590" s="82" t="s">
        <v>371</v>
      </c>
      <c r="E590" s="83">
        <f>E295</f>
        <v>440000</v>
      </c>
      <c r="F590" s="83">
        <f>F295</f>
        <v>440000</v>
      </c>
      <c r="G590" s="135"/>
    </row>
    <row r="591" spans="1:7" x14ac:dyDescent="0.3">
      <c r="A591" s="3"/>
      <c r="C591" s="82" t="s">
        <v>242</v>
      </c>
      <c r="E591" s="83">
        <f>E299</f>
        <v>30000</v>
      </c>
      <c r="F591" s="83">
        <f>F299</f>
        <v>30000</v>
      </c>
      <c r="G591" s="135"/>
    </row>
    <row r="592" spans="1:7" x14ac:dyDescent="0.3">
      <c r="A592" s="3"/>
      <c r="C592" s="82" t="s">
        <v>227</v>
      </c>
      <c r="E592" s="83">
        <f>E518</f>
        <v>933256.32000000007</v>
      </c>
      <c r="F592" s="83">
        <f>F518</f>
        <v>933503.63000000012</v>
      </c>
      <c r="G592" s="135"/>
    </row>
    <row r="593" spans="1:7" x14ac:dyDescent="0.3">
      <c r="A593" s="3"/>
      <c r="C593" s="82" t="s">
        <v>386</v>
      </c>
      <c r="E593" s="83">
        <f>E476</f>
        <v>150000</v>
      </c>
      <c r="F593" s="83">
        <f>F476</f>
        <v>150000</v>
      </c>
      <c r="G593" s="135"/>
    </row>
    <row r="594" spans="1:7" x14ac:dyDescent="0.3">
      <c r="A594" s="3"/>
      <c r="C594" s="82" t="s">
        <v>303</v>
      </c>
      <c r="E594" s="83">
        <f>E63</f>
        <v>1015625</v>
      </c>
      <c r="F594" s="83">
        <f>F63</f>
        <v>1019434.6</v>
      </c>
      <c r="G594" s="135"/>
    </row>
    <row r="595" spans="1:7" x14ac:dyDescent="0.3">
      <c r="A595" s="3"/>
      <c r="C595" s="82" t="s">
        <v>228</v>
      </c>
      <c r="E595" s="83">
        <f>E73</f>
        <v>17959911</v>
      </c>
      <c r="F595" s="83">
        <f>F73</f>
        <v>16038307</v>
      </c>
      <c r="G595" s="135"/>
    </row>
    <row r="596" spans="1:7" x14ac:dyDescent="0.3">
      <c r="A596" s="3"/>
      <c r="C596" s="82" t="s">
        <v>264</v>
      </c>
      <c r="E596" s="83">
        <f>E81</f>
        <v>1463844</v>
      </c>
      <c r="F596" s="83">
        <f>F81</f>
        <v>1463844</v>
      </c>
      <c r="G596" s="135"/>
    </row>
    <row r="597" spans="1:7" x14ac:dyDescent="0.3">
      <c r="A597" s="3"/>
      <c r="C597" s="82" t="s">
        <v>335</v>
      </c>
      <c r="E597" s="83">
        <f>E235+E285</f>
        <v>100000</v>
      </c>
      <c r="F597" s="83">
        <f>F235+F285</f>
        <v>100000</v>
      </c>
      <c r="G597" s="135"/>
    </row>
    <row r="598" spans="1:7" x14ac:dyDescent="0.3">
      <c r="A598" s="3"/>
      <c r="C598" s="82" t="s">
        <v>229</v>
      </c>
      <c r="E598" s="83">
        <f>E251</f>
        <v>200000</v>
      </c>
      <c r="F598" s="83">
        <f>F251</f>
        <v>200000</v>
      </c>
      <c r="G598" s="135"/>
    </row>
    <row r="599" spans="1:7" x14ac:dyDescent="0.3">
      <c r="A599" s="3"/>
      <c r="C599" s="82" t="s">
        <v>230</v>
      </c>
      <c r="E599" s="83">
        <f>E91</f>
        <v>50000</v>
      </c>
      <c r="F599" s="83">
        <f>F91</f>
        <v>50000</v>
      </c>
      <c r="G599" s="135"/>
    </row>
    <row r="600" spans="1:7" x14ac:dyDescent="0.3">
      <c r="A600" s="3"/>
      <c r="C600" s="82" t="s">
        <v>387</v>
      </c>
      <c r="E600" s="83">
        <f>E213</f>
        <v>100000</v>
      </c>
      <c r="F600" s="83">
        <f>F213</f>
        <v>100000</v>
      </c>
      <c r="G600" s="135"/>
    </row>
    <row r="601" spans="1:7" x14ac:dyDescent="0.3">
      <c r="A601" s="3"/>
      <c r="C601" s="82" t="s">
        <v>357</v>
      </c>
      <c r="E601" s="83">
        <f>E481</f>
        <v>710117.18</v>
      </c>
      <c r="F601" s="83">
        <f>F481</f>
        <v>669595.23</v>
      </c>
      <c r="G601" s="135"/>
    </row>
    <row r="602" spans="1:7" x14ac:dyDescent="0.3">
      <c r="A602" s="3"/>
      <c r="C602" s="82" t="s">
        <v>306</v>
      </c>
      <c r="E602" s="83">
        <f>E96+E538</f>
        <v>3871937</v>
      </c>
      <c r="F602" s="83">
        <f>F96+F538</f>
        <v>3990857</v>
      </c>
      <c r="G602" s="135"/>
    </row>
    <row r="603" spans="1:7" x14ac:dyDescent="0.3">
      <c r="A603" s="3"/>
      <c r="C603" s="82" t="s">
        <v>324</v>
      </c>
      <c r="E603" s="83">
        <f>E204</f>
        <v>17038000</v>
      </c>
      <c r="F603" s="83">
        <f>F204</f>
        <v>17735000</v>
      </c>
      <c r="G603" s="135"/>
    </row>
    <row r="604" spans="1:7" x14ac:dyDescent="0.3">
      <c r="A604" s="3"/>
      <c r="C604" s="82" t="s">
        <v>348</v>
      </c>
      <c r="E604" s="83">
        <f>E304</f>
        <v>45000</v>
      </c>
      <c r="F604" s="83">
        <f>F304</f>
        <v>45000</v>
      </c>
      <c r="G604" s="135"/>
    </row>
    <row r="605" spans="1:7" x14ac:dyDescent="0.3">
      <c r="A605" s="3"/>
      <c r="C605" s="82">
        <v>1495300000</v>
      </c>
      <c r="E605" s="83">
        <f>E218</f>
        <v>100000</v>
      </c>
      <c r="F605" s="83">
        <f>F218</f>
        <v>100000</v>
      </c>
      <c r="G605" s="135"/>
    </row>
    <row r="606" spans="1:7" x14ac:dyDescent="0.3">
      <c r="A606" s="3"/>
      <c r="C606" s="82" t="s">
        <v>367</v>
      </c>
      <c r="E606" s="83">
        <f>E222</f>
        <v>130000</v>
      </c>
      <c r="F606" s="83">
        <f>F222</f>
        <v>130000</v>
      </c>
      <c r="G606" s="135"/>
    </row>
    <row r="607" spans="1:7" x14ac:dyDescent="0.3">
      <c r="A607" s="3"/>
      <c r="C607" s="82" t="s">
        <v>320</v>
      </c>
      <c r="E607" s="83">
        <f>E229+E104</f>
        <v>1200000</v>
      </c>
      <c r="F607" s="83">
        <f>F229+F104</f>
        <v>1200000</v>
      </c>
      <c r="G607" s="135"/>
    </row>
    <row r="608" spans="1:7" x14ac:dyDescent="0.3">
      <c r="A608" s="3"/>
      <c r="C608" s="82" t="s">
        <v>712</v>
      </c>
      <c r="E608" s="83">
        <f>E198</f>
        <v>1284000</v>
      </c>
      <c r="F608" s="83">
        <f>F198</f>
        <v>1284000</v>
      </c>
      <c r="G608" s="135"/>
    </row>
    <row r="609" spans="1:7" x14ac:dyDescent="0.3">
      <c r="A609" s="3"/>
      <c r="C609" s="82" t="s">
        <v>421</v>
      </c>
      <c r="E609" s="83">
        <f>E531</f>
        <v>50000</v>
      </c>
      <c r="F609" s="83">
        <f>F531</f>
        <v>50000</v>
      </c>
      <c r="G609" s="135"/>
    </row>
    <row r="610" spans="1:7" x14ac:dyDescent="0.3">
      <c r="A610" s="3"/>
      <c r="C610" s="82" t="s">
        <v>466</v>
      </c>
      <c r="E610" s="83">
        <f>E259</f>
        <v>1345000</v>
      </c>
      <c r="F610" s="83">
        <f>F259</f>
        <v>888537</v>
      </c>
      <c r="G610" s="135"/>
    </row>
    <row r="611" spans="1:7" x14ac:dyDescent="0.3">
      <c r="A611" s="3"/>
      <c r="C611" s="82" t="s">
        <v>503</v>
      </c>
      <c r="E611" s="83">
        <f>E271</f>
        <v>0</v>
      </c>
      <c r="F611" s="83">
        <f>F271</f>
        <v>0</v>
      </c>
      <c r="G611" s="135"/>
    </row>
    <row r="612" spans="1:7" x14ac:dyDescent="0.3">
      <c r="A612" s="3"/>
      <c r="C612" s="82" t="s">
        <v>508</v>
      </c>
      <c r="E612" s="83">
        <f>E276</f>
        <v>11465716.370000001</v>
      </c>
      <c r="F612" s="83">
        <f>F276</f>
        <v>11465716.370000001</v>
      </c>
      <c r="G612" s="135"/>
    </row>
    <row r="613" spans="1:7" x14ac:dyDescent="0.3">
      <c r="A613" s="3"/>
      <c r="C613" s="82" t="s">
        <v>820</v>
      </c>
      <c r="E613" s="83">
        <f>E111</f>
        <v>100000</v>
      </c>
      <c r="F613" s="83">
        <f>F111</f>
        <v>100000</v>
      </c>
      <c r="G613" s="135"/>
    </row>
    <row r="614" spans="1:7" x14ac:dyDescent="0.3">
      <c r="A614" s="3"/>
      <c r="C614" s="82" t="s">
        <v>127</v>
      </c>
      <c r="E614" s="83">
        <f>E14+E19+E34+E41+E47+E115+E175+E180+E186+E192+E465+E485+E498+E165</f>
        <v>129611795.24999999</v>
      </c>
      <c r="F614" s="83">
        <f>F14+F19+F34+F41+F47+F115+F175+F180+F186+F192+F465+F485+F498+F165</f>
        <v>138336636.75</v>
      </c>
      <c r="G614" s="135"/>
    </row>
    <row r="615" spans="1:7" x14ac:dyDescent="0.3">
      <c r="A615" s="3"/>
      <c r="C615" s="82"/>
      <c r="E615" s="83">
        <f>SUM(E572:E614)</f>
        <v>1060587445.65</v>
      </c>
      <c r="F615" s="83">
        <f>SUM(F572:F614)</f>
        <v>1095413699.4000001</v>
      </c>
      <c r="G615" s="135"/>
    </row>
    <row r="616" spans="1:7" x14ac:dyDescent="0.3">
      <c r="A616" s="3"/>
      <c r="C616" s="82"/>
      <c r="E616" s="83">
        <f>SUM(E572:E612)+E613</f>
        <v>930975650.39999998</v>
      </c>
      <c r="F616" s="83">
        <f>SUM(F572:F612)+F613</f>
        <v>957077062.64999998</v>
      </c>
      <c r="G616" s="135"/>
    </row>
    <row r="618" spans="1:7" x14ac:dyDescent="0.3">
      <c r="E618" s="83">
        <f>E568-E615</f>
        <v>0</v>
      </c>
      <c r="F618" s="83">
        <f>F568-F615</f>
        <v>0</v>
      </c>
    </row>
  </sheetData>
  <mergeCells count="6">
    <mergeCell ref="A542:D542"/>
    <mergeCell ref="A5:F5"/>
    <mergeCell ref="A6:F6"/>
    <mergeCell ref="A7:F7"/>
    <mergeCell ref="A8:F8"/>
    <mergeCell ref="A9:F9"/>
  </mergeCells>
  <pageMargins left="1.1811023622047245" right="0.39370078740157483" top="0.39370078740157483" bottom="0.39370078740157483" header="0.31496062992125984" footer="0.31496062992125984"/>
  <pageSetup paperSize="9" scale="54" fitToHeight="0" orientation="portrait" r:id="rId1"/>
  <colBreaks count="1" manualBreakCount="1">
    <brk id="6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4"/>
  <sheetViews>
    <sheetView zoomScaleNormal="100" zoomScaleSheetLayoutView="93" workbookViewId="0">
      <selection activeCell="A70" sqref="A70:XFD71"/>
    </sheetView>
  </sheetViews>
  <sheetFormatPr defaultRowHeight="18.350000000000001" x14ac:dyDescent="0.3"/>
  <cols>
    <col min="1" max="1" width="95.875" style="87" customWidth="1"/>
    <col min="2" max="2" width="16.375" style="87" customWidth="1"/>
    <col min="3" max="3" width="21.375" style="87" customWidth="1"/>
    <col min="4" max="4" width="19.125" style="100" customWidth="1"/>
    <col min="5" max="5" width="17.125" style="99" customWidth="1"/>
    <col min="6" max="6" width="13.375" style="100" customWidth="1"/>
    <col min="7" max="7" width="16.125" style="69" customWidth="1"/>
    <col min="8" max="8" width="11.375" style="69" bestFit="1" customWidth="1"/>
    <col min="9" max="9" width="12.375" style="69" bestFit="1" customWidth="1"/>
    <col min="10" max="10" width="9.125" style="69"/>
    <col min="11" max="11" width="13.375" style="69" customWidth="1"/>
    <col min="12" max="244" width="9.125" style="69"/>
    <col min="245" max="245" width="69.875" style="69" customWidth="1"/>
    <col min="246" max="246" width="9.625" style="69" customWidth="1"/>
    <col min="247" max="250" width="0" style="69" hidden="1" customWidth="1"/>
    <col min="251" max="251" width="13.875" style="69" customWidth="1"/>
    <col min="252" max="257" width="0" style="69" hidden="1" customWidth="1"/>
    <col min="258" max="261" width="9.125" style="69"/>
    <col min="262" max="262" width="13.375" style="69" customWidth="1"/>
    <col min="263" max="263" width="9.125" style="69"/>
    <col min="264" max="264" width="11.375" style="69" bestFit="1" customWidth="1"/>
    <col min="265" max="266" width="9.125" style="69"/>
    <col min="267" max="267" width="13.375" style="69" customWidth="1"/>
    <col min="268" max="500" width="9.125" style="69"/>
    <col min="501" max="501" width="69.875" style="69" customWidth="1"/>
    <col min="502" max="502" width="9.625" style="69" customWidth="1"/>
    <col min="503" max="506" width="0" style="69" hidden="1" customWidth="1"/>
    <col min="507" max="507" width="13.875" style="69" customWidth="1"/>
    <col min="508" max="513" width="0" style="69" hidden="1" customWidth="1"/>
    <col min="514" max="517" width="9.125" style="69"/>
    <col min="518" max="518" width="13.375" style="69" customWidth="1"/>
    <col min="519" max="519" width="9.125" style="69"/>
    <col min="520" max="520" width="11.375" style="69" bestFit="1" customWidth="1"/>
    <col min="521" max="522" width="9.125" style="69"/>
    <col min="523" max="523" width="13.375" style="69" customWidth="1"/>
    <col min="524" max="756" width="9.125" style="69"/>
    <col min="757" max="757" width="69.875" style="69" customWidth="1"/>
    <col min="758" max="758" width="9.625" style="69" customWidth="1"/>
    <col min="759" max="762" width="0" style="69" hidden="1" customWidth="1"/>
    <col min="763" max="763" width="13.875" style="69" customWidth="1"/>
    <col min="764" max="769" width="0" style="69" hidden="1" customWidth="1"/>
    <col min="770" max="773" width="9.125" style="69"/>
    <col min="774" max="774" width="13.375" style="69" customWidth="1"/>
    <col min="775" max="775" width="9.125" style="69"/>
    <col min="776" max="776" width="11.375" style="69" bestFit="1" customWidth="1"/>
    <col min="777" max="778" width="9.125" style="69"/>
    <col min="779" max="779" width="13.375" style="69" customWidth="1"/>
    <col min="780" max="1012" width="9.125" style="69"/>
    <col min="1013" max="1013" width="69.875" style="69" customWidth="1"/>
    <col min="1014" max="1014" width="9.625" style="69" customWidth="1"/>
    <col min="1015" max="1018" width="0" style="69" hidden="1" customWidth="1"/>
    <col min="1019" max="1019" width="13.875" style="69" customWidth="1"/>
    <col min="1020" max="1025" width="0" style="69" hidden="1" customWidth="1"/>
    <col min="1026" max="1029" width="9.125" style="69"/>
    <col min="1030" max="1030" width="13.375" style="69" customWidth="1"/>
    <col min="1031" max="1031" width="9.125" style="69"/>
    <col min="1032" max="1032" width="11.375" style="69" bestFit="1" customWidth="1"/>
    <col min="1033" max="1034" width="9.125" style="69"/>
    <col min="1035" max="1035" width="13.375" style="69" customWidth="1"/>
    <col min="1036" max="1268" width="9.125" style="69"/>
    <col min="1269" max="1269" width="69.875" style="69" customWidth="1"/>
    <col min="1270" max="1270" width="9.625" style="69" customWidth="1"/>
    <col min="1271" max="1274" width="0" style="69" hidden="1" customWidth="1"/>
    <col min="1275" max="1275" width="13.875" style="69" customWidth="1"/>
    <col min="1276" max="1281" width="0" style="69" hidden="1" customWidth="1"/>
    <col min="1282" max="1285" width="9.125" style="69"/>
    <col min="1286" max="1286" width="13.375" style="69" customWidth="1"/>
    <col min="1287" max="1287" width="9.125" style="69"/>
    <col min="1288" max="1288" width="11.375" style="69" bestFit="1" customWidth="1"/>
    <col min="1289" max="1290" width="9.125" style="69"/>
    <col min="1291" max="1291" width="13.375" style="69" customWidth="1"/>
    <col min="1292" max="1524" width="9.125" style="69"/>
    <col min="1525" max="1525" width="69.875" style="69" customWidth="1"/>
    <col min="1526" max="1526" width="9.625" style="69" customWidth="1"/>
    <col min="1527" max="1530" width="0" style="69" hidden="1" customWidth="1"/>
    <col min="1531" max="1531" width="13.875" style="69" customWidth="1"/>
    <col min="1532" max="1537" width="0" style="69" hidden="1" customWidth="1"/>
    <col min="1538" max="1541" width="9.125" style="69"/>
    <col min="1542" max="1542" width="13.375" style="69" customWidth="1"/>
    <col min="1543" max="1543" width="9.125" style="69"/>
    <col min="1544" max="1544" width="11.375" style="69" bestFit="1" customWidth="1"/>
    <col min="1545" max="1546" width="9.125" style="69"/>
    <col min="1547" max="1547" width="13.375" style="69" customWidth="1"/>
    <col min="1548" max="1780" width="9.125" style="69"/>
    <col min="1781" max="1781" width="69.875" style="69" customWidth="1"/>
    <col min="1782" max="1782" width="9.625" style="69" customWidth="1"/>
    <col min="1783" max="1786" width="0" style="69" hidden="1" customWidth="1"/>
    <col min="1787" max="1787" width="13.875" style="69" customWidth="1"/>
    <col min="1788" max="1793" width="0" style="69" hidden="1" customWidth="1"/>
    <col min="1794" max="1797" width="9.125" style="69"/>
    <col min="1798" max="1798" width="13.375" style="69" customWidth="1"/>
    <col min="1799" max="1799" width="9.125" style="69"/>
    <col min="1800" max="1800" width="11.375" style="69" bestFit="1" customWidth="1"/>
    <col min="1801" max="1802" width="9.125" style="69"/>
    <col min="1803" max="1803" width="13.375" style="69" customWidth="1"/>
    <col min="1804" max="2036" width="9.125" style="69"/>
    <col min="2037" max="2037" width="69.875" style="69" customWidth="1"/>
    <col min="2038" max="2038" width="9.625" style="69" customWidth="1"/>
    <col min="2039" max="2042" width="0" style="69" hidden="1" customWidth="1"/>
    <col min="2043" max="2043" width="13.875" style="69" customWidth="1"/>
    <col min="2044" max="2049" width="0" style="69" hidden="1" customWidth="1"/>
    <col min="2050" max="2053" width="9.125" style="69"/>
    <col min="2054" max="2054" width="13.375" style="69" customWidth="1"/>
    <col min="2055" max="2055" width="9.125" style="69"/>
    <col min="2056" max="2056" width="11.375" style="69" bestFit="1" customWidth="1"/>
    <col min="2057" max="2058" width="9.125" style="69"/>
    <col min="2059" max="2059" width="13.375" style="69" customWidth="1"/>
    <col min="2060" max="2292" width="9.125" style="69"/>
    <col min="2293" max="2293" width="69.875" style="69" customWidth="1"/>
    <col min="2294" max="2294" width="9.625" style="69" customWidth="1"/>
    <col min="2295" max="2298" width="0" style="69" hidden="1" customWidth="1"/>
    <col min="2299" max="2299" width="13.875" style="69" customWidth="1"/>
    <col min="2300" max="2305" width="0" style="69" hidden="1" customWidth="1"/>
    <col min="2306" max="2309" width="9.125" style="69"/>
    <col min="2310" max="2310" width="13.375" style="69" customWidth="1"/>
    <col min="2311" max="2311" width="9.125" style="69"/>
    <col min="2312" max="2312" width="11.375" style="69" bestFit="1" customWidth="1"/>
    <col min="2313" max="2314" width="9.125" style="69"/>
    <col min="2315" max="2315" width="13.375" style="69" customWidth="1"/>
    <col min="2316" max="2548" width="9.125" style="69"/>
    <col min="2549" max="2549" width="69.875" style="69" customWidth="1"/>
    <col min="2550" max="2550" width="9.625" style="69" customWidth="1"/>
    <col min="2551" max="2554" width="0" style="69" hidden="1" customWidth="1"/>
    <col min="2555" max="2555" width="13.875" style="69" customWidth="1"/>
    <col min="2556" max="2561" width="0" style="69" hidden="1" customWidth="1"/>
    <col min="2562" max="2565" width="9.125" style="69"/>
    <col min="2566" max="2566" width="13.375" style="69" customWidth="1"/>
    <col min="2567" max="2567" width="9.125" style="69"/>
    <col min="2568" max="2568" width="11.375" style="69" bestFit="1" customWidth="1"/>
    <col min="2569" max="2570" width="9.125" style="69"/>
    <col min="2571" max="2571" width="13.375" style="69" customWidth="1"/>
    <col min="2572" max="2804" width="9.125" style="69"/>
    <col min="2805" max="2805" width="69.875" style="69" customWidth="1"/>
    <col min="2806" max="2806" width="9.625" style="69" customWidth="1"/>
    <col min="2807" max="2810" width="0" style="69" hidden="1" customWidth="1"/>
    <col min="2811" max="2811" width="13.875" style="69" customWidth="1"/>
    <col min="2812" max="2817" width="0" style="69" hidden="1" customWidth="1"/>
    <col min="2818" max="2821" width="9.125" style="69"/>
    <col min="2822" max="2822" width="13.375" style="69" customWidth="1"/>
    <col min="2823" max="2823" width="9.125" style="69"/>
    <col min="2824" max="2824" width="11.375" style="69" bestFit="1" customWidth="1"/>
    <col min="2825" max="2826" width="9.125" style="69"/>
    <col min="2827" max="2827" width="13.375" style="69" customWidth="1"/>
    <col min="2828" max="3060" width="9.125" style="69"/>
    <col min="3061" max="3061" width="69.875" style="69" customWidth="1"/>
    <col min="3062" max="3062" width="9.625" style="69" customWidth="1"/>
    <col min="3063" max="3066" width="0" style="69" hidden="1" customWidth="1"/>
    <col min="3067" max="3067" width="13.875" style="69" customWidth="1"/>
    <col min="3068" max="3073" width="0" style="69" hidden="1" customWidth="1"/>
    <col min="3074" max="3077" width="9.125" style="69"/>
    <col min="3078" max="3078" width="13.375" style="69" customWidth="1"/>
    <col min="3079" max="3079" width="9.125" style="69"/>
    <col min="3080" max="3080" width="11.375" style="69" bestFit="1" customWidth="1"/>
    <col min="3081" max="3082" width="9.125" style="69"/>
    <col min="3083" max="3083" width="13.375" style="69" customWidth="1"/>
    <col min="3084" max="3316" width="9.125" style="69"/>
    <col min="3317" max="3317" width="69.875" style="69" customWidth="1"/>
    <col min="3318" max="3318" width="9.625" style="69" customWidth="1"/>
    <col min="3319" max="3322" width="0" style="69" hidden="1" customWidth="1"/>
    <col min="3323" max="3323" width="13.875" style="69" customWidth="1"/>
    <col min="3324" max="3329" width="0" style="69" hidden="1" customWidth="1"/>
    <col min="3330" max="3333" width="9.125" style="69"/>
    <col min="3334" max="3334" width="13.375" style="69" customWidth="1"/>
    <col min="3335" max="3335" width="9.125" style="69"/>
    <col min="3336" max="3336" width="11.375" style="69" bestFit="1" customWidth="1"/>
    <col min="3337" max="3338" width="9.125" style="69"/>
    <col min="3339" max="3339" width="13.375" style="69" customWidth="1"/>
    <col min="3340" max="3572" width="9.125" style="69"/>
    <col min="3573" max="3573" width="69.875" style="69" customWidth="1"/>
    <col min="3574" max="3574" width="9.625" style="69" customWidth="1"/>
    <col min="3575" max="3578" width="0" style="69" hidden="1" customWidth="1"/>
    <col min="3579" max="3579" width="13.875" style="69" customWidth="1"/>
    <col min="3580" max="3585" width="0" style="69" hidden="1" customWidth="1"/>
    <col min="3586" max="3589" width="9.125" style="69"/>
    <col min="3590" max="3590" width="13.375" style="69" customWidth="1"/>
    <col min="3591" max="3591" width="9.125" style="69"/>
    <col min="3592" max="3592" width="11.375" style="69" bestFit="1" customWidth="1"/>
    <col min="3593" max="3594" width="9.125" style="69"/>
    <col min="3595" max="3595" width="13.375" style="69" customWidth="1"/>
    <col min="3596" max="3828" width="9.125" style="69"/>
    <col min="3829" max="3829" width="69.875" style="69" customWidth="1"/>
    <col min="3830" max="3830" width="9.625" style="69" customWidth="1"/>
    <col min="3831" max="3834" width="0" style="69" hidden="1" customWidth="1"/>
    <col min="3835" max="3835" width="13.875" style="69" customWidth="1"/>
    <col min="3836" max="3841" width="0" style="69" hidden="1" customWidth="1"/>
    <col min="3842" max="3845" width="9.125" style="69"/>
    <col min="3846" max="3846" width="13.375" style="69" customWidth="1"/>
    <col min="3847" max="3847" width="9.125" style="69"/>
    <col min="3848" max="3848" width="11.375" style="69" bestFit="1" customWidth="1"/>
    <col min="3849" max="3850" width="9.125" style="69"/>
    <col min="3851" max="3851" width="13.375" style="69" customWidth="1"/>
    <col min="3852" max="4084" width="9.125" style="69"/>
    <col min="4085" max="4085" width="69.875" style="69" customWidth="1"/>
    <col min="4086" max="4086" width="9.625" style="69" customWidth="1"/>
    <col min="4087" max="4090" width="0" style="69" hidden="1" customWidth="1"/>
    <col min="4091" max="4091" width="13.875" style="69" customWidth="1"/>
    <col min="4092" max="4097" width="0" style="69" hidden="1" customWidth="1"/>
    <col min="4098" max="4101" width="9.125" style="69"/>
    <col min="4102" max="4102" width="13.375" style="69" customWidth="1"/>
    <col min="4103" max="4103" width="9.125" style="69"/>
    <col min="4104" max="4104" width="11.375" style="69" bestFit="1" customWidth="1"/>
    <col min="4105" max="4106" width="9.125" style="69"/>
    <col min="4107" max="4107" width="13.375" style="69" customWidth="1"/>
    <col min="4108" max="4340" width="9.125" style="69"/>
    <col min="4341" max="4341" width="69.875" style="69" customWidth="1"/>
    <col min="4342" max="4342" width="9.625" style="69" customWidth="1"/>
    <col min="4343" max="4346" width="0" style="69" hidden="1" customWidth="1"/>
    <col min="4347" max="4347" width="13.875" style="69" customWidth="1"/>
    <col min="4348" max="4353" width="0" style="69" hidden="1" customWidth="1"/>
    <col min="4354" max="4357" width="9.125" style="69"/>
    <col min="4358" max="4358" width="13.375" style="69" customWidth="1"/>
    <col min="4359" max="4359" width="9.125" style="69"/>
    <col min="4360" max="4360" width="11.375" style="69" bestFit="1" customWidth="1"/>
    <col min="4361" max="4362" width="9.125" style="69"/>
    <col min="4363" max="4363" width="13.375" style="69" customWidth="1"/>
    <col min="4364" max="4596" width="9.125" style="69"/>
    <col min="4597" max="4597" width="69.875" style="69" customWidth="1"/>
    <col min="4598" max="4598" width="9.625" style="69" customWidth="1"/>
    <col min="4599" max="4602" width="0" style="69" hidden="1" customWidth="1"/>
    <col min="4603" max="4603" width="13.875" style="69" customWidth="1"/>
    <col min="4604" max="4609" width="0" style="69" hidden="1" customWidth="1"/>
    <col min="4610" max="4613" width="9.125" style="69"/>
    <col min="4614" max="4614" width="13.375" style="69" customWidth="1"/>
    <col min="4615" max="4615" width="9.125" style="69"/>
    <col min="4616" max="4616" width="11.375" style="69" bestFit="1" customWidth="1"/>
    <col min="4617" max="4618" width="9.125" style="69"/>
    <col min="4619" max="4619" width="13.375" style="69" customWidth="1"/>
    <col min="4620" max="4852" width="9.125" style="69"/>
    <col min="4853" max="4853" width="69.875" style="69" customWidth="1"/>
    <col min="4854" max="4854" width="9.625" style="69" customWidth="1"/>
    <col min="4855" max="4858" width="0" style="69" hidden="1" customWidth="1"/>
    <col min="4859" max="4859" width="13.875" style="69" customWidth="1"/>
    <col min="4860" max="4865" width="0" style="69" hidden="1" customWidth="1"/>
    <col min="4866" max="4869" width="9.125" style="69"/>
    <col min="4870" max="4870" width="13.375" style="69" customWidth="1"/>
    <col min="4871" max="4871" width="9.125" style="69"/>
    <col min="4872" max="4872" width="11.375" style="69" bestFit="1" customWidth="1"/>
    <col min="4873" max="4874" width="9.125" style="69"/>
    <col min="4875" max="4875" width="13.375" style="69" customWidth="1"/>
    <col min="4876" max="5108" width="9.125" style="69"/>
    <col min="5109" max="5109" width="69.875" style="69" customWidth="1"/>
    <col min="5110" max="5110" width="9.625" style="69" customWidth="1"/>
    <col min="5111" max="5114" width="0" style="69" hidden="1" customWidth="1"/>
    <col min="5115" max="5115" width="13.875" style="69" customWidth="1"/>
    <col min="5116" max="5121" width="0" style="69" hidden="1" customWidth="1"/>
    <col min="5122" max="5125" width="9.125" style="69"/>
    <col min="5126" max="5126" width="13.375" style="69" customWidth="1"/>
    <col min="5127" max="5127" width="9.125" style="69"/>
    <col min="5128" max="5128" width="11.375" style="69" bestFit="1" customWidth="1"/>
    <col min="5129" max="5130" width="9.125" style="69"/>
    <col min="5131" max="5131" width="13.375" style="69" customWidth="1"/>
    <col min="5132" max="5364" width="9.125" style="69"/>
    <col min="5365" max="5365" width="69.875" style="69" customWidth="1"/>
    <col min="5366" max="5366" width="9.625" style="69" customWidth="1"/>
    <col min="5367" max="5370" width="0" style="69" hidden="1" customWidth="1"/>
    <col min="5371" max="5371" width="13.875" style="69" customWidth="1"/>
    <col min="5372" max="5377" width="0" style="69" hidden="1" customWidth="1"/>
    <col min="5378" max="5381" width="9.125" style="69"/>
    <col min="5382" max="5382" width="13.375" style="69" customWidth="1"/>
    <col min="5383" max="5383" width="9.125" style="69"/>
    <col min="5384" max="5384" width="11.375" style="69" bestFit="1" customWidth="1"/>
    <col min="5385" max="5386" width="9.125" style="69"/>
    <col min="5387" max="5387" width="13.375" style="69" customWidth="1"/>
    <col min="5388" max="5620" width="9.125" style="69"/>
    <col min="5621" max="5621" width="69.875" style="69" customWidth="1"/>
    <col min="5622" max="5622" width="9.625" style="69" customWidth="1"/>
    <col min="5623" max="5626" width="0" style="69" hidden="1" customWidth="1"/>
    <col min="5627" max="5627" width="13.875" style="69" customWidth="1"/>
    <col min="5628" max="5633" width="0" style="69" hidden="1" customWidth="1"/>
    <col min="5634" max="5637" width="9.125" style="69"/>
    <col min="5638" max="5638" width="13.375" style="69" customWidth="1"/>
    <col min="5639" max="5639" width="9.125" style="69"/>
    <col min="5640" max="5640" width="11.375" style="69" bestFit="1" customWidth="1"/>
    <col min="5641" max="5642" width="9.125" style="69"/>
    <col min="5643" max="5643" width="13.375" style="69" customWidth="1"/>
    <col min="5644" max="5876" width="9.125" style="69"/>
    <col min="5877" max="5877" width="69.875" style="69" customWidth="1"/>
    <col min="5878" max="5878" width="9.625" style="69" customWidth="1"/>
    <col min="5879" max="5882" width="0" style="69" hidden="1" customWidth="1"/>
    <col min="5883" max="5883" width="13.875" style="69" customWidth="1"/>
    <col min="5884" max="5889" width="0" style="69" hidden="1" customWidth="1"/>
    <col min="5890" max="5893" width="9.125" style="69"/>
    <col min="5894" max="5894" width="13.375" style="69" customWidth="1"/>
    <col min="5895" max="5895" width="9.125" style="69"/>
    <col min="5896" max="5896" width="11.375" style="69" bestFit="1" customWidth="1"/>
    <col min="5897" max="5898" width="9.125" style="69"/>
    <col min="5899" max="5899" width="13.375" style="69" customWidth="1"/>
    <col min="5900" max="6132" width="9.125" style="69"/>
    <col min="6133" max="6133" width="69.875" style="69" customWidth="1"/>
    <col min="6134" max="6134" width="9.625" style="69" customWidth="1"/>
    <col min="6135" max="6138" width="0" style="69" hidden="1" customWidth="1"/>
    <col min="6139" max="6139" width="13.875" style="69" customWidth="1"/>
    <col min="6140" max="6145" width="0" style="69" hidden="1" customWidth="1"/>
    <col min="6146" max="6149" width="9.125" style="69"/>
    <col min="6150" max="6150" width="13.375" style="69" customWidth="1"/>
    <col min="6151" max="6151" width="9.125" style="69"/>
    <col min="6152" max="6152" width="11.375" style="69" bestFit="1" customWidth="1"/>
    <col min="6153" max="6154" width="9.125" style="69"/>
    <col min="6155" max="6155" width="13.375" style="69" customWidth="1"/>
    <col min="6156" max="6388" width="9.125" style="69"/>
    <col min="6389" max="6389" width="69.875" style="69" customWidth="1"/>
    <col min="6390" max="6390" width="9.625" style="69" customWidth="1"/>
    <col min="6391" max="6394" width="0" style="69" hidden="1" customWidth="1"/>
    <col min="6395" max="6395" width="13.875" style="69" customWidth="1"/>
    <col min="6396" max="6401" width="0" style="69" hidden="1" customWidth="1"/>
    <col min="6402" max="6405" width="9.125" style="69"/>
    <col min="6406" max="6406" width="13.375" style="69" customWidth="1"/>
    <col min="6407" max="6407" width="9.125" style="69"/>
    <col min="6408" max="6408" width="11.375" style="69" bestFit="1" customWidth="1"/>
    <col min="6409" max="6410" width="9.125" style="69"/>
    <col min="6411" max="6411" width="13.375" style="69" customWidth="1"/>
    <col min="6412" max="6644" width="9.125" style="69"/>
    <col min="6645" max="6645" width="69.875" style="69" customWidth="1"/>
    <col min="6646" max="6646" width="9.625" style="69" customWidth="1"/>
    <col min="6647" max="6650" width="0" style="69" hidden="1" customWidth="1"/>
    <col min="6651" max="6651" width="13.875" style="69" customWidth="1"/>
    <col min="6652" max="6657" width="0" style="69" hidden="1" customWidth="1"/>
    <col min="6658" max="6661" width="9.125" style="69"/>
    <col min="6662" max="6662" width="13.375" style="69" customWidth="1"/>
    <col min="6663" max="6663" width="9.125" style="69"/>
    <col min="6664" max="6664" width="11.375" style="69" bestFit="1" customWidth="1"/>
    <col min="6665" max="6666" width="9.125" style="69"/>
    <col min="6667" max="6667" width="13.375" style="69" customWidth="1"/>
    <col min="6668" max="6900" width="9.125" style="69"/>
    <col min="6901" max="6901" width="69.875" style="69" customWidth="1"/>
    <col min="6902" max="6902" width="9.625" style="69" customWidth="1"/>
    <col min="6903" max="6906" width="0" style="69" hidden="1" customWidth="1"/>
    <col min="6907" max="6907" width="13.875" style="69" customWidth="1"/>
    <col min="6908" max="6913" width="0" style="69" hidden="1" customWidth="1"/>
    <col min="6914" max="6917" width="9.125" style="69"/>
    <col min="6918" max="6918" width="13.375" style="69" customWidth="1"/>
    <col min="6919" max="6919" width="9.125" style="69"/>
    <col min="6920" max="6920" width="11.375" style="69" bestFit="1" customWidth="1"/>
    <col min="6921" max="6922" width="9.125" style="69"/>
    <col min="6923" max="6923" width="13.375" style="69" customWidth="1"/>
    <col min="6924" max="7156" width="9.125" style="69"/>
    <col min="7157" max="7157" width="69.875" style="69" customWidth="1"/>
    <col min="7158" max="7158" width="9.625" style="69" customWidth="1"/>
    <col min="7159" max="7162" width="0" style="69" hidden="1" customWidth="1"/>
    <col min="7163" max="7163" width="13.875" style="69" customWidth="1"/>
    <col min="7164" max="7169" width="0" style="69" hidden="1" customWidth="1"/>
    <col min="7170" max="7173" width="9.125" style="69"/>
    <col min="7174" max="7174" width="13.375" style="69" customWidth="1"/>
    <col min="7175" max="7175" width="9.125" style="69"/>
    <col min="7176" max="7176" width="11.375" style="69" bestFit="1" customWidth="1"/>
    <col min="7177" max="7178" width="9.125" style="69"/>
    <col min="7179" max="7179" width="13.375" style="69" customWidth="1"/>
    <col min="7180" max="7412" width="9.125" style="69"/>
    <col min="7413" max="7413" width="69.875" style="69" customWidth="1"/>
    <col min="7414" max="7414" width="9.625" style="69" customWidth="1"/>
    <col min="7415" max="7418" width="0" style="69" hidden="1" customWidth="1"/>
    <col min="7419" max="7419" width="13.875" style="69" customWidth="1"/>
    <col min="7420" max="7425" width="0" style="69" hidden="1" customWidth="1"/>
    <col min="7426" max="7429" width="9.125" style="69"/>
    <col min="7430" max="7430" width="13.375" style="69" customWidth="1"/>
    <col min="7431" max="7431" width="9.125" style="69"/>
    <col min="7432" max="7432" width="11.375" style="69" bestFit="1" customWidth="1"/>
    <col min="7433" max="7434" width="9.125" style="69"/>
    <col min="7435" max="7435" width="13.375" style="69" customWidth="1"/>
    <col min="7436" max="7668" width="9.125" style="69"/>
    <col min="7669" max="7669" width="69.875" style="69" customWidth="1"/>
    <col min="7670" max="7670" width="9.625" style="69" customWidth="1"/>
    <col min="7671" max="7674" width="0" style="69" hidden="1" customWidth="1"/>
    <col min="7675" max="7675" width="13.875" style="69" customWidth="1"/>
    <col min="7676" max="7681" width="0" style="69" hidden="1" customWidth="1"/>
    <col min="7682" max="7685" width="9.125" style="69"/>
    <col min="7686" max="7686" width="13.375" style="69" customWidth="1"/>
    <col min="7687" max="7687" width="9.125" style="69"/>
    <col min="7688" max="7688" width="11.375" style="69" bestFit="1" customWidth="1"/>
    <col min="7689" max="7690" width="9.125" style="69"/>
    <col min="7691" max="7691" width="13.375" style="69" customWidth="1"/>
    <col min="7692" max="7924" width="9.125" style="69"/>
    <col min="7925" max="7925" width="69.875" style="69" customWidth="1"/>
    <col min="7926" max="7926" width="9.625" style="69" customWidth="1"/>
    <col min="7927" max="7930" width="0" style="69" hidden="1" customWidth="1"/>
    <col min="7931" max="7931" width="13.875" style="69" customWidth="1"/>
    <col min="7932" max="7937" width="0" style="69" hidden="1" customWidth="1"/>
    <col min="7938" max="7941" width="9.125" style="69"/>
    <col min="7942" max="7942" width="13.375" style="69" customWidth="1"/>
    <col min="7943" max="7943" width="9.125" style="69"/>
    <col min="7944" max="7944" width="11.375" style="69" bestFit="1" customWidth="1"/>
    <col min="7945" max="7946" width="9.125" style="69"/>
    <col min="7947" max="7947" width="13.375" style="69" customWidth="1"/>
    <col min="7948" max="8180" width="9.125" style="69"/>
    <col min="8181" max="8181" width="69.875" style="69" customWidth="1"/>
    <col min="8182" max="8182" width="9.625" style="69" customWidth="1"/>
    <col min="8183" max="8186" width="0" style="69" hidden="1" customWidth="1"/>
    <col min="8187" max="8187" width="13.875" style="69" customWidth="1"/>
    <col min="8188" max="8193" width="0" style="69" hidden="1" customWidth="1"/>
    <col min="8194" max="8197" width="9.125" style="69"/>
    <col min="8198" max="8198" width="13.375" style="69" customWidth="1"/>
    <col min="8199" max="8199" width="9.125" style="69"/>
    <col min="8200" max="8200" width="11.375" style="69" bestFit="1" customWidth="1"/>
    <col min="8201" max="8202" width="9.125" style="69"/>
    <col min="8203" max="8203" width="13.375" style="69" customWidth="1"/>
    <col min="8204" max="8436" width="9.125" style="69"/>
    <col min="8437" max="8437" width="69.875" style="69" customWidth="1"/>
    <col min="8438" max="8438" width="9.625" style="69" customWidth="1"/>
    <col min="8439" max="8442" width="0" style="69" hidden="1" customWidth="1"/>
    <col min="8443" max="8443" width="13.875" style="69" customWidth="1"/>
    <col min="8444" max="8449" width="0" style="69" hidden="1" customWidth="1"/>
    <col min="8450" max="8453" width="9.125" style="69"/>
    <col min="8454" max="8454" width="13.375" style="69" customWidth="1"/>
    <col min="8455" max="8455" width="9.125" style="69"/>
    <col min="8456" max="8456" width="11.375" style="69" bestFit="1" customWidth="1"/>
    <col min="8457" max="8458" width="9.125" style="69"/>
    <col min="8459" max="8459" width="13.375" style="69" customWidth="1"/>
    <col min="8460" max="8692" width="9.125" style="69"/>
    <col min="8693" max="8693" width="69.875" style="69" customWidth="1"/>
    <col min="8694" max="8694" width="9.625" style="69" customWidth="1"/>
    <col min="8695" max="8698" width="0" style="69" hidden="1" customWidth="1"/>
    <col min="8699" max="8699" width="13.875" style="69" customWidth="1"/>
    <col min="8700" max="8705" width="0" style="69" hidden="1" customWidth="1"/>
    <col min="8706" max="8709" width="9.125" style="69"/>
    <col min="8710" max="8710" width="13.375" style="69" customWidth="1"/>
    <col min="8711" max="8711" width="9.125" style="69"/>
    <col min="8712" max="8712" width="11.375" style="69" bestFit="1" customWidth="1"/>
    <col min="8713" max="8714" width="9.125" style="69"/>
    <col min="8715" max="8715" width="13.375" style="69" customWidth="1"/>
    <col min="8716" max="8948" width="9.125" style="69"/>
    <col min="8949" max="8949" width="69.875" style="69" customWidth="1"/>
    <col min="8950" max="8950" width="9.625" style="69" customWidth="1"/>
    <col min="8951" max="8954" width="0" style="69" hidden="1" customWidth="1"/>
    <col min="8955" max="8955" width="13.875" style="69" customWidth="1"/>
    <col min="8956" max="8961" width="0" style="69" hidden="1" customWidth="1"/>
    <col min="8962" max="8965" width="9.125" style="69"/>
    <col min="8966" max="8966" width="13.375" style="69" customWidth="1"/>
    <col min="8967" max="8967" width="9.125" style="69"/>
    <col min="8968" max="8968" width="11.375" style="69" bestFit="1" customWidth="1"/>
    <col min="8969" max="8970" width="9.125" style="69"/>
    <col min="8971" max="8971" width="13.375" style="69" customWidth="1"/>
    <col min="8972" max="9204" width="9.125" style="69"/>
    <col min="9205" max="9205" width="69.875" style="69" customWidth="1"/>
    <col min="9206" max="9206" width="9.625" style="69" customWidth="1"/>
    <col min="9207" max="9210" width="0" style="69" hidden="1" customWidth="1"/>
    <col min="9211" max="9211" width="13.875" style="69" customWidth="1"/>
    <col min="9212" max="9217" width="0" style="69" hidden="1" customWidth="1"/>
    <col min="9218" max="9221" width="9.125" style="69"/>
    <col min="9222" max="9222" width="13.375" style="69" customWidth="1"/>
    <col min="9223" max="9223" width="9.125" style="69"/>
    <col min="9224" max="9224" width="11.375" style="69" bestFit="1" customWidth="1"/>
    <col min="9225" max="9226" width="9.125" style="69"/>
    <col min="9227" max="9227" width="13.375" style="69" customWidth="1"/>
    <col min="9228" max="9460" width="9.125" style="69"/>
    <col min="9461" max="9461" width="69.875" style="69" customWidth="1"/>
    <col min="9462" max="9462" width="9.625" style="69" customWidth="1"/>
    <col min="9463" max="9466" width="0" style="69" hidden="1" customWidth="1"/>
    <col min="9467" max="9467" width="13.875" style="69" customWidth="1"/>
    <col min="9468" max="9473" width="0" style="69" hidden="1" customWidth="1"/>
    <col min="9474" max="9477" width="9.125" style="69"/>
    <col min="9478" max="9478" width="13.375" style="69" customWidth="1"/>
    <col min="9479" max="9479" width="9.125" style="69"/>
    <col min="9480" max="9480" width="11.375" style="69" bestFit="1" customWidth="1"/>
    <col min="9481" max="9482" width="9.125" style="69"/>
    <col min="9483" max="9483" width="13.375" style="69" customWidth="1"/>
    <col min="9484" max="9716" width="9.125" style="69"/>
    <col min="9717" max="9717" width="69.875" style="69" customWidth="1"/>
    <col min="9718" max="9718" width="9.625" style="69" customWidth="1"/>
    <col min="9719" max="9722" width="0" style="69" hidden="1" customWidth="1"/>
    <col min="9723" max="9723" width="13.875" style="69" customWidth="1"/>
    <col min="9724" max="9729" width="0" style="69" hidden="1" customWidth="1"/>
    <col min="9730" max="9733" width="9.125" style="69"/>
    <col min="9734" max="9734" width="13.375" style="69" customWidth="1"/>
    <col min="9735" max="9735" width="9.125" style="69"/>
    <col min="9736" max="9736" width="11.375" style="69" bestFit="1" customWidth="1"/>
    <col min="9737" max="9738" width="9.125" style="69"/>
    <col min="9739" max="9739" width="13.375" style="69" customWidth="1"/>
    <col min="9740" max="9972" width="9.125" style="69"/>
    <col min="9973" max="9973" width="69.875" style="69" customWidth="1"/>
    <col min="9974" max="9974" width="9.625" style="69" customWidth="1"/>
    <col min="9975" max="9978" width="0" style="69" hidden="1" customWidth="1"/>
    <col min="9979" max="9979" width="13.875" style="69" customWidth="1"/>
    <col min="9980" max="9985" width="0" style="69" hidden="1" customWidth="1"/>
    <col min="9986" max="9989" width="9.125" style="69"/>
    <col min="9990" max="9990" width="13.375" style="69" customWidth="1"/>
    <col min="9991" max="9991" width="9.125" style="69"/>
    <col min="9992" max="9992" width="11.375" style="69" bestFit="1" customWidth="1"/>
    <col min="9993" max="9994" width="9.125" style="69"/>
    <col min="9995" max="9995" width="13.375" style="69" customWidth="1"/>
    <col min="9996" max="10228" width="9.125" style="69"/>
    <col min="10229" max="10229" width="69.875" style="69" customWidth="1"/>
    <col min="10230" max="10230" width="9.625" style="69" customWidth="1"/>
    <col min="10231" max="10234" width="0" style="69" hidden="1" customWidth="1"/>
    <col min="10235" max="10235" width="13.875" style="69" customWidth="1"/>
    <col min="10236" max="10241" width="0" style="69" hidden="1" customWidth="1"/>
    <col min="10242" max="10245" width="9.125" style="69"/>
    <col min="10246" max="10246" width="13.375" style="69" customWidth="1"/>
    <col min="10247" max="10247" width="9.125" style="69"/>
    <col min="10248" max="10248" width="11.375" style="69" bestFit="1" customWidth="1"/>
    <col min="10249" max="10250" width="9.125" style="69"/>
    <col min="10251" max="10251" width="13.375" style="69" customWidth="1"/>
    <col min="10252" max="10484" width="9.125" style="69"/>
    <col min="10485" max="10485" width="69.875" style="69" customWidth="1"/>
    <col min="10486" max="10486" width="9.625" style="69" customWidth="1"/>
    <col min="10487" max="10490" width="0" style="69" hidden="1" customWidth="1"/>
    <col min="10491" max="10491" width="13.875" style="69" customWidth="1"/>
    <col min="10492" max="10497" width="0" style="69" hidden="1" customWidth="1"/>
    <col min="10498" max="10501" width="9.125" style="69"/>
    <col min="10502" max="10502" width="13.375" style="69" customWidth="1"/>
    <col min="10503" max="10503" width="9.125" style="69"/>
    <col min="10504" max="10504" width="11.375" style="69" bestFit="1" customWidth="1"/>
    <col min="10505" max="10506" width="9.125" style="69"/>
    <col min="10507" max="10507" width="13.375" style="69" customWidth="1"/>
    <col min="10508" max="10740" width="9.125" style="69"/>
    <col min="10741" max="10741" width="69.875" style="69" customWidth="1"/>
    <col min="10742" max="10742" width="9.625" style="69" customWidth="1"/>
    <col min="10743" max="10746" width="0" style="69" hidden="1" customWidth="1"/>
    <col min="10747" max="10747" width="13.875" style="69" customWidth="1"/>
    <col min="10748" max="10753" width="0" style="69" hidden="1" customWidth="1"/>
    <col min="10754" max="10757" width="9.125" style="69"/>
    <col min="10758" max="10758" width="13.375" style="69" customWidth="1"/>
    <col min="10759" max="10759" width="9.125" style="69"/>
    <col min="10760" max="10760" width="11.375" style="69" bestFit="1" customWidth="1"/>
    <col min="10761" max="10762" width="9.125" style="69"/>
    <col min="10763" max="10763" width="13.375" style="69" customWidth="1"/>
    <col min="10764" max="10996" width="9.125" style="69"/>
    <col min="10997" max="10997" width="69.875" style="69" customWidth="1"/>
    <col min="10998" max="10998" width="9.625" style="69" customWidth="1"/>
    <col min="10999" max="11002" width="0" style="69" hidden="1" customWidth="1"/>
    <col min="11003" max="11003" width="13.875" style="69" customWidth="1"/>
    <col min="11004" max="11009" width="0" style="69" hidden="1" customWidth="1"/>
    <col min="11010" max="11013" width="9.125" style="69"/>
    <col min="11014" max="11014" width="13.375" style="69" customWidth="1"/>
    <col min="11015" max="11015" width="9.125" style="69"/>
    <col min="11016" max="11016" width="11.375" style="69" bestFit="1" customWidth="1"/>
    <col min="11017" max="11018" width="9.125" style="69"/>
    <col min="11019" max="11019" width="13.375" style="69" customWidth="1"/>
    <col min="11020" max="11252" width="9.125" style="69"/>
    <col min="11253" max="11253" width="69.875" style="69" customWidth="1"/>
    <col min="11254" max="11254" width="9.625" style="69" customWidth="1"/>
    <col min="11255" max="11258" width="0" style="69" hidden="1" customWidth="1"/>
    <col min="11259" max="11259" width="13.875" style="69" customWidth="1"/>
    <col min="11260" max="11265" width="0" style="69" hidden="1" customWidth="1"/>
    <col min="11266" max="11269" width="9.125" style="69"/>
    <col min="11270" max="11270" width="13.375" style="69" customWidth="1"/>
    <col min="11271" max="11271" width="9.125" style="69"/>
    <col min="11272" max="11272" width="11.375" style="69" bestFit="1" customWidth="1"/>
    <col min="11273" max="11274" width="9.125" style="69"/>
    <col min="11275" max="11275" width="13.375" style="69" customWidth="1"/>
    <col min="11276" max="11508" width="9.125" style="69"/>
    <col min="11509" max="11509" width="69.875" style="69" customWidth="1"/>
    <col min="11510" max="11510" width="9.625" style="69" customWidth="1"/>
    <col min="11511" max="11514" width="0" style="69" hidden="1" customWidth="1"/>
    <col min="11515" max="11515" width="13.875" style="69" customWidth="1"/>
    <col min="11516" max="11521" width="0" style="69" hidden="1" customWidth="1"/>
    <col min="11522" max="11525" width="9.125" style="69"/>
    <col min="11526" max="11526" width="13.375" style="69" customWidth="1"/>
    <col min="11527" max="11527" width="9.125" style="69"/>
    <col min="11528" max="11528" width="11.375" style="69" bestFit="1" customWidth="1"/>
    <col min="11529" max="11530" width="9.125" style="69"/>
    <col min="11531" max="11531" width="13.375" style="69" customWidth="1"/>
    <col min="11532" max="11764" width="9.125" style="69"/>
    <col min="11765" max="11765" width="69.875" style="69" customWidth="1"/>
    <col min="11766" max="11766" width="9.625" style="69" customWidth="1"/>
    <col min="11767" max="11770" width="0" style="69" hidden="1" customWidth="1"/>
    <col min="11771" max="11771" width="13.875" style="69" customWidth="1"/>
    <col min="11772" max="11777" width="0" style="69" hidden="1" customWidth="1"/>
    <col min="11778" max="11781" width="9.125" style="69"/>
    <col min="11782" max="11782" width="13.375" style="69" customWidth="1"/>
    <col min="11783" max="11783" width="9.125" style="69"/>
    <col min="11784" max="11784" width="11.375" style="69" bestFit="1" customWidth="1"/>
    <col min="11785" max="11786" width="9.125" style="69"/>
    <col min="11787" max="11787" width="13.375" style="69" customWidth="1"/>
    <col min="11788" max="12020" width="9.125" style="69"/>
    <col min="12021" max="12021" width="69.875" style="69" customWidth="1"/>
    <col min="12022" max="12022" width="9.625" style="69" customWidth="1"/>
    <col min="12023" max="12026" width="0" style="69" hidden="1" customWidth="1"/>
    <col min="12027" max="12027" width="13.875" style="69" customWidth="1"/>
    <col min="12028" max="12033" width="0" style="69" hidden="1" customWidth="1"/>
    <col min="12034" max="12037" width="9.125" style="69"/>
    <col min="12038" max="12038" width="13.375" style="69" customWidth="1"/>
    <col min="12039" max="12039" width="9.125" style="69"/>
    <col min="12040" max="12040" width="11.375" style="69" bestFit="1" customWidth="1"/>
    <col min="12041" max="12042" width="9.125" style="69"/>
    <col min="12043" max="12043" width="13.375" style="69" customWidth="1"/>
    <col min="12044" max="12276" width="9.125" style="69"/>
    <col min="12277" max="12277" width="69.875" style="69" customWidth="1"/>
    <col min="12278" max="12278" width="9.625" style="69" customWidth="1"/>
    <col min="12279" max="12282" width="0" style="69" hidden="1" customWidth="1"/>
    <col min="12283" max="12283" width="13.875" style="69" customWidth="1"/>
    <col min="12284" max="12289" width="0" style="69" hidden="1" customWidth="1"/>
    <col min="12290" max="12293" width="9.125" style="69"/>
    <col min="12294" max="12294" width="13.375" style="69" customWidth="1"/>
    <col min="12295" max="12295" width="9.125" style="69"/>
    <col min="12296" max="12296" width="11.375" style="69" bestFit="1" customWidth="1"/>
    <col min="12297" max="12298" width="9.125" style="69"/>
    <col min="12299" max="12299" width="13.375" style="69" customWidth="1"/>
    <col min="12300" max="12532" width="9.125" style="69"/>
    <col min="12533" max="12533" width="69.875" style="69" customWidth="1"/>
    <col min="12534" max="12534" width="9.625" style="69" customWidth="1"/>
    <col min="12535" max="12538" width="0" style="69" hidden="1" customWidth="1"/>
    <col min="12539" max="12539" width="13.875" style="69" customWidth="1"/>
    <col min="12540" max="12545" width="0" style="69" hidden="1" customWidth="1"/>
    <col min="12546" max="12549" width="9.125" style="69"/>
    <col min="12550" max="12550" width="13.375" style="69" customWidth="1"/>
    <col min="12551" max="12551" width="9.125" style="69"/>
    <col min="12552" max="12552" width="11.375" style="69" bestFit="1" customWidth="1"/>
    <col min="12553" max="12554" width="9.125" style="69"/>
    <col min="12555" max="12555" width="13.375" style="69" customWidth="1"/>
    <col min="12556" max="12788" width="9.125" style="69"/>
    <col min="12789" max="12789" width="69.875" style="69" customWidth="1"/>
    <col min="12790" max="12790" width="9.625" style="69" customWidth="1"/>
    <col min="12791" max="12794" width="0" style="69" hidden="1" customWidth="1"/>
    <col min="12795" max="12795" width="13.875" style="69" customWidth="1"/>
    <col min="12796" max="12801" width="0" style="69" hidden="1" customWidth="1"/>
    <col min="12802" max="12805" width="9.125" style="69"/>
    <col min="12806" max="12806" width="13.375" style="69" customWidth="1"/>
    <col min="12807" max="12807" width="9.125" style="69"/>
    <col min="12808" max="12808" width="11.375" style="69" bestFit="1" customWidth="1"/>
    <col min="12809" max="12810" width="9.125" style="69"/>
    <col min="12811" max="12811" width="13.375" style="69" customWidth="1"/>
    <col min="12812" max="13044" width="9.125" style="69"/>
    <col min="13045" max="13045" width="69.875" style="69" customWidth="1"/>
    <col min="13046" max="13046" width="9.625" style="69" customWidth="1"/>
    <col min="13047" max="13050" width="0" style="69" hidden="1" customWidth="1"/>
    <col min="13051" max="13051" width="13.875" style="69" customWidth="1"/>
    <col min="13052" max="13057" width="0" style="69" hidden="1" customWidth="1"/>
    <col min="13058" max="13061" width="9.125" style="69"/>
    <col min="13062" max="13062" width="13.375" style="69" customWidth="1"/>
    <col min="13063" max="13063" width="9.125" style="69"/>
    <col min="13064" max="13064" width="11.375" style="69" bestFit="1" customWidth="1"/>
    <col min="13065" max="13066" width="9.125" style="69"/>
    <col min="13067" max="13067" width="13.375" style="69" customWidth="1"/>
    <col min="13068" max="13300" width="9.125" style="69"/>
    <col min="13301" max="13301" width="69.875" style="69" customWidth="1"/>
    <col min="13302" max="13302" width="9.625" style="69" customWidth="1"/>
    <col min="13303" max="13306" width="0" style="69" hidden="1" customWidth="1"/>
    <col min="13307" max="13307" width="13.875" style="69" customWidth="1"/>
    <col min="13308" max="13313" width="0" style="69" hidden="1" customWidth="1"/>
    <col min="13314" max="13317" width="9.125" style="69"/>
    <col min="13318" max="13318" width="13.375" style="69" customWidth="1"/>
    <col min="13319" max="13319" width="9.125" style="69"/>
    <col min="13320" max="13320" width="11.375" style="69" bestFit="1" customWidth="1"/>
    <col min="13321" max="13322" width="9.125" style="69"/>
    <col min="13323" max="13323" width="13.375" style="69" customWidth="1"/>
    <col min="13324" max="13556" width="9.125" style="69"/>
    <col min="13557" max="13557" width="69.875" style="69" customWidth="1"/>
    <col min="13558" max="13558" width="9.625" style="69" customWidth="1"/>
    <col min="13559" max="13562" width="0" style="69" hidden="1" customWidth="1"/>
    <col min="13563" max="13563" width="13.875" style="69" customWidth="1"/>
    <col min="13564" max="13569" width="0" style="69" hidden="1" customWidth="1"/>
    <col min="13570" max="13573" width="9.125" style="69"/>
    <col min="13574" max="13574" width="13.375" style="69" customWidth="1"/>
    <col min="13575" max="13575" width="9.125" style="69"/>
    <col min="13576" max="13576" width="11.375" style="69" bestFit="1" customWidth="1"/>
    <col min="13577" max="13578" width="9.125" style="69"/>
    <col min="13579" max="13579" width="13.375" style="69" customWidth="1"/>
    <col min="13580" max="13812" width="9.125" style="69"/>
    <col min="13813" max="13813" width="69.875" style="69" customWidth="1"/>
    <col min="13814" max="13814" width="9.625" style="69" customWidth="1"/>
    <col min="13815" max="13818" width="0" style="69" hidden="1" customWidth="1"/>
    <col min="13819" max="13819" width="13.875" style="69" customWidth="1"/>
    <col min="13820" max="13825" width="0" style="69" hidden="1" customWidth="1"/>
    <col min="13826" max="13829" width="9.125" style="69"/>
    <col min="13830" max="13830" width="13.375" style="69" customWidth="1"/>
    <col min="13831" max="13831" width="9.125" style="69"/>
    <col min="13832" max="13832" width="11.375" style="69" bestFit="1" customWidth="1"/>
    <col min="13833" max="13834" width="9.125" style="69"/>
    <col min="13835" max="13835" width="13.375" style="69" customWidth="1"/>
    <col min="13836" max="14068" width="9.125" style="69"/>
    <col min="14069" max="14069" width="69.875" style="69" customWidth="1"/>
    <col min="14070" max="14070" width="9.625" style="69" customWidth="1"/>
    <col min="14071" max="14074" width="0" style="69" hidden="1" customWidth="1"/>
    <col min="14075" max="14075" width="13.875" style="69" customWidth="1"/>
    <col min="14076" max="14081" width="0" style="69" hidden="1" customWidth="1"/>
    <col min="14082" max="14085" width="9.125" style="69"/>
    <col min="14086" max="14086" width="13.375" style="69" customWidth="1"/>
    <col min="14087" max="14087" width="9.125" style="69"/>
    <col min="14088" max="14088" width="11.375" style="69" bestFit="1" customWidth="1"/>
    <col min="14089" max="14090" width="9.125" style="69"/>
    <col min="14091" max="14091" width="13.375" style="69" customWidth="1"/>
    <col min="14092" max="14324" width="9.125" style="69"/>
    <col min="14325" max="14325" width="69.875" style="69" customWidth="1"/>
    <col min="14326" max="14326" width="9.625" style="69" customWidth="1"/>
    <col min="14327" max="14330" width="0" style="69" hidden="1" customWidth="1"/>
    <col min="14331" max="14331" width="13.875" style="69" customWidth="1"/>
    <col min="14332" max="14337" width="0" style="69" hidden="1" customWidth="1"/>
    <col min="14338" max="14341" width="9.125" style="69"/>
    <col min="14342" max="14342" width="13.375" style="69" customWidth="1"/>
    <col min="14343" max="14343" width="9.125" style="69"/>
    <col min="14344" max="14344" width="11.375" style="69" bestFit="1" customWidth="1"/>
    <col min="14345" max="14346" width="9.125" style="69"/>
    <col min="14347" max="14347" width="13.375" style="69" customWidth="1"/>
    <col min="14348" max="14580" width="9.125" style="69"/>
    <col min="14581" max="14581" width="69.875" style="69" customWidth="1"/>
    <col min="14582" max="14582" width="9.625" style="69" customWidth="1"/>
    <col min="14583" max="14586" width="0" style="69" hidden="1" customWidth="1"/>
    <col min="14587" max="14587" width="13.875" style="69" customWidth="1"/>
    <col min="14588" max="14593" width="0" style="69" hidden="1" customWidth="1"/>
    <col min="14594" max="14597" width="9.125" style="69"/>
    <col min="14598" max="14598" width="13.375" style="69" customWidth="1"/>
    <col min="14599" max="14599" width="9.125" style="69"/>
    <col min="14600" max="14600" width="11.375" style="69" bestFit="1" customWidth="1"/>
    <col min="14601" max="14602" width="9.125" style="69"/>
    <col min="14603" max="14603" width="13.375" style="69" customWidth="1"/>
    <col min="14604" max="14836" width="9.125" style="69"/>
    <col min="14837" max="14837" width="69.875" style="69" customWidth="1"/>
    <col min="14838" max="14838" width="9.625" style="69" customWidth="1"/>
    <col min="14839" max="14842" width="0" style="69" hidden="1" customWidth="1"/>
    <col min="14843" max="14843" width="13.875" style="69" customWidth="1"/>
    <col min="14844" max="14849" width="0" style="69" hidden="1" customWidth="1"/>
    <col min="14850" max="14853" width="9.125" style="69"/>
    <col min="14854" max="14854" width="13.375" style="69" customWidth="1"/>
    <col min="14855" max="14855" width="9.125" style="69"/>
    <col min="14856" max="14856" width="11.375" style="69" bestFit="1" customWidth="1"/>
    <col min="14857" max="14858" width="9.125" style="69"/>
    <col min="14859" max="14859" width="13.375" style="69" customWidth="1"/>
    <col min="14860" max="15092" width="9.125" style="69"/>
    <col min="15093" max="15093" width="69.875" style="69" customWidth="1"/>
    <col min="15094" max="15094" width="9.625" style="69" customWidth="1"/>
    <col min="15095" max="15098" width="0" style="69" hidden="1" customWidth="1"/>
    <col min="15099" max="15099" width="13.875" style="69" customWidth="1"/>
    <col min="15100" max="15105" width="0" style="69" hidden="1" customWidth="1"/>
    <col min="15106" max="15109" width="9.125" style="69"/>
    <col min="15110" max="15110" width="13.375" style="69" customWidth="1"/>
    <col min="15111" max="15111" width="9.125" style="69"/>
    <col min="15112" max="15112" width="11.375" style="69" bestFit="1" customWidth="1"/>
    <col min="15113" max="15114" width="9.125" style="69"/>
    <col min="15115" max="15115" width="13.375" style="69" customWidth="1"/>
    <col min="15116" max="15348" width="9.125" style="69"/>
    <col min="15349" max="15349" width="69.875" style="69" customWidth="1"/>
    <col min="15350" max="15350" width="9.625" style="69" customWidth="1"/>
    <col min="15351" max="15354" width="0" style="69" hidden="1" customWidth="1"/>
    <col min="15355" max="15355" width="13.875" style="69" customWidth="1"/>
    <col min="15356" max="15361" width="0" style="69" hidden="1" customWidth="1"/>
    <col min="15362" max="15365" width="9.125" style="69"/>
    <col min="15366" max="15366" width="13.375" style="69" customWidth="1"/>
    <col min="15367" max="15367" width="9.125" style="69"/>
    <col min="15368" max="15368" width="11.375" style="69" bestFit="1" customWidth="1"/>
    <col min="15369" max="15370" width="9.125" style="69"/>
    <col min="15371" max="15371" width="13.375" style="69" customWidth="1"/>
    <col min="15372" max="15604" width="9.125" style="69"/>
    <col min="15605" max="15605" width="69.875" style="69" customWidth="1"/>
    <col min="15606" max="15606" width="9.625" style="69" customWidth="1"/>
    <col min="15607" max="15610" width="0" style="69" hidden="1" customWidth="1"/>
    <col min="15611" max="15611" width="13.875" style="69" customWidth="1"/>
    <col min="15612" max="15617" width="0" style="69" hidden="1" customWidth="1"/>
    <col min="15618" max="15621" width="9.125" style="69"/>
    <col min="15622" max="15622" width="13.375" style="69" customWidth="1"/>
    <col min="15623" max="15623" width="9.125" style="69"/>
    <col min="15624" max="15624" width="11.375" style="69" bestFit="1" customWidth="1"/>
    <col min="15625" max="15626" width="9.125" style="69"/>
    <col min="15627" max="15627" width="13.375" style="69" customWidth="1"/>
    <col min="15628" max="15860" width="9.125" style="69"/>
    <col min="15861" max="15861" width="69.875" style="69" customWidth="1"/>
    <col min="15862" max="15862" width="9.625" style="69" customWidth="1"/>
    <col min="15863" max="15866" width="0" style="69" hidden="1" customWidth="1"/>
    <col min="15867" max="15867" width="13.875" style="69" customWidth="1"/>
    <col min="15868" max="15873" width="0" style="69" hidden="1" customWidth="1"/>
    <col min="15874" max="15877" width="9.125" style="69"/>
    <col min="15878" max="15878" width="13.375" style="69" customWidth="1"/>
    <col min="15879" max="15879" width="9.125" style="69"/>
    <col min="15880" max="15880" width="11.375" style="69" bestFit="1" customWidth="1"/>
    <col min="15881" max="15882" width="9.125" style="69"/>
    <col min="15883" max="15883" width="13.375" style="69" customWidth="1"/>
    <col min="15884" max="16116" width="9.125" style="69"/>
    <col min="16117" max="16117" width="69.875" style="69" customWidth="1"/>
    <col min="16118" max="16118" width="9.625" style="69" customWidth="1"/>
    <col min="16119" max="16122" width="0" style="69" hidden="1" customWidth="1"/>
    <col min="16123" max="16123" width="13.875" style="69" customWidth="1"/>
    <col min="16124" max="16129" width="0" style="69" hidden="1" customWidth="1"/>
    <col min="16130" max="16133" width="9.125" style="69"/>
    <col min="16134" max="16134" width="13.375" style="69" customWidth="1"/>
    <col min="16135" max="16135" width="9.125" style="69"/>
    <col min="16136" max="16136" width="11.375" style="69" bestFit="1" customWidth="1"/>
    <col min="16137" max="16138" width="9.125" style="69"/>
    <col min="16139" max="16139" width="13.375" style="69" customWidth="1"/>
    <col min="16140" max="16384" width="9.125" style="69"/>
  </cols>
  <sheetData>
    <row r="1" spans="1:11" x14ac:dyDescent="0.3">
      <c r="C1" s="414" t="s">
        <v>1146</v>
      </c>
    </row>
    <row r="2" spans="1:11" x14ac:dyDescent="0.3">
      <c r="C2" s="414" t="s">
        <v>800</v>
      </c>
    </row>
    <row r="3" spans="1:11" x14ac:dyDescent="0.3">
      <c r="C3" s="414" t="s">
        <v>591</v>
      </c>
    </row>
    <row r="4" spans="1:11" x14ac:dyDescent="0.3">
      <c r="C4" s="414" t="s">
        <v>887</v>
      </c>
    </row>
    <row r="5" spans="1:11" x14ac:dyDescent="0.3">
      <c r="A5" s="657" t="s">
        <v>194</v>
      </c>
      <c r="B5" s="665"/>
      <c r="C5" s="665"/>
    </row>
    <row r="6" spans="1:11" x14ac:dyDescent="0.3">
      <c r="A6" s="648" t="s">
        <v>1137</v>
      </c>
      <c r="B6" s="666"/>
      <c r="C6" s="666"/>
    </row>
    <row r="7" spans="1:11" s="106" customFormat="1" x14ac:dyDescent="0.3">
      <c r="A7" s="150"/>
      <c r="B7" s="151"/>
      <c r="C7" s="89" t="s">
        <v>382</v>
      </c>
      <c r="D7" s="105"/>
      <c r="E7" s="104"/>
      <c r="F7" s="105"/>
    </row>
    <row r="8" spans="1:11" x14ac:dyDescent="0.25">
      <c r="A8" s="72" t="s">
        <v>238</v>
      </c>
      <c r="B8" s="72" t="s">
        <v>3</v>
      </c>
      <c r="C8" s="72" t="s">
        <v>195</v>
      </c>
    </row>
    <row r="9" spans="1:11" ht="36.700000000000003" x14ac:dyDescent="0.25">
      <c r="A9" s="34" t="s">
        <v>1169</v>
      </c>
      <c r="B9" s="35" t="s">
        <v>138</v>
      </c>
      <c r="C9" s="50">
        <f>C10+C14+C20+C24+C25+C26</f>
        <v>800868800.99999988</v>
      </c>
      <c r="D9" s="99">
        <f>'прил 7 '!F711</f>
        <v>800868800.99999988</v>
      </c>
      <c r="E9" s="134">
        <f>C9/C76*100</f>
        <v>81.261023037762854</v>
      </c>
      <c r="F9" s="107"/>
      <c r="G9" s="67"/>
      <c r="H9" s="67"/>
      <c r="I9" s="67"/>
      <c r="J9" s="135"/>
      <c r="K9" s="135"/>
    </row>
    <row r="10" spans="1:11" ht="36.700000000000003" x14ac:dyDescent="0.3">
      <c r="A10" s="108" t="s">
        <v>1186</v>
      </c>
      <c r="B10" s="109" t="s">
        <v>139</v>
      </c>
      <c r="C10" s="27">
        <f>C11+C12+C13</f>
        <v>163425845.18000001</v>
      </c>
      <c r="D10" s="99"/>
      <c r="E10" s="134"/>
      <c r="F10" s="107"/>
      <c r="G10" s="67"/>
      <c r="H10" s="67"/>
      <c r="I10" s="67"/>
      <c r="J10" s="135"/>
      <c r="K10" s="135"/>
    </row>
    <row r="11" spans="1:11" ht="36.700000000000003" x14ac:dyDescent="0.25">
      <c r="A11" s="64" t="s">
        <v>200</v>
      </c>
      <c r="B11" s="38" t="s">
        <v>216</v>
      </c>
      <c r="C11" s="28">
        <f>'прил 9 '!E361</f>
        <v>159342434.18000001</v>
      </c>
      <c r="D11" s="99"/>
      <c r="E11" s="134"/>
      <c r="F11" s="107"/>
      <c r="G11" s="67"/>
      <c r="H11" s="67"/>
      <c r="I11" s="67"/>
      <c r="J11" s="135"/>
      <c r="K11" s="135"/>
    </row>
    <row r="12" spans="1:11" ht="36.700000000000003" x14ac:dyDescent="0.25">
      <c r="A12" s="64" t="s">
        <v>201</v>
      </c>
      <c r="B12" s="38" t="s">
        <v>218</v>
      </c>
      <c r="C12" s="28">
        <f>'прил 9 '!E368</f>
        <v>158000</v>
      </c>
      <c r="D12" s="99"/>
      <c r="E12" s="134"/>
      <c r="F12" s="107"/>
      <c r="G12" s="67"/>
      <c r="H12" s="67"/>
      <c r="I12" s="67"/>
      <c r="J12" s="135"/>
      <c r="K12" s="135"/>
    </row>
    <row r="13" spans="1:11" ht="25.15" customHeight="1" x14ac:dyDescent="0.25">
      <c r="A13" s="64" t="s">
        <v>202</v>
      </c>
      <c r="B13" s="38" t="s">
        <v>231</v>
      </c>
      <c r="C13" s="28">
        <f>'прил 9 '!E559</f>
        <v>3925411</v>
      </c>
      <c r="D13" s="99"/>
      <c r="E13" s="134"/>
      <c r="F13" s="107"/>
      <c r="G13" s="67"/>
      <c r="H13" s="67"/>
      <c r="I13" s="67"/>
      <c r="J13" s="135"/>
      <c r="K13" s="135"/>
    </row>
    <row r="14" spans="1:11" ht="36.700000000000003" x14ac:dyDescent="0.25">
      <c r="A14" s="110" t="s">
        <v>1187</v>
      </c>
      <c r="B14" s="109" t="s">
        <v>146</v>
      </c>
      <c r="C14" s="27">
        <f>C15+C16+C17+C19+C18</f>
        <v>581033474.67999995</v>
      </c>
      <c r="D14" s="99"/>
      <c r="E14" s="134"/>
      <c r="F14" s="107"/>
      <c r="G14" s="67"/>
      <c r="H14" s="67"/>
      <c r="I14" s="67"/>
      <c r="J14" s="135"/>
      <c r="K14" s="135"/>
    </row>
    <row r="15" spans="1:11" ht="36.700000000000003" x14ac:dyDescent="0.25">
      <c r="A15" s="64" t="s">
        <v>203</v>
      </c>
      <c r="B15" s="38" t="s">
        <v>219</v>
      </c>
      <c r="C15" s="28">
        <f>'прил 9 '!E390</f>
        <v>560972113.84000003</v>
      </c>
      <c r="D15" s="99"/>
      <c r="E15" s="134"/>
      <c r="F15" s="107"/>
      <c r="G15" s="67"/>
      <c r="H15" s="67"/>
      <c r="I15" s="67"/>
      <c r="J15" s="135"/>
      <c r="K15" s="135"/>
    </row>
    <row r="16" spans="1:11" ht="36.700000000000003" x14ac:dyDescent="0.25">
      <c r="A16" s="64" t="s">
        <v>204</v>
      </c>
      <c r="B16" s="38" t="s">
        <v>217</v>
      </c>
      <c r="C16" s="28">
        <f>'прил 9 '!E403+'прил 9 '!E466</f>
        <v>291200</v>
      </c>
      <c r="D16" s="99"/>
      <c r="E16" s="134"/>
      <c r="F16" s="107"/>
      <c r="G16" s="67"/>
      <c r="H16" s="67"/>
      <c r="I16" s="67"/>
      <c r="J16" s="135"/>
      <c r="K16" s="135"/>
    </row>
    <row r="17" spans="1:11" ht="37.549999999999997" customHeight="1" x14ac:dyDescent="0.25">
      <c r="A17" s="64" t="s">
        <v>243</v>
      </c>
      <c r="B17" s="38" t="s">
        <v>220</v>
      </c>
      <c r="C17" s="28">
        <f>'прил 9 '!E425+'прил 9 '!E495</f>
        <v>12695824</v>
      </c>
      <c r="D17" s="99"/>
      <c r="E17" s="134"/>
      <c r="F17" s="107"/>
      <c r="G17" s="67"/>
      <c r="H17" s="67"/>
      <c r="I17" s="67"/>
      <c r="J17" s="135"/>
      <c r="K17" s="135"/>
    </row>
    <row r="18" spans="1:11" ht="37.549999999999997" customHeight="1" x14ac:dyDescent="0.25">
      <c r="A18" s="64" t="s">
        <v>880</v>
      </c>
      <c r="B18" s="38" t="s">
        <v>302</v>
      </c>
      <c r="C18" s="28">
        <f>'прил 9 '!E432</f>
        <v>2992959.54</v>
      </c>
      <c r="D18" s="99"/>
      <c r="E18" s="134"/>
      <c r="F18" s="107"/>
      <c r="G18" s="67"/>
      <c r="H18" s="67"/>
      <c r="I18" s="67"/>
      <c r="J18" s="135"/>
      <c r="K18" s="135"/>
    </row>
    <row r="19" spans="1:11" ht="37.549999999999997" customHeight="1" x14ac:dyDescent="0.25">
      <c r="A19" s="64" t="s">
        <v>995</v>
      </c>
      <c r="B19" s="38" t="s">
        <v>997</v>
      </c>
      <c r="C19" s="28">
        <f>'прил 9 '!E436</f>
        <v>4081377.3</v>
      </c>
      <c r="D19" s="99"/>
      <c r="E19" s="134"/>
      <c r="F19" s="107"/>
      <c r="G19" s="67"/>
      <c r="H19" s="67"/>
      <c r="I19" s="67"/>
      <c r="J19" s="135"/>
      <c r="K19" s="135"/>
    </row>
    <row r="20" spans="1:11" ht="37.549999999999997" customHeight="1" x14ac:dyDescent="0.25">
      <c r="A20" s="110" t="s">
        <v>1188</v>
      </c>
      <c r="B20" s="109" t="s">
        <v>149</v>
      </c>
      <c r="C20" s="27">
        <f>C21+C22+C23</f>
        <v>28502775.140000001</v>
      </c>
      <c r="D20" s="99"/>
      <c r="E20" s="134"/>
      <c r="F20" s="107"/>
      <c r="G20" s="67"/>
      <c r="H20" s="67"/>
      <c r="I20" s="67"/>
      <c r="J20" s="135"/>
      <c r="K20" s="135"/>
    </row>
    <row r="21" spans="1:11" ht="36.700000000000003" x14ac:dyDescent="0.25">
      <c r="A21" s="64" t="s">
        <v>205</v>
      </c>
      <c r="B21" s="38" t="s">
        <v>221</v>
      </c>
      <c r="C21" s="28">
        <f>'прил 9 '!E443</f>
        <v>26734985.140000001</v>
      </c>
      <c r="D21" s="99"/>
      <c r="E21" s="134"/>
      <c r="F21" s="107"/>
      <c r="G21" s="67"/>
      <c r="H21" s="67"/>
      <c r="I21" s="67"/>
      <c r="J21" s="135"/>
      <c r="K21" s="135"/>
    </row>
    <row r="22" spans="1:11" ht="36.700000000000003" x14ac:dyDescent="0.25">
      <c r="A22" s="64" t="s">
        <v>1139</v>
      </c>
      <c r="B22" s="38" t="s">
        <v>222</v>
      </c>
      <c r="C22" s="28">
        <f>'прил 9 '!E447</f>
        <v>31600</v>
      </c>
      <c r="D22" s="99"/>
      <c r="E22" s="134"/>
      <c r="F22" s="107"/>
      <c r="G22" s="67"/>
      <c r="H22" s="67"/>
      <c r="I22" s="67"/>
      <c r="J22" s="135"/>
      <c r="K22" s="135"/>
    </row>
    <row r="23" spans="1:11" ht="59.8" customHeight="1" x14ac:dyDescent="0.25">
      <c r="A23" s="37" t="s">
        <v>1087</v>
      </c>
      <c r="B23" s="38" t="s">
        <v>1088</v>
      </c>
      <c r="C23" s="28">
        <f>'прил 9 '!E454</f>
        <v>1736190</v>
      </c>
      <c r="D23" s="99"/>
      <c r="E23" s="134"/>
      <c r="F23" s="107"/>
      <c r="G23" s="67"/>
      <c r="H23" s="67"/>
      <c r="I23" s="67"/>
      <c r="J23" s="135"/>
      <c r="K23" s="135"/>
    </row>
    <row r="24" spans="1:11" ht="36.700000000000003" x14ac:dyDescent="0.25">
      <c r="A24" s="64" t="s">
        <v>206</v>
      </c>
      <c r="B24" s="38" t="s">
        <v>223</v>
      </c>
      <c r="C24" s="28">
        <f>'прил 9 '!E476</f>
        <v>26621706</v>
      </c>
      <c r="D24" s="99"/>
      <c r="E24" s="134"/>
      <c r="F24" s="107"/>
      <c r="G24" s="67"/>
      <c r="H24" s="67"/>
      <c r="I24" s="67"/>
      <c r="J24" s="135"/>
      <c r="K24" s="135"/>
    </row>
    <row r="25" spans="1:11" ht="30.6" customHeight="1" x14ac:dyDescent="0.25">
      <c r="A25" s="64" t="s">
        <v>234</v>
      </c>
      <c r="B25" s="38" t="s">
        <v>233</v>
      </c>
      <c r="C25" s="28">
        <f>'прил 9 '!E470</f>
        <v>125000</v>
      </c>
      <c r="D25" s="99"/>
      <c r="E25" s="134"/>
      <c r="F25" s="107"/>
      <c r="G25" s="67"/>
      <c r="H25" s="67"/>
      <c r="I25" s="67"/>
      <c r="J25" s="135"/>
      <c r="K25" s="135"/>
    </row>
    <row r="26" spans="1:11" ht="34.65" customHeight="1" x14ac:dyDescent="0.25">
      <c r="A26" s="41" t="s">
        <v>886</v>
      </c>
      <c r="B26" s="38" t="s">
        <v>667</v>
      </c>
      <c r="C26" s="28">
        <f>'прил 9 '!E535</f>
        <v>1160000</v>
      </c>
      <c r="D26" s="99"/>
      <c r="E26" s="134"/>
      <c r="F26" s="107"/>
      <c r="G26" s="67"/>
      <c r="H26" s="67"/>
      <c r="I26" s="67"/>
      <c r="J26" s="135"/>
      <c r="K26" s="135"/>
    </row>
    <row r="27" spans="1:11" ht="36.700000000000003" x14ac:dyDescent="0.25">
      <c r="A27" s="34" t="s">
        <v>1182</v>
      </c>
      <c r="B27" s="35" t="s">
        <v>136</v>
      </c>
      <c r="C27" s="50">
        <f>C28+C29+C30+C31</f>
        <v>63102097.159999996</v>
      </c>
      <c r="D27" s="99">
        <f>'прил 7 '!F712</f>
        <v>63102097.159999996</v>
      </c>
      <c r="E27" s="134">
        <f>C27/C76*100</f>
        <v>6.4027228487951922</v>
      </c>
      <c r="F27" s="107"/>
      <c r="G27" s="67"/>
      <c r="H27" s="67"/>
      <c r="I27" s="67"/>
      <c r="J27" s="135"/>
      <c r="K27" s="135"/>
    </row>
    <row r="28" spans="1:11" ht="36.700000000000003" x14ac:dyDescent="0.25">
      <c r="A28" s="64" t="s">
        <v>207</v>
      </c>
      <c r="B28" s="38" t="s">
        <v>224</v>
      </c>
      <c r="C28" s="28">
        <f>'прил 9 '!E506</f>
        <v>12712813.279999999</v>
      </c>
      <c r="D28" s="99"/>
      <c r="E28" s="134"/>
      <c r="F28" s="107"/>
      <c r="G28" s="67"/>
      <c r="H28" s="67"/>
      <c r="I28" s="67"/>
      <c r="J28" s="135"/>
      <c r="K28" s="135"/>
    </row>
    <row r="29" spans="1:11" ht="36.700000000000003" x14ac:dyDescent="0.25">
      <c r="A29" s="64" t="s">
        <v>205</v>
      </c>
      <c r="B29" s="38" t="s">
        <v>225</v>
      </c>
      <c r="C29" s="28">
        <f>'прил 9 '!E459</f>
        <v>23376667.030000001</v>
      </c>
      <c r="D29" s="99"/>
      <c r="E29" s="134"/>
      <c r="F29" s="107"/>
      <c r="G29" s="67"/>
      <c r="H29" s="67"/>
      <c r="I29" s="67"/>
      <c r="J29" s="135"/>
      <c r="K29" s="135"/>
    </row>
    <row r="30" spans="1:11" x14ac:dyDescent="0.25">
      <c r="A30" s="64" t="s">
        <v>208</v>
      </c>
      <c r="B30" s="38" t="s">
        <v>226</v>
      </c>
      <c r="C30" s="28">
        <f>'прил 9 '!E520+'прил 9 '!E579</f>
        <v>746500</v>
      </c>
      <c r="D30" s="429"/>
      <c r="E30" s="134"/>
      <c r="F30" s="107"/>
      <c r="G30" s="67"/>
      <c r="H30" s="67"/>
      <c r="I30" s="67"/>
      <c r="J30" s="135"/>
      <c r="K30" s="135"/>
    </row>
    <row r="31" spans="1:11" ht="26.5" customHeight="1" x14ac:dyDescent="0.25">
      <c r="A31" s="64" t="s">
        <v>612</v>
      </c>
      <c r="B31" s="38" t="s">
        <v>611</v>
      </c>
      <c r="C31" s="28">
        <f>'прил 9 '!E516</f>
        <v>26266116.849999998</v>
      </c>
      <c r="D31" s="99"/>
      <c r="E31" s="134"/>
      <c r="F31" s="107"/>
      <c r="G31" s="67"/>
      <c r="H31" s="67"/>
      <c r="I31" s="67"/>
      <c r="J31" s="135"/>
      <c r="K31" s="135"/>
    </row>
    <row r="32" spans="1:11" ht="36.700000000000003" x14ac:dyDescent="0.25">
      <c r="A32" s="34" t="s">
        <v>1162</v>
      </c>
      <c r="B32" s="35" t="s">
        <v>135</v>
      </c>
      <c r="C32" s="50">
        <f>C33+C34</f>
        <v>470000</v>
      </c>
      <c r="D32" s="99">
        <f>'прил 7 '!F713</f>
        <v>470000</v>
      </c>
      <c r="E32" s="134">
        <f>C32/C76*100</f>
        <v>4.7689060655202807E-2</v>
      </c>
      <c r="F32" s="107"/>
      <c r="G32" s="67"/>
      <c r="H32" s="67"/>
      <c r="I32" s="67"/>
      <c r="J32" s="135"/>
      <c r="K32" s="135"/>
    </row>
    <row r="33" spans="1:11" ht="36.700000000000003" x14ac:dyDescent="0.25">
      <c r="A33" s="64" t="s">
        <v>750</v>
      </c>
      <c r="B33" s="38" t="s">
        <v>371</v>
      </c>
      <c r="C33" s="424">
        <f>'прил 9 '!E344</f>
        <v>440000</v>
      </c>
      <c r="D33" s="99"/>
      <c r="E33" s="134"/>
      <c r="F33" s="107"/>
      <c r="G33" s="67"/>
      <c r="H33" s="67"/>
      <c r="I33" s="67"/>
      <c r="J33" s="135"/>
      <c r="K33" s="135"/>
    </row>
    <row r="34" spans="1:11" x14ac:dyDescent="0.25">
      <c r="A34" s="64" t="s">
        <v>244</v>
      </c>
      <c r="B34" s="38" t="s">
        <v>242</v>
      </c>
      <c r="C34" s="28">
        <f>'прил 9 '!E348</f>
        <v>30000</v>
      </c>
      <c r="D34" s="99"/>
      <c r="E34" s="134"/>
      <c r="F34" s="107"/>
      <c r="G34" s="67"/>
      <c r="H34" s="67"/>
      <c r="I34" s="67"/>
      <c r="J34" s="135"/>
      <c r="K34" s="135"/>
    </row>
    <row r="35" spans="1:11" ht="36.700000000000003" x14ac:dyDescent="0.25">
      <c r="A35" s="34" t="s">
        <v>1189</v>
      </c>
      <c r="B35" s="35" t="s">
        <v>198</v>
      </c>
      <c r="C35" s="50">
        <f>C36</f>
        <v>3427021.75</v>
      </c>
      <c r="D35" s="99">
        <f>'прил 7 '!F714</f>
        <v>3427021.75</v>
      </c>
      <c r="E35" s="134">
        <f>C35/C76*100</f>
        <v>0.34772648532436012</v>
      </c>
      <c r="F35" s="107"/>
      <c r="G35" s="67"/>
      <c r="H35" s="67"/>
      <c r="I35" s="67"/>
      <c r="J35" s="135"/>
      <c r="K35" s="135"/>
    </row>
    <row r="36" spans="1:11" ht="36.700000000000003" x14ac:dyDescent="0.25">
      <c r="A36" s="64" t="s">
        <v>1015</v>
      </c>
      <c r="B36" s="38" t="s">
        <v>227</v>
      </c>
      <c r="C36" s="28">
        <f>'прил 9 '!E593</f>
        <v>3427021.75</v>
      </c>
      <c r="D36" s="99"/>
      <c r="E36" s="134"/>
      <c r="F36" s="107"/>
      <c r="G36" s="67"/>
      <c r="H36" s="67"/>
      <c r="I36" s="67"/>
      <c r="J36" s="135"/>
      <c r="K36" s="135"/>
    </row>
    <row r="37" spans="1:11" ht="36.700000000000003" x14ac:dyDescent="0.25">
      <c r="A37" s="34" t="s">
        <v>1183</v>
      </c>
      <c r="B37" s="35" t="s">
        <v>129</v>
      </c>
      <c r="C37" s="50">
        <f>C38</f>
        <v>150000</v>
      </c>
      <c r="D37" s="99">
        <f>'прил 7 '!F715</f>
        <v>150000</v>
      </c>
      <c r="E37" s="134">
        <f>C37/C76*100</f>
        <v>1.5219912975064726E-2</v>
      </c>
      <c r="F37" s="107"/>
      <c r="G37" s="67"/>
      <c r="H37" s="67"/>
      <c r="I37" s="67"/>
      <c r="J37" s="135"/>
      <c r="K37" s="135"/>
    </row>
    <row r="38" spans="1:11" ht="36.700000000000003" x14ac:dyDescent="0.25">
      <c r="A38" s="64" t="s">
        <v>391</v>
      </c>
      <c r="B38" s="38" t="s">
        <v>386</v>
      </c>
      <c r="C38" s="28">
        <f>'прил 9 '!E540</f>
        <v>150000</v>
      </c>
      <c r="D38" s="99"/>
      <c r="E38" s="134"/>
      <c r="F38" s="107"/>
      <c r="G38" s="67"/>
      <c r="H38" s="67"/>
      <c r="I38" s="67"/>
      <c r="J38" s="135"/>
      <c r="K38" s="135"/>
    </row>
    <row r="39" spans="1:11" ht="36.700000000000003" x14ac:dyDescent="0.25">
      <c r="A39" s="34" t="s">
        <v>1149</v>
      </c>
      <c r="B39" s="35" t="s">
        <v>128</v>
      </c>
      <c r="C39" s="50">
        <f>C40+C41+C42</f>
        <v>29939801</v>
      </c>
      <c r="D39" s="99">
        <f>'прил 7 '!F716</f>
        <v>29939801</v>
      </c>
      <c r="E39" s="134">
        <f>C39/C76*100</f>
        <v>3.0378744380717055</v>
      </c>
      <c r="F39" s="107"/>
      <c r="G39" s="67"/>
      <c r="H39" s="67"/>
      <c r="I39" s="67"/>
      <c r="J39" s="135"/>
      <c r="K39" s="135"/>
    </row>
    <row r="40" spans="1:11" ht="36.700000000000003" x14ac:dyDescent="0.25">
      <c r="A40" s="64" t="s">
        <v>729</v>
      </c>
      <c r="B40" s="38" t="s">
        <v>303</v>
      </c>
      <c r="C40" s="28">
        <f>'прил 9 '!E72</f>
        <v>1011956</v>
      </c>
      <c r="D40" s="99"/>
      <c r="E40" s="134"/>
      <c r="F40" s="107"/>
      <c r="G40" s="67"/>
      <c r="H40" s="67"/>
      <c r="I40" s="67"/>
      <c r="J40" s="135"/>
      <c r="K40" s="135"/>
    </row>
    <row r="41" spans="1:11" ht="36.700000000000003" x14ac:dyDescent="0.25">
      <c r="A41" s="64" t="s">
        <v>213</v>
      </c>
      <c r="B41" s="38" t="s">
        <v>228</v>
      </c>
      <c r="C41" s="28">
        <f>'прил 9 '!E82</f>
        <v>27464001</v>
      </c>
      <c r="D41" s="99"/>
      <c r="E41" s="134"/>
      <c r="F41" s="107"/>
      <c r="G41" s="67"/>
      <c r="H41" s="67"/>
      <c r="I41" s="67"/>
      <c r="J41" s="135"/>
      <c r="K41" s="135"/>
    </row>
    <row r="42" spans="1:11" ht="28.05" customHeight="1" x14ac:dyDescent="0.25">
      <c r="A42" s="64" t="s">
        <v>625</v>
      </c>
      <c r="B42" s="38" t="s">
        <v>264</v>
      </c>
      <c r="C42" s="28">
        <f>'прил 9 '!E90</f>
        <v>1463844</v>
      </c>
      <c r="D42" s="99"/>
      <c r="E42" s="134"/>
      <c r="F42" s="107"/>
      <c r="G42" s="67"/>
      <c r="H42" s="67"/>
      <c r="I42" s="67"/>
      <c r="J42" s="135"/>
      <c r="K42" s="135"/>
    </row>
    <row r="43" spans="1:11" ht="39.25" customHeight="1" x14ac:dyDescent="0.25">
      <c r="A43" s="34" t="s">
        <v>1161</v>
      </c>
      <c r="B43" s="35" t="s">
        <v>134</v>
      </c>
      <c r="C43" s="50">
        <f>C44+C45</f>
        <v>12194106.800000001</v>
      </c>
      <c r="D43" s="99">
        <f>'прил 7 '!F717</f>
        <v>12194106.800000001</v>
      </c>
      <c r="E43" s="134">
        <f>C43/C76*100</f>
        <v>1.2372882953643001</v>
      </c>
      <c r="F43" s="107"/>
      <c r="G43" s="67"/>
      <c r="H43" s="67"/>
      <c r="I43" s="67"/>
      <c r="J43" s="135"/>
      <c r="K43" s="135"/>
    </row>
    <row r="44" spans="1:11" ht="36.700000000000003" x14ac:dyDescent="0.25">
      <c r="A44" s="64" t="s">
        <v>751</v>
      </c>
      <c r="B44" s="38" t="s">
        <v>335</v>
      </c>
      <c r="C44" s="28">
        <f>'прил 9 '!E257+'прил 9 '!E334</f>
        <v>10784937.82</v>
      </c>
      <c r="D44" s="429"/>
      <c r="E44" s="134"/>
      <c r="F44" s="107"/>
      <c r="G44" s="67"/>
      <c r="H44" s="67"/>
      <c r="I44" s="67"/>
      <c r="J44" s="135"/>
      <c r="K44" s="135"/>
    </row>
    <row r="45" spans="1:11" x14ac:dyDescent="0.25">
      <c r="A45" s="112" t="s">
        <v>215</v>
      </c>
      <c r="B45" s="38" t="s">
        <v>229</v>
      </c>
      <c r="C45" s="28">
        <f>'прил 9 '!E279</f>
        <v>1409168.98</v>
      </c>
      <c r="D45" s="99"/>
      <c r="E45" s="134"/>
      <c r="F45" s="107"/>
      <c r="G45" s="67"/>
      <c r="H45" s="67"/>
      <c r="I45" s="67"/>
      <c r="J45" s="135"/>
      <c r="K45" s="135"/>
    </row>
    <row r="46" spans="1:11" ht="36.700000000000003" x14ac:dyDescent="0.3">
      <c r="A46" s="113" t="s">
        <v>1152</v>
      </c>
      <c r="B46" s="35" t="s">
        <v>131</v>
      </c>
      <c r="C46" s="50">
        <f>C47</f>
        <v>50000</v>
      </c>
      <c r="D46" s="99">
        <f>'прил 7 '!F718</f>
        <v>50000</v>
      </c>
      <c r="E46" s="134">
        <f>C46/C76*100</f>
        <v>5.0733043250215746E-3</v>
      </c>
      <c r="F46" s="107"/>
      <c r="G46" s="67"/>
      <c r="H46" s="67"/>
      <c r="I46" s="67"/>
      <c r="J46" s="135"/>
      <c r="K46" s="135"/>
    </row>
    <row r="47" spans="1:11" x14ac:dyDescent="0.25">
      <c r="A47" s="112" t="s">
        <v>312</v>
      </c>
      <c r="B47" s="38" t="s">
        <v>230</v>
      </c>
      <c r="C47" s="28">
        <f>'прил 9 '!E97</f>
        <v>50000</v>
      </c>
      <c r="D47" s="99"/>
      <c r="E47" s="134"/>
      <c r="F47" s="107"/>
      <c r="G47" s="67"/>
      <c r="H47" s="67"/>
      <c r="I47" s="67"/>
      <c r="J47" s="135"/>
      <c r="K47" s="135"/>
    </row>
    <row r="48" spans="1:11" ht="41.3" customHeight="1" x14ac:dyDescent="0.25">
      <c r="A48" s="34" t="s">
        <v>1156</v>
      </c>
      <c r="B48" s="35" t="s">
        <v>385</v>
      </c>
      <c r="C48" s="50">
        <f>C49</f>
        <v>100000</v>
      </c>
      <c r="D48" s="99">
        <f>'прил 7 '!F719</f>
        <v>100000</v>
      </c>
      <c r="E48" s="134">
        <f>C48/C76*100</f>
        <v>1.0146608650043149E-2</v>
      </c>
      <c r="F48" s="107"/>
      <c r="G48" s="67"/>
      <c r="H48" s="67"/>
      <c r="I48" s="67"/>
      <c r="J48" s="135"/>
      <c r="K48" s="135"/>
    </row>
    <row r="49" spans="1:11" ht="36.700000000000003" x14ac:dyDescent="0.25">
      <c r="A49" s="24" t="s">
        <v>692</v>
      </c>
      <c r="B49" s="23" t="s">
        <v>387</v>
      </c>
      <c r="C49" s="28">
        <f>'прил 9 '!E235</f>
        <v>100000</v>
      </c>
      <c r="D49" s="99"/>
      <c r="E49" s="134"/>
      <c r="F49" s="107"/>
      <c r="G49" s="67"/>
      <c r="H49" s="67"/>
      <c r="I49" s="67"/>
      <c r="J49" s="135"/>
      <c r="K49" s="135"/>
    </row>
    <row r="50" spans="1:11" ht="36.700000000000003" x14ac:dyDescent="0.25">
      <c r="A50" s="34" t="s">
        <v>1184</v>
      </c>
      <c r="B50" s="35" t="s">
        <v>356</v>
      </c>
      <c r="C50" s="50">
        <f>C51</f>
        <v>872101.61</v>
      </c>
      <c r="D50" s="99">
        <f>'прил 7 '!F720</f>
        <v>872101.61</v>
      </c>
      <c r="E50" s="134">
        <f>C50/C76*100</f>
        <v>8.8488737397425576E-2</v>
      </c>
      <c r="F50" s="107"/>
      <c r="G50" s="67"/>
      <c r="H50" s="67"/>
      <c r="I50" s="67"/>
      <c r="J50" s="135"/>
      <c r="K50" s="135"/>
    </row>
    <row r="51" spans="1:11" ht="36.700000000000003" x14ac:dyDescent="0.25">
      <c r="A51" s="45" t="s">
        <v>393</v>
      </c>
      <c r="B51" s="38" t="s">
        <v>357</v>
      </c>
      <c r="C51" s="28">
        <f>'прил 9 '!E545</f>
        <v>872101.61</v>
      </c>
      <c r="D51" s="99"/>
      <c r="E51" s="107"/>
      <c r="F51" s="107"/>
      <c r="G51" s="67"/>
      <c r="H51" s="67"/>
      <c r="I51" s="67"/>
      <c r="J51" s="135"/>
      <c r="K51" s="135"/>
    </row>
    <row r="52" spans="1:11" s="141" customFormat="1" ht="38.25" customHeight="1" x14ac:dyDescent="0.3">
      <c r="A52" s="113" t="s">
        <v>1150</v>
      </c>
      <c r="B52" s="136" t="s">
        <v>305</v>
      </c>
      <c r="C52" s="137">
        <f>C53</f>
        <v>6551334.8200000003</v>
      </c>
      <c r="D52" s="138">
        <f>'прил 7 '!F721</f>
        <v>6551334.8200000003</v>
      </c>
      <c r="E52" s="139">
        <f>C52/C76*100</f>
        <v>0.66473830553940882</v>
      </c>
      <c r="F52" s="139"/>
      <c r="G52" s="139"/>
      <c r="H52" s="139"/>
      <c r="I52" s="139"/>
      <c r="J52" s="140"/>
      <c r="K52" s="140"/>
    </row>
    <row r="53" spans="1:11" ht="36.700000000000003" x14ac:dyDescent="0.25">
      <c r="A53" s="64" t="s">
        <v>245</v>
      </c>
      <c r="B53" s="38" t="s">
        <v>306</v>
      </c>
      <c r="C53" s="28">
        <f>'прил 9 '!E102+'прил 9 '!E624</f>
        <v>6551334.8200000003</v>
      </c>
      <c r="D53" s="429"/>
      <c r="E53" s="107"/>
      <c r="F53" s="107"/>
      <c r="G53" s="67"/>
      <c r="H53" s="67"/>
      <c r="I53" s="67"/>
      <c r="J53" s="135"/>
      <c r="K53" s="135"/>
    </row>
    <row r="54" spans="1:11" ht="55.05" x14ac:dyDescent="0.25">
      <c r="A54" s="117" t="s">
        <v>1155</v>
      </c>
      <c r="B54" s="35" t="s">
        <v>322</v>
      </c>
      <c r="C54" s="50">
        <f>C55</f>
        <v>15908000</v>
      </c>
      <c r="D54" s="99">
        <f>'прил 7 '!F722</f>
        <v>15908000</v>
      </c>
      <c r="E54" s="134">
        <f>C54/C76*100</f>
        <v>1.6141225040488643</v>
      </c>
      <c r="F54" s="107"/>
      <c r="G54" s="67"/>
      <c r="H54" s="67"/>
      <c r="I54" s="67"/>
      <c r="J54" s="135"/>
      <c r="K54" s="135"/>
    </row>
    <row r="55" spans="1:11" ht="36.700000000000003" x14ac:dyDescent="0.25">
      <c r="A55" s="112" t="s">
        <v>214</v>
      </c>
      <c r="B55" s="38" t="s">
        <v>324</v>
      </c>
      <c r="C55" s="28">
        <f>'прил 9 '!E223</f>
        <v>15908000</v>
      </c>
      <c r="D55" s="99"/>
      <c r="E55" s="107"/>
      <c r="F55" s="107"/>
      <c r="G55" s="67"/>
      <c r="H55" s="67"/>
      <c r="I55" s="67"/>
      <c r="J55" s="135"/>
      <c r="K55" s="135"/>
    </row>
    <row r="56" spans="1:11" s="74" customFormat="1" ht="54" customHeight="1" x14ac:dyDescent="0.25">
      <c r="A56" s="34" t="s">
        <v>1185</v>
      </c>
      <c r="B56" s="109" t="s">
        <v>346</v>
      </c>
      <c r="C56" s="27">
        <f>C57</f>
        <v>285000</v>
      </c>
      <c r="D56" s="142">
        <f>'прил 7 '!F723</f>
        <v>285000</v>
      </c>
      <c r="E56" s="134">
        <f>C56/C76*100</f>
        <v>2.8917834652622976E-2</v>
      </c>
      <c r="F56" s="134"/>
      <c r="G56" s="143"/>
      <c r="H56" s="143"/>
      <c r="I56" s="143"/>
      <c r="J56" s="144"/>
      <c r="K56" s="144"/>
    </row>
    <row r="57" spans="1:11" ht="21.25" customHeight="1" x14ac:dyDescent="0.25">
      <c r="A57" s="41" t="s">
        <v>209</v>
      </c>
      <c r="B57" s="38" t="s">
        <v>348</v>
      </c>
      <c r="C57" s="28">
        <f>'прил 9 '!E353</f>
        <v>285000</v>
      </c>
      <c r="D57" s="99"/>
      <c r="E57" s="107"/>
      <c r="F57" s="107"/>
      <c r="G57" s="67"/>
      <c r="H57" s="67"/>
      <c r="I57" s="67"/>
      <c r="J57" s="135"/>
      <c r="K57" s="135"/>
    </row>
    <row r="58" spans="1:11" ht="55.05" x14ac:dyDescent="0.25">
      <c r="A58" s="118" t="s">
        <v>1157</v>
      </c>
      <c r="B58" s="35" t="s">
        <v>327</v>
      </c>
      <c r="C58" s="50">
        <f>C59+C60</f>
        <v>1125000</v>
      </c>
      <c r="D58" s="99">
        <f>'прил 7 '!F724</f>
        <v>1125000</v>
      </c>
      <c r="E58" s="134">
        <f>C58/C76*100</f>
        <v>0.11414934731298544</v>
      </c>
      <c r="F58" s="107"/>
      <c r="G58" s="67"/>
      <c r="H58" s="67"/>
      <c r="I58" s="67"/>
      <c r="J58" s="135"/>
      <c r="K58" s="135"/>
    </row>
    <row r="59" spans="1:11" ht="22.75" customHeight="1" x14ac:dyDescent="0.25">
      <c r="A59" s="64" t="s">
        <v>394</v>
      </c>
      <c r="B59" s="38" t="s">
        <v>328</v>
      </c>
      <c r="C59" s="28">
        <f>'прил 9 '!E240</f>
        <v>270000</v>
      </c>
      <c r="D59" s="99"/>
      <c r="E59" s="134"/>
      <c r="F59" s="107"/>
      <c r="G59" s="67"/>
      <c r="H59" s="67"/>
      <c r="I59" s="67"/>
      <c r="J59" s="135"/>
      <c r="K59" s="135"/>
    </row>
    <row r="60" spans="1:11" ht="32.299999999999997" customHeight="1" x14ac:dyDescent="0.25">
      <c r="A60" s="64" t="s">
        <v>368</v>
      </c>
      <c r="B60" s="38" t="s">
        <v>367</v>
      </c>
      <c r="C60" s="28">
        <f>'прил 9 '!E244</f>
        <v>855000</v>
      </c>
      <c r="D60" s="99"/>
      <c r="E60" s="134"/>
      <c r="F60" s="107"/>
      <c r="G60" s="67"/>
      <c r="H60" s="67"/>
      <c r="I60" s="67"/>
      <c r="J60" s="135"/>
      <c r="K60" s="135"/>
    </row>
    <row r="61" spans="1:11" ht="36.700000000000003" x14ac:dyDescent="0.25">
      <c r="A61" s="118" t="s">
        <v>1153</v>
      </c>
      <c r="B61" s="35" t="s">
        <v>319</v>
      </c>
      <c r="C61" s="50">
        <f>C62</f>
        <v>9076050.5800000001</v>
      </c>
      <c r="D61" s="99">
        <f>'прил 7 '!F725</f>
        <v>9076050.5800000001</v>
      </c>
      <c r="E61" s="134">
        <f>C61/C76*100</f>
        <v>0.92091133323257157</v>
      </c>
      <c r="F61" s="107"/>
      <c r="G61" s="67"/>
      <c r="H61" s="67"/>
      <c r="I61" s="67"/>
      <c r="J61" s="135"/>
      <c r="K61" s="135"/>
    </row>
    <row r="62" spans="1:11" ht="36.700000000000003" x14ac:dyDescent="0.25">
      <c r="A62" s="64" t="s">
        <v>212</v>
      </c>
      <c r="B62" s="38" t="s">
        <v>320</v>
      </c>
      <c r="C62" s="28">
        <f>'прил 9 '!E110+'прил 9 '!E251</f>
        <v>9076050.5800000001</v>
      </c>
      <c r="D62" s="428"/>
      <c r="E62" s="107"/>
      <c r="F62" s="107"/>
      <c r="G62" s="67"/>
      <c r="H62" s="67"/>
      <c r="I62" s="67"/>
      <c r="J62" s="135"/>
      <c r="K62" s="135"/>
    </row>
    <row r="63" spans="1:11" ht="53.15" customHeight="1" x14ac:dyDescent="0.25">
      <c r="A63" s="118" t="s">
        <v>716</v>
      </c>
      <c r="B63" s="35" t="s">
        <v>308</v>
      </c>
      <c r="C63" s="28">
        <f>C64</f>
        <v>4457631.37</v>
      </c>
      <c r="D63" s="99">
        <f>'прил 7 '!F726</f>
        <v>4457631.37</v>
      </c>
      <c r="E63" s="107">
        <f>C63/C76*100</f>
        <v>0.45229841017545697</v>
      </c>
      <c r="F63" s="107"/>
      <c r="G63" s="67"/>
      <c r="H63" s="67"/>
      <c r="I63" s="67"/>
      <c r="J63" s="135"/>
      <c r="K63" s="135"/>
    </row>
    <row r="64" spans="1:11" ht="34.15" customHeight="1" x14ac:dyDescent="0.25">
      <c r="A64" s="64" t="s">
        <v>711</v>
      </c>
      <c r="B64" s="38" t="s">
        <v>712</v>
      </c>
      <c r="C64" s="28">
        <f>'прил 9 '!E211</f>
        <v>4457631.37</v>
      </c>
      <c r="D64" s="99"/>
      <c r="E64" s="107"/>
      <c r="F64" s="107"/>
      <c r="G64" s="67"/>
      <c r="H64" s="67"/>
      <c r="I64" s="67"/>
      <c r="J64" s="135"/>
      <c r="K64" s="135"/>
    </row>
    <row r="65" spans="1:11" s="90" customFormat="1" ht="36.700000000000003" x14ac:dyDescent="0.25">
      <c r="A65" s="120" t="s">
        <v>1168</v>
      </c>
      <c r="B65" s="35" t="s">
        <v>419</v>
      </c>
      <c r="C65" s="50">
        <f>C66</f>
        <v>50000</v>
      </c>
      <c r="D65" s="146">
        <f>'прил 7 '!F727</f>
        <v>50000</v>
      </c>
      <c r="E65" s="146">
        <f>C65/C76*100</f>
        <v>5.0733043250215746E-3</v>
      </c>
      <c r="F65" s="145"/>
    </row>
    <row r="66" spans="1:11" s="90" customFormat="1" x14ac:dyDescent="0.25">
      <c r="A66" s="121" t="s">
        <v>420</v>
      </c>
      <c r="B66" s="38" t="s">
        <v>421</v>
      </c>
      <c r="C66" s="28">
        <f>'прил 9 '!E617</f>
        <v>50000</v>
      </c>
      <c r="D66" s="145"/>
      <c r="E66" s="146"/>
      <c r="F66" s="145"/>
    </row>
    <row r="67" spans="1:11" s="74" customFormat="1" ht="36.700000000000003" x14ac:dyDescent="0.25">
      <c r="A67" s="34" t="s">
        <v>1160</v>
      </c>
      <c r="B67" s="35" t="s">
        <v>464</v>
      </c>
      <c r="C67" s="50">
        <f>C68</f>
        <v>25358307.810000002</v>
      </c>
      <c r="D67" s="142">
        <f>'прил 7 '!F728</f>
        <v>25358307.810000002</v>
      </c>
      <c r="E67" s="142">
        <f>C67/C76*100</f>
        <v>2.5730082537540282</v>
      </c>
      <c r="F67" s="147"/>
    </row>
    <row r="68" spans="1:11" s="90" customFormat="1" ht="34" customHeight="1" x14ac:dyDescent="0.25">
      <c r="A68" s="37" t="s">
        <v>465</v>
      </c>
      <c r="B68" s="38">
        <v>1895800000</v>
      </c>
      <c r="C68" s="28">
        <f>'прил 9 '!E293</f>
        <v>25358307.810000002</v>
      </c>
      <c r="D68" s="145"/>
      <c r="E68" s="146"/>
      <c r="F68" s="145"/>
    </row>
    <row r="69" spans="1:11" s="74" customFormat="1" ht="37.549999999999997" customHeight="1" x14ac:dyDescent="0.25">
      <c r="A69" s="34" t="s">
        <v>473</v>
      </c>
      <c r="B69" s="35" t="s">
        <v>474</v>
      </c>
      <c r="C69" s="50">
        <f>C70+C72</f>
        <v>11465716.370000001</v>
      </c>
      <c r="D69" s="142">
        <f>'прил 7 '!F729</f>
        <v>11465716.370000001</v>
      </c>
      <c r="E69" s="142">
        <f>C69/C76*100</f>
        <v>1.1633813689878336</v>
      </c>
      <c r="F69" s="147"/>
    </row>
    <row r="70" spans="1:11" s="74" customFormat="1" ht="37.549999999999997" hidden="1" customHeight="1" x14ac:dyDescent="0.25">
      <c r="A70" s="122" t="s">
        <v>501</v>
      </c>
      <c r="B70" s="123">
        <v>1910000000</v>
      </c>
      <c r="C70" s="27">
        <f>C71</f>
        <v>0</v>
      </c>
      <c r="D70" s="147"/>
      <c r="E70" s="142"/>
      <c r="F70" s="147"/>
    </row>
    <row r="71" spans="1:11" s="74" customFormat="1" ht="18.7" hidden="1" customHeight="1" x14ac:dyDescent="0.25">
      <c r="A71" s="124" t="s">
        <v>931</v>
      </c>
      <c r="B71" s="125" t="s">
        <v>503</v>
      </c>
      <c r="C71" s="28">
        <f>'прил 9 '!E314</f>
        <v>0</v>
      </c>
      <c r="D71" s="147"/>
      <c r="E71" s="148"/>
      <c r="F71" s="147"/>
    </row>
    <row r="72" spans="1:11" s="74" customFormat="1" ht="37.549999999999997" customHeight="1" x14ac:dyDescent="0.25">
      <c r="A72" s="122" t="s">
        <v>505</v>
      </c>
      <c r="B72" s="123">
        <v>1920000000</v>
      </c>
      <c r="C72" s="27">
        <f>C73</f>
        <v>11465716.370000001</v>
      </c>
      <c r="D72" s="147"/>
      <c r="E72" s="142"/>
      <c r="F72" s="147"/>
    </row>
    <row r="73" spans="1:11" ht="37.549999999999997" customHeight="1" x14ac:dyDescent="0.25">
      <c r="A73" s="64" t="s">
        <v>506</v>
      </c>
      <c r="B73" s="125">
        <v>1925900000</v>
      </c>
      <c r="C73" s="28">
        <f>'прил 9 '!E322</f>
        <v>11465716.370000001</v>
      </c>
    </row>
    <row r="74" spans="1:11" ht="37.549999999999997" customHeight="1" x14ac:dyDescent="0.25">
      <c r="A74" s="34" t="s">
        <v>1154</v>
      </c>
      <c r="B74" s="156">
        <v>2100000000</v>
      </c>
      <c r="C74" s="28">
        <f>'прил 9 '!E118</f>
        <v>100000</v>
      </c>
      <c r="D74" s="99">
        <f>'прил 7 '!F730</f>
        <v>100000</v>
      </c>
      <c r="E74" s="99">
        <f>C74/C76*100</f>
        <v>1.0146608650043149E-2</v>
      </c>
    </row>
    <row r="75" spans="1:11" ht="37.549999999999997" customHeight="1" x14ac:dyDescent="0.25">
      <c r="A75" s="37" t="s">
        <v>818</v>
      </c>
      <c r="B75" s="125">
        <v>2193400000</v>
      </c>
      <c r="C75" s="28">
        <f>'прил 9 '!E119</f>
        <v>100000</v>
      </c>
    </row>
    <row r="76" spans="1:11" x14ac:dyDescent="0.3">
      <c r="A76" s="662" t="s">
        <v>118</v>
      </c>
      <c r="B76" s="662"/>
      <c r="C76" s="91">
        <f>C9+C27+C32+C35+C37+C39+C43+C46+C50+C52+C54+C56+C58+C61+C63+C65+C67+C69+C48+C74</f>
        <v>985550970.26999986</v>
      </c>
      <c r="D76" s="99">
        <f>SUM(D9:D75)</f>
        <v>985550970.26999986</v>
      </c>
      <c r="E76" s="99">
        <f>SUBTOTAL(9,E9:E75)</f>
        <v>100.00000000000001</v>
      </c>
      <c r="F76" s="99"/>
      <c r="G76" s="67"/>
      <c r="H76" s="67"/>
      <c r="I76" s="67"/>
      <c r="J76" s="135"/>
      <c r="K76" s="135"/>
    </row>
    <row r="77" spans="1:11" x14ac:dyDescent="0.3">
      <c r="A77" s="33"/>
      <c r="B77" s="33"/>
      <c r="C77" s="33"/>
      <c r="E77" s="107"/>
      <c r="F77" s="107"/>
      <c r="G77" s="1"/>
      <c r="H77" s="1"/>
      <c r="I77" s="67"/>
      <c r="J77" s="1"/>
      <c r="K77" s="67"/>
    </row>
    <row r="78" spans="1:11" x14ac:dyDescent="0.3">
      <c r="A78" s="664"/>
      <c r="B78" s="664"/>
      <c r="C78" s="664"/>
      <c r="E78" s="107"/>
      <c r="F78" s="107"/>
      <c r="G78" s="1"/>
      <c r="H78" s="67"/>
      <c r="I78" s="1"/>
      <c r="J78" s="1"/>
      <c r="K78" s="67"/>
    </row>
    <row r="79" spans="1:11" x14ac:dyDescent="0.3">
      <c r="C79" s="96">
        <f>'прил 9 '!E18+'прил 9 '!E23+'прил 9 '!E38+'прил 9 '!E45+'прил 9 '!E51+'прил 9 '!E66+'прил 9 '!E123+'прил 9 '!E178+'прил 9 '!E188+'прил 9 '!E193+'прил 9 '!E199+'прил 9 '!E205+'прил 9 '!E529+'прил 9 '!E549+'прил 9 '!E567</f>
        <v>167883558.98000002</v>
      </c>
      <c r="D79" s="99"/>
    </row>
    <row r="80" spans="1:11" x14ac:dyDescent="0.3">
      <c r="C80" s="96">
        <f>C76+C79</f>
        <v>1153434529.25</v>
      </c>
      <c r="D80" s="99"/>
    </row>
    <row r="81" spans="1:3" x14ac:dyDescent="0.3">
      <c r="C81" s="96">
        <f>'прил 7 '!F693</f>
        <v>1153434529.2499998</v>
      </c>
    </row>
    <row r="83" spans="1:3" x14ac:dyDescent="0.3">
      <c r="A83" s="87" t="s">
        <v>51</v>
      </c>
    </row>
    <row r="84" spans="1:3" x14ac:dyDescent="0.3">
      <c r="A84" s="87" t="s">
        <v>718</v>
      </c>
      <c r="B84" s="149">
        <f>C76/C80*100</f>
        <v>85.444899149224923</v>
      </c>
    </row>
  </sheetData>
  <mergeCells count="4">
    <mergeCell ref="A78:C78"/>
    <mergeCell ref="A5:C5"/>
    <mergeCell ref="A6:C6"/>
    <mergeCell ref="A76:B76"/>
  </mergeCells>
  <pageMargins left="0.98425196850393704" right="0.98425196850393704" top="0.74803149606299213" bottom="0.74803149606299213" header="0.31496062992125984" footer="0.31496062992125984"/>
  <pageSetup paperSize="9" scale="59" fitToHeight="2" orientation="portrait" r:id="rId1"/>
  <colBreaks count="1" manualBreakCount="1">
    <brk id="3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7"/>
  <sheetViews>
    <sheetView view="pageBreakPreview" zoomScale="86" zoomScaleNormal="100" zoomScaleSheetLayoutView="86" workbookViewId="0">
      <selection activeCell="A11" sqref="A11"/>
    </sheetView>
  </sheetViews>
  <sheetFormatPr defaultRowHeight="18.350000000000001" x14ac:dyDescent="0.3"/>
  <cols>
    <col min="1" max="1" width="74.125" style="98" customWidth="1"/>
    <col min="2" max="2" width="21.25" style="87" customWidth="1"/>
    <col min="3" max="3" width="22.75" style="87" customWidth="1"/>
    <col min="4" max="4" width="20.625" style="98" customWidth="1"/>
    <col min="5" max="5" width="10" style="99" customWidth="1"/>
    <col min="6" max="7" width="17.375" style="100" customWidth="1"/>
    <col min="8" max="9" width="11.375" style="69" bestFit="1" customWidth="1"/>
    <col min="10" max="11" width="13.375" style="69" customWidth="1"/>
    <col min="12" max="244" width="9.125" style="69"/>
    <col min="245" max="245" width="69.875" style="69" customWidth="1"/>
    <col min="246" max="246" width="9.625" style="69" customWidth="1"/>
    <col min="247" max="250" width="0" style="69" hidden="1" customWidth="1"/>
    <col min="251" max="251" width="13.875" style="69" customWidth="1"/>
    <col min="252" max="257" width="0" style="69" hidden="1" customWidth="1"/>
    <col min="258" max="261" width="9.125" style="69"/>
    <col min="262" max="262" width="13.375" style="69" customWidth="1"/>
    <col min="263" max="263" width="9.125" style="69"/>
    <col min="264" max="264" width="11.375" style="69" bestFit="1" customWidth="1"/>
    <col min="265" max="266" width="9.125" style="69"/>
    <col min="267" max="267" width="13.375" style="69" customWidth="1"/>
    <col min="268" max="500" width="9.125" style="69"/>
    <col min="501" max="501" width="69.875" style="69" customWidth="1"/>
    <col min="502" max="502" width="9.625" style="69" customWidth="1"/>
    <col min="503" max="506" width="0" style="69" hidden="1" customWidth="1"/>
    <col min="507" max="507" width="13.875" style="69" customWidth="1"/>
    <col min="508" max="513" width="0" style="69" hidden="1" customWidth="1"/>
    <col min="514" max="517" width="9.125" style="69"/>
    <col min="518" max="518" width="13.375" style="69" customWidth="1"/>
    <col min="519" max="519" width="9.125" style="69"/>
    <col min="520" max="520" width="11.375" style="69" bestFit="1" customWidth="1"/>
    <col min="521" max="522" width="9.125" style="69"/>
    <col min="523" max="523" width="13.375" style="69" customWidth="1"/>
    <col min="524" max="756" width="9.125" style="69"/>
    <col min="757" max="757" width="69.875" style="69" customWidth="1"/>
    <col min="758" max="758" width="9.625" style="69" customWidth="1"/>
    <col min="759" max="762" width="0" style="69" hidden="1" customWidth="1"/>
    <col min="763" max="763" width="13.875" style="69" customWidth="1"/>
    <col min="764" max="769" width="0" style="69" hidden="1" customWidth="1"/>
    <col min="770" max="773" width="9.125" style="69"/>
    <col min="774" max="774" width="13.375" style="69" customWidth="1"/>
    <col min="775" max="775" width="9.125" style="69"/>
    <col min="776" max="776" width="11.375" style="69" bestFit="1" customWidth="1"/>
    <col min="777" max="778" width="9.125" style="69"/>
    <col min="779" max="779" width="13.375" style="69" customWidth="1"/>
    <col min="780" max="1012" width="9.125" style="69"/>
    <col min="1013" max="1013" width="69.875" style="69" customWidth="1"/>
    <col min="1014" max="1014" width="9.625" style="69" customWidth="1"/>
    <col min="1015" max="1018" width="0" style="69" hidden="1" customWidth="1"/>
    <col min="1019" max="1019" width="13.875" style="69" customWidth="1"/>
    <col min="1020" max="1025" width="0" style="69" hidden="1" customWidth="1"/>
    <col min="1026" max="1029" width="9.125" style="69"/>
    <col min="1030" max="1030" width="13.375" style="69" customWidth="1"/>
    <col min="1031" max="1031" width="9.125" style="69"/>
    <col min="1032" max="1032" width="11.375" style="69" bestFit="1" customWidth="1"/>
    <col min="1033" max="1034" width="9.125" style="69"/>
    <col min="1035" max="1035" width="13.375" style="69" customWidth="1"/>
    <col min="1036" max="1268" width="9.125" style="69"/>
    <col min="1269" max="1269" width="69.875" style="69" customWidth="1"/>
    <col min="1270" max="1270" width="9.625" style="69" customWidth="1"/>
    <col min="1271" max="1274" width="0" style="69" hidden="1" customWidth="1"/>
    <col min="1275" max="1275" width="13.875" style="69" customWidth="1"/>
    <col min="1276" max="1281" width="0" style="69" hidden="1" customWidth="1"/>
    <col min="1282" max="1285" width="9.125" style="69"/>
    <col min="1286" max="1286" width="13.375" style="69" customWidth="1"/>
    <col min="1287" max="1287" width="9.125" style="69"/>
    <col min="1288" max="1288" width="11.375" style="69" bestFit="1" customWidth="1"/>
    <col min="1289" max="1290" width="9.125" style="69"/>
    <col min="1291" max="1291" width="13.375" style="69" customWidth="1"/>
    <col min="1292" max="1524" width="9.125" style="69"/>
    <col min="1525" max="1525" width="69.875" style="69" customWidth="1"/>
    <col min="1526" max="1526" width="9.625" style="69" customWidth="1"/>
    <col min="1527" max="1530" width="0" style="69" hidden="1" customWidth="1"/>
    <col min="1531" max="1531" width="13.875" style="69" customWidth="1"/>
    <col min="1532" max="1537" width="0" style="69" hidden="1" customWidth="1"/>
    <col min="1538" max="1541" width="9.125" style="69"/>
    <col min="1542" max="1542" width="13.375" style="69" customWidth="1"/>
    <col min="1543" max="1543" width="9.125" style="69"/>
    <col min="1544" max="1544" width="11.375" style="69" bestFit="1" customWidth="1"/>
    <col min="1545" max="1546" width="9.125" style="69"/>
    <col min="1547" max="1547" width="13.375" style="69" customWidth="1"/>
    <col min="1548" max="1780" width="9.125" style="69"/>
    <col min="1781" max="1781" width="69.875" style="69" customWidth="1"/>
    <col min="1782" max="1782" width="9.625" style="69" customWidth="1"/>
    <col min="1783" max="1786" width="0" style="69" hidden="1" customWidth="1"/>
    <col min="1787" max="1787" width="13.875" style="69" customWidth="1"/>
    <col min="1788" max="1793" width="0" style="69" hidden="1" customWidth="1"/>
    <col min="1794" max="1797" width="9.125" style="69"/>
    <col min="1798" max="1798" width="13.375" style="69" customWidth="1"/>
    <col min="1799" max="1799" width="9.125" style="69"/>
    <col min="1800" max="1800" width="11.375" style="69" bestFit="1" customWidth="1"/>
    <col min="1801" max="1802" width="9.125" style="69"/>
    <col min="1803" max="1803" width="13.375" style="69" customWidth="1"/>
    <col min="1804" max="2036" width="9.125" style="69"/>
    <col min="2037" max="2037" width="69.875" style="69" customWidth="1"/>
    <col min="2038" max="2038" width="9.625" style="69" customWidth="1"/>
    <col min="2039" max="2042" width="0" style="69" hidden="1" customWidth="1"/>
    <col min="2043" max="2043" width="13.875" style="69" customWidth="1"/>
    <col min="2044" max="2049" width="0" style="69" hidden="1" customWidth="1"/>
    <col min="2050" max="2053" width="9.125" style="69"/>
    <col min="2054" max="2054" width="13.375" style="69" customWidth="1"/>
    <col min="2055" max="2055" width="9.125" style="69"/>
    <col min="2056" max="2056" width="11.375" style="69" bestFit="1" customWidth="1"/>
    <col min="2057" max="2058" width="9.125" style="69"/>
    <col min="2059" max="2059" width="13.375" style="69" customWidth="1"/>
    <col min="2060" max="2292" width="9.125" style="69"/>
    <col min="2293" max="2293" width="69.875" style="69" customWidth="1"/>
    <col min="2294" max="2294" width="9.625" style="69" customWidth="1"/>
    <col min="2295" max="2298" width="0" style="69" hidden="1" customWidth="1"/>
    <col min="2299" max="2299" width="13.875" style="69" customWidth="1"/>
    <col min="2300" max="2305" width="0" style="69" hidden="1" customWidth="1"/>
    <col min="2306" max="2309" width="9.125" style="69"/>
    <col min="2310" max="2310" width="13.375" style="69" customWidth="1"/>
    <col min="2311" max="2311" width="9.125" style="69"/>
    <col min="2312" max="2312" width="11.375" style="69" bestFit="1" customWidth="1"/>
    <col min="2313" max="2314" width="9.125" style="69"/>
    <col min="2315" max="2315" width="13.375" style="69" customWidth="1"/>
    <col min="2316" max="2548" width="9.125" style="69"/>
    <col min="2549" max="2549" width="69.875" style="69" customWidth="1"/>
    <col min="2550" max="2550" width="9.625" style="69" customWidth="1"/>
    <col min="2551" max="2554" width="0" style="69" hidden="1" customWidth="1"/>
    <col min="2555" max="2555" width="13.875" style="69" customWidth="1"/>
    <col min="2556" max="2561" width="0" style="69" hidden="1" customWidth="1"/>
    <col min="2562" max="2565" width="9.125" style="69"/>
    <col min="2566" max="2566" width="13.375" style="69" customWidth="1"/>
    <col min="2567" max="2567" width="9.125" style="69"/>
    <col min="2568" max="2568" width="11.375" style="69" bestFit="1" customWidth="1"/>
    <col min="2569" max="2570" width="9.125" style="69"/>
    <col min="2571" max="2571" width="13.375" style="69" customWidth="1"/>
    <col min="2572" max="2804" width="9.125" style="69"/>
    <col min="2805" max="2805" width="69.875" style="69" customWidth="1"/>
    <col min="2806" max="2806" width="9.625" style="69" customWidth="1"/>
    <col min="2807" max="2810" width="0" style="69" hidden="1" customWidth="1"/>
    <col min="2811" max="2811" width="13.875" style="69" customWidth="1"/>
    <col min="2812" max="2817" width="0" style="69" hidden="1" customWidth="1"/>
    <col min="2818" max="2821" width="9.125" style="69"/>
    <col min="2822" max="2822" width="13.375" style="69" customWidth="1"/>
    <col min="2823" max="2823" width="9.125" style="69"/>
    <col min="2824" max="2824" width="11.375" style="69" bestFit="1" customWidth="1"/>
    <col min="2825" max="2826" width="9.125" style="69"/>
    <col min="2827" max="2827" width="13.375" style="69" customWidth="1"/>
    <col min="2828" max="3060" width="9.125" style="69"/>
    <col min="3061" max="3061" width="69.875" style="69" customWidth="1"/>
    <col min="3062" max="3062" width="9.625" style="69" customWidth="1"/>
    <col min="3063" max="3066" width="0" style="69" hidden="1" customWidth="1"/>
    <col min="3067" max="3067" width="13.875" style="69" customWidth="1"/>
    <col min="3068" max="3073" width="0" style="69" hidden="1" customWidth="1"/>
    <col min="3074" max="3077" width="9.125" style="69"/>
    <col min="3078" max="3078" width="13.375" style="69" customWidth="1"/>
    <col min="3079" max="3079" width="9.125" style="69"/>
    <col min="3080" max="3080" width="11.375" style="69" bestFit="1" customWidth="1"/>
    <col min="3081" max="3082" width="9.125" style="69"/>
    <col min="3083" max="3083" width="13.375" style="69" customWidth="1"/>
    <col min="3084" max="3316" width="9.125" style="69"/>
    <col min="3317" max="3317" width="69.875" style="69" customWidth="1"/>
    <col min="3318" max="3318" width="9.625" style="69" customWidth="1"/>
    <col min="3319" max="3322" width="0" style="69" hidden="1" customWidth="1"/>
    <col min="3323" max="3323" width="13.875" style="69" customWidth="1"/>
    <col min="3324" max="3329" width="0" style="69" hidden="1" customWidth="1"/>
    <col min="3330" max="3333" width="9.125" style="69"/>
    <col min="3334" max="3334" width="13.375" style="69" customWidth="1"/>
    <col min="3335" max="3335" width="9.125" style="69"/>
    <col min="3336" max="3336" width="11.375" style="69" bestFit="1" customWidth="1"/>
    <col min="3337" max="3338" width="9.125" style="69"/>
    <col min="3339" max="3339" width="13.375" style="69" customWidth="1"/>
    <col min="3340" max="3572" width="9.125" style="69"/>
    <col min="3573" max="3573" width="69.875" style="69" customWidth="1"/>
    <col min="3574" max="3574" width="9.625" style="69" customWidth="1"/>
    <col min="3575" max="3578" width="0" style="69" hidden="1" customWidth="1"/>
    <col min="3579" max="3579" width="13.875" style="69" customWidth="1"/>
    <col min="3580" max="3585" width="0" style="69" hidden="1" customWidth="1"/>
    <col min="3586" max="3589" width="9.125" style="69"/>
    <col min="3590" max="3590" width="13.375" style="69" customWidth="1"/>
    <col min="3591" max="3591" width="9.125" style="69"/>
    <col min="3592" max="3592" width="11.375" style="69" bestFit="1" customWidth="1"/>
    <col min="3593" max="3594" width="9.125" style="69"/>
    <col min="3595" max="3595" width="13.375" style="69" customWidth="1"/>
    <col min="3596" max="3828" width="9.125" style="69"/>
    <col min="3829" max="3829" width="69.875" style="69" customWidth="1"/>
    <col min="3830" max="3830" width="9.625" style="69" customWidth="1"/>
    <col min="3831" max="3834" width="0" style="69" hidden="1" customWidth="1"/>
    <col min="3835" max="3835" width="13.875" style="69" customWidth="1"/>
    <col min="3836" max="3841" width="0" style="69" hidden="1" customWidth="1"/>
    <col min="3842" max="3845" width="9.125" style="69"/>
    <col min="3846" max="3846" width="13.375" style="69" customWidth="1"/>
    <col min="3847" max="3847" width="9.125" style="69"/>
    <col min="3848" max="3848" width="11.375" style="69" bestFit="1" customWidth="1"/>
    <col min="3849" max="3850" width="9.125" style="69"/>
    <col min="3851" max="3851" width="13.375" style="69" customWidth="1"/>
    <col min="3852" max="4084" width="9.125" style="69"/>
    <col min="4085" max="4085" width="69.875" style="69" customWidth="1"/>
    <col min="4086" max="4086" width="9.625" style="69" customWidth="1"/>
    <col min="4087" max="4090" width="0" style="69" hidden="1" customWidth="1"/>
    <col min="4091" max="4091" width="13.875" style="69" customWidth="1"/>
    <col min="4092" max="4097" width="0" style="69" hidden="1" customWidth="1"/>
    <col min="4098" max="4101" width="9.125" style="69"/>
    <col min="4102" max="4102" width="13.375" style="69" customWidth="1"/>
    <col min="4103" max="4103" width="9.125" style="69"/>
    <col min="4104" max="4104" width="11.375" style="69" bestFit="1" customWidth="1"/>
    <col min="4105" max="4106" width="9.125" style="69"/>
    <col min="4107" max="4107" width="13.375" style="69" customWidth="1"/>
    <col min="4108" max="4340" width="9.125" style="69"/>
    <col min="4341" max="4341" width="69.875" style="69" customWidth="1"/>
    <col min="4342" max="4342" width="9.625" style="69" customWidth="1"/>
    <col min="4343" max="4346" width="0" style="69" hidden="1" customWidth="1"/>
    <col min="4347" max="4347" width="13.875" style="69" customWidth="1"/>
    <col min="4348" max="4353" width="0" style="69" hidden="1" customWidth="1"/>
    <col min="4354" max="4357" width="9.125" style="69"/>
    <col min="4358" max="4358" width="13.375" style="69" customWidth="1"/>
    <col min="4359" max="4359" width="9.125" style="69"/>
    <col min="4360" max="4360" width="11.375" style="69" bestFit="1" customWidth="1"/>
    <col min="4361" max="4362" width="9.125" style="69"/>
    <col min="4363" max="4363" width="13.375" style="69" customWidth="1"/>
    <col min="4364" max="4596" width="9.125" style="69"/>
    <col min="4597" max="4597" width="69.875" style="69" customWidth="1"/>
    <col min="4598" max="4598" width="9.625" style="69" customWidth="1"/>
    <col min="4599" max="4602" width="0" style="69" hidden="1" customWidth="1"/>
    <col min="4603" max="4603" width="13.875" style="69" customWidth="1"/>
    <col min="4604" max="4609" width="0" style="69" hidden="1" customWidth="1"/>
    <col min="4610" max="4613" width="9.125" style="69"/>
    <col min="4614" max="4614" width="13.375" style="69" customWidth="1"/>
    <col min="4615" max="4615" width="9.125" style="69"/>
    <col min="4616" max="4616" width="11.375" style="69" bestFit="1" customWidth="1"/>
    <col min="4617" max="4618" width="9.125" style="69"/>
    <col min="4619" max="4619" width="13.375" style="69" customWidth="1"/>
    <col min="4620" max="4852" width="9.125" style="69"/>
    <col min="4853" max="4853" width="69.875" style="69" customWidth="1"/>
    <col min="4854" max="4854" width="9.625" style="69" customWidth="1"/>
    <col min="4855" max="4858" width="0" style="69" hidden="1" customWidth="1"/>
    <col min="4859" max="4859" width="13.875" style="69" customWidth="1"/>
    <col min="4860" max="4865" width="0" style="69" hidden="1" customWidth="1"/>
    <col min="4866" max="4869" width="9.125" style="69"/>
    <col min="4870" max="4870" width="13.375" style="69" customWidth="1"/>
    <col min="4871" max="4871" width="9.125" style="69"/>
    <col min="4872" max="4872" width="11.375" style="69" bestFit="1" customWidth="1"/>
    <col min="4873" max="4874" width="9.125" style="69"/>
    <col min="4875" max="4875" width="13.375" style="69" customWidth="1"/>
    <col min="4876" max="5108" width="9.125" style="69"/>
    <col min="5109" max="5109" width="69.875" style="69" customWidth="1"/>
    <col min="5110" max="5110" width="9.625" style="69" customWidth="1"/>
    <col min="5111" max="5114" width="0" style="69" hidden="1" customWidth="1"/>
    <col min="5115" max="5115" width="13.875" style="69" customWidth="1"/>
    <col min="5116" max="5121" width="0" style="69" hidden="1" customWidth="1"/>
    <col min="5122" max="5125" width="9.125" style="69"/>
    <col min="5126" max="5126" width="13.375" style="69" customWidth="1"/>
    <col min="5127" max="5127" width="9.125" style="69"/>
    <col min="5128" max="5128" width="11.375" style="69" bestFit="1" customWidth="1"/>
    <col min="5129" max="5130" width="9.125" style="69"/>
    <col min="5131" max="5131" width="13.375" style="69" customWidth="1"/>
    <col min="5132" max="5364" width="9.125" style="69"/>
    <col min="5365" max="5365" width="69.875" style="69" customWidth="1"/>
    <col min="5366" max="5366" width="9.625" style="69" customWidth="1"/>
    <col min="5367" max="5370" width="0" style="69" hidden="1" customWidth="1"/>
    <col min="5371" max="5371" width="13.875" style="69" customWidth="1"/>
    <col min="5372" max="5377" width="0" style="69" hidden="1" customWidth="1"/>
    <col min="5378" max="5381" width="9.125" style="69"/>
    <col min="5382" max="5382" width="13.375" style="69" customWidth="1"/>
    <col min="5383" max="5383" width="9.125" style="69"/>
    <col min="5384" max="5384" width="11.375" style="69" bestFit="1" customWidth="1"/>
    <col min="5385" max="5386" width="9.125" style="69"/>
    <col min="5387" max="5387" width="13.375" style="69" customWidth="1"/>
    <col min="5388" max="5620" width="9.125" style="69"/>
    <col min="5621" max="5621" width="69.875" style="69" customWidth="1"/>
    <col min="5622" max="5622" width="9.625" style="69" customWidth="1"/>
    <col min="5623" max="5626" width="0" style="69" hidden="1" customWidth="1"/>
    <col min="5627" max="5627" width="13.875" style="69" customWidth="1"/>
    <col min="5628" max="5633" width="0" style="69" hidden="1" customWidth="1"/>
    <col min="5634" max="5637" width="9.125" style="69"/>
    <col min="5638" max="5638" width="13.375" style="69" customWidth="1"/>
    <col min="5639" max="5639" width="9.125" style="69"/>
    <col min="5640" max="5640" width="11.375" style="69" bestFit="1" customWidth="1"/>
    <col min="5641" max="5642" width="9.125" style="69"/>
    <col min="5643" max="5643" width="13.375" style="69" customWidth="1"/>
    <col min="5644" max="5876" width="9.125" style="69"/>
    <col min="5877" max="5877" width="69.875" style="69" customWidth="1"/>
    <col min="5878" max="5878" width="9.625" style="69" customWidth="1"/>
    <col min="5879" max="5882" width="0" style="69" hidden="1" customWidth="1"/>
    <col min="5883" max="5883" width="13.875" style="69" customWidth="1"/>
    <col min="5884" max="5889" width="0" style="69" hidden="1" customWidth="1"/>
    <col min="5890" max="5893" width="9.125" style="69"/>
    <col min="5894" max="5894" width="13.375" style="69" customWidth="1"/>
    <col min="5895" max="5895" width="9.125" style="69"/>
    <col min="5896" max="5896" width="11.375" style="69" bestFit="1" customWidth="1"/>
    <col min="5897" max="5898" width="9.125" style="69"/>
    <col min="5899" max="5899" width="13.375" style="69" customWidth="1"/>
    <col min="5900" max="6132" width="9.125" style="69"/>
    <col min="6133" max="6133" width="69.875" style="69" customWidth="1"/>
    <col min="6134" max="6134" width="9.625" style="69" customWidth="1"/>
    <col min="6135" max="6138" width="0" style="69" hidden="1" customWidth="1"/>
    <col min="6139" max="6139" width="13.875" style="69" customWidth="1"/>
    <col min="6140" max="6145" width="0" style="69" hidden="1" customWidth="1"/>
    <col min="6146" max="6149" width="9.125" style="69"/>
    <col min="6150" max="6150" width="13.375" style="69" customWidth="1"/>
    <col min="6151" max="6151" width="9.125" style="69"/>
    <col min="6152" max="6152" width="11.375" style="69" bestFit="1" customWidth="1"/>
    <col min="6153" max="6154" width="9.125" style="69"/>
    <col min="6155" max="6155" width="13.375" style="69" customWidth="1"/>
    <col min="6156" max="6388" width="9.125" style="69"/>
    <col min="6389" max="6389" width="69.875" style="69" customWidth="1"/>
    <col min="6390" max="6390" width="9.625" style="69" customWidth="1"/>
    <col min="6391" max="6394" width="0" style="69" hidden="1" customWidth="1"/>
    <col min="6395" max="6395" width="13.875" style="69" customWidth="1"/>
    <col min="6396" max="6401" width="0" style="69" hidden="1" customWidth="1"/>
    <col min="6402" max="6405" width="9.125" style="69"/>
    <col min="6406" max="6406" width="13.375" style="69" customWidth="1"/>
    <col min="6407" max="6407" width="9.125" style="69"/>
    <col min="6408" max="6408" width="11.375" style="69" bestFit="1" customWidth="1"/>
    <col min="6409" max="6410" width="9.125" style="69"/>
    <col min="6411" max="6411" width="13.375" style="69" customWidth="1"/>
    <col min="6412" max="6644" width="9.125" style="69"/>
    <col min="6645" max="6645" width="69.875" style="69" customWidth="1"/>
    <col min="6646" max="6646" width="9.625" style="69" customWidth="1"/>
    <col min="6647" max="6650" width="0" style="69" hidden="1" customWidth="1"/>
    <col min="6651" max="6651" width="13.875" style="69" customWidth="1"/>
    <col min="6652" max="6657" width="0" style="69" hidden="1" customWidth="1"/>
    <col min="6658" max="6661" width="9.125" style="69"/>
    <col min="6662" max="6662" width="13.375" style="69" customWidth="1"/>
    <col min="6663" max="6663" width="9.125" style="69"/>
    <col min="6664" max="6664" width="11.375" style="69" bestFit="1" customWidth="1"/>
    <col min="6665" max="6666" width="9.125" style="69"/>
    <col min="6667" max="6667" width="13.375" style="69" customWidth="1"/>
    <col min="6668" max="6900" width="9.125" style="69"/>
    <col min="6901" max="6901" width="69.875" style="69" customWidth="1"/>
    <col min="6902" max="6902" width="9.625" style="69" customWidth="1"/>
    <col min="6903" max="6906" width="0" style="69" hidden="1" customWidth="1"/>
    <col min="6907" max="6907" width="13.875" style="69" customWidth="1"/>
    <col min="6908" max="6913" width="0" style="69" hidden="1" customWidth="1"/>
    <col min="6914" max="6917" width="9.125" style="69"/>
    <col min="6918" max="6918" width="13.375" style="69" customWidth="1"/>
    <col min="6919" max="6919" width="9.125" style="69"/>
    <col min="6920" max="6920" width="11.375" style="69" bestFit="1" customWidth="1"/>
    <col min="6921" max="6922" width="9.125" style="69"/>
    <col min="6923" max="6923" width="13.375" style="69" customWidth="1"/>
    <col min="6924" max="7156" width="9.125" style="69"/>
    <col min="7157" max="7157" width="69.875" style="69" customWidth="1"/>
    <col min="7158" max="7158" width="9.625" style="69" customWidth="1"/>
    <col min="7159" max="7162" width="0" style="69" hidden="1" customWidth="1"/>
    <col min="7163" max="7163" width="13.875" style="69" customWidth="1"/>
    <col min="7164" max="7169" width="0" style="69" hidden="1" customWidth="1"/>
    <col min="7170" max="7173" width="9.125" style="69"/>
    <col min="7174" max="7174" width="13.375" style="69" customWidth="1"/>
    <col min="7175" max="7175" width="9.125" style="69"/>
    <col min="7176" max="7176" width="11.375" style="69" bestFit="1" customWidth="1"/>
    <col min="7177" max="7178" width="9.125" style="69"/>
    <col min="7179" max="7179" width="13.375" style="69" customWidth="1"/>
    <col min="7180" max="7412" width="9.125" style="69"/>
    <col min="7413" max="7413" width="69.875" style="69" customWidth="1"/>
    <col min="7414" max="7414" width="9.625" style="69" customWidth="1"/>
    <col min="7415" max="7418" width="0" style="69" hidden="1" customWidth="1"/>
    <col min="7419" max="7419" width="13.875" style="69" customWidth="1"/>
    <col min="7420" max="7425" width="0" style="69" hidden="1" customWidth="1"/>
    <col min="7426" max="7429" width="9.125" style="69"/>
    <col min="7430" max="7430" width="13.375" style="69" customWidth="1"/>
    <col min="7431" max="7431" width="9.125" style="69"/>
    <col min="7432" max="7432" width="11.375" style="69" bestFit="1" customWidth="1"/>
    <col min="7433" max="7434" width="9.125" style="69"/>
    <col min="7435" max="7435" width="13.375" style="69" customWidth="1"/>
    <col min="7436" max="7668" width="9.125" style="69"/>
    <col min="7669" max="7669" width="69.875" style="69" customWidth="1"/>
    <col min="7670" max="7670" width="9.625" style="69" customWidth="1"/>
    <col min="7671" max="7674" width="0" style="69" hidden="1" customWidth="1"/>
    <col min="7675" max="7675" width="13.875" style="69" customWidth="1"/>
    <col min="7676" max="7681" width="0" style="69" hidden="1" customWidth="1"/>
    <col min="7682" max="7685" width="9.125" style="69"/>
    <col min="7686" max="7686" width="13.375" style="69" customWidth="1"/>
    <col min="7687" max="7687" width="9.125" style="69"/>
    <col min="7688" max="7688" width="11.375" style="69" bestFit="1" customWidth="1"/>
    <col min="7689" max="7690" width="9.125" style="69"/>
    <col min="7691" max="7691" width="13.375" style="69" customWidth="1"/>
    <col min="7692" max="7924" width="9.125" style="69"/>
    <col min="7925" max="7925" width="69.875" style="69" customWidth="1"/>
    <col min="7926" max="7926" width="9.625" style="69" customWidth="1"/>
    <col min="7927" max="7930" width="0" style="69" hidden="1" customWidth="1"/>
    <col min="7931" max="7931" width="13.875" style="69" customWidth="1"/>
    <col min="7932" max="7937" width="0" style="69" hidden="1" customWidth="1"/>
    <col min="7938" max="7941" width="9.125" style="69"/>
    <col min="7942" max="7942" width="13.375" style="69" customWidth="1"/>
    <col min="7943" max="7943" width="9.125" style="69"/>
    <col min="7944" max="7944" width="11.375" style="69" bestFit="1" customWidth="1"/>
    <col min="7945" max="7946" width="9.125" style="69"/>
    <col min="7947" max="7947" width="13.375" style="69" customWidth="1"/>
    <col min="7948" max="8180" width="9.125" style="69"/>
    <col min="8181" max="8181" width="69.875" style="69" customWidth="1"/>
    <col min="8182" max="8182" width="9.625" style="69" customWidth="1"/>
    <col min="8183" max="8186" width="0" style="69" hidden="1" customWidth="1"/>
    <col min="8187" max="8187" width="13.875" style="69" customWidth="1"/>
    <col min="8188" max="8193" width="0" style="69" hidden="1" customWidth="1"/>
    <col min="8194" max="8197" width="9.125" style="69"/>
    <col min="8198" max="8198" width="13.375" style="69" customWidth="1"/>
    <col min="8199" max="8199" width="9.125" style="69"/>
    <col min="8200" max="8200" width="11.375" style="69" bestFit="1" customWidth="1"/>
    <col min="8201" max="8202" width="9.125" style="69"/>
    <col min="8203" max="8203" width="13.375" style="69" customWidth="1"/>
    <col min="8204" max="8436" width="9.125" style="69"/>
    <col min="8437" max="8437" width="69.875" style="69" customWidth="1"/>
    <col min="8438" max="8438" width="9.625" style="69" customWidth="1"/>
    <col min="8439" max="8442" width="0" style="69" hidden="1" customWidth="1"/>
    <col min="8443" max="8443" width="13.875" style="69" customWidth="1"/>
    <col min="8444" max="8449" width="0" style="69" hidden="1" customWidth="1"/>
    <col min="8450" max="8453" width="9.125" style="69"/>
    <col min="8454" max="8454" width="13.375" style="69" customWidth="1"/>
    <col min="8455" max="8455" width="9.125" style="69"/>
    <col min="8456" max="8456" width="11.375" style="69" bestFit="1" customWidth="1"/>
    <col min="8457" max="8458" width="9.125" style="69"/>
    <col min="8459" max="8459" width="13.375" style="69" customWidth="1"/>
    <col min="8460" max="8692" width="9.125" style="69"/>
    <col min="8693" max="8693" width="69.875" style="69" customWidth="1"/>
    <col min="8694" max="8694" width="9.625" style="69" customWidth="1"/>
    <col min="8695" max="8698" width="0" style="69" hidden="1" customWidth="1"/>
    <col min="8699" max="8699" width="13.875" style="69" customWidth="1"/>
    <col min="8700" max="8705" width="0" style="69" hidden="1" customWidth="1"/>
    <col min="8706" max="8709" width="9.125" style="69"/>
    <col min="8710" max="8710" width="13.375" style="69" customWidth="1"/>
    <col min="8711" max="8711" width="9.125" style="69"/>
    <col min="8712" max="8712" width="11.375" style="69" bestFit="1" customWidth="1"/>
    <col min="8713" max="8714" width="9.125" style="69"/>
    <col min="8715" max="8715" width="13.375" style="69" customWidth="1"/>
    <col min="8716" max="8948" width="9.125" style="69"/>
    <col min="8949" max="8949" width="69.875" style="69" customWidth="1"/>
    <col min="8950" max="8950" width="9.625" style="69" customWidth="1"/>
    <col min="8951" max="8954" width="0" style="69" hidden="1" customWidth="1"/>
    <col min="8955" max="8955" width="13.875" style="69" customWidth="1"/>
    <col min="8956" max="8961" width="0" style="69" hidden="1" customWidth="1"/>
    <col min="8962" max="8965" width="9.125" style="69"/>
    <col min="8966" max="8966" width="13.375" style="69" customWidth="1"/>
    <col min="8967" max="8967" width="9.125" style="69"/>
    <col min="8968" max="8968" width="11.375" style="69" bestFit="1" customWidth="1"/>
    <col min="8969" max="8970" width="9.125" style="69"/>
    <col min="8971" max="8971" width="13.375" style="69" customWidth="1"/>
    <col min="8972" max="9204" width="9.125" style="69"/>
    <col min="9205" max="9205" width="69.875" style="69" customWidth="1"/>
    <col min="9206" max="9206" width="9.625" style="69" customWidth="1"/>
    <col min="9207" max="9210" width="0" style="69" hidden="1" customWidth="1"/>
    <col min="9211" max="9211" width="13.875" style="69" customWidth="1"/>
    <col min="9212" max="9217" width="0" style="69" hidden="1" customWidth="1"/>
    <col min="9218" max="9221" width="9.125" style="69"/>
    <col min="9222" max="9222" width="13.375" style="69" customWidth="1"/>
    <col min="9223" max="9223" width="9.125" style="69"/>
    <col min="9224" max="9224" width="11.375" style="69" bestFit="1" customWidth="1"/>
    <col min="9225" max="9226" width="9.125" style="69"/>
    <col min="9227" max="9227" width="13.375" style="69" customWidth="1"/>
    <col min="9228" max="9460" width="9.125" style="69"/>
    <col min="9461" max="9461" width="69.875" style="69" customWidth="1"/>
    <col min="9462" max="9462" width="9.625" style="69" customWidth="1"/>
    <col min="9463" max="9466" width="0" style="69" hidden="1" customWidth="1"/>
    <col min="9467" max="9467" width="13.875" style="69" customWidth="1"/>
    <col min="9468" max="9473" width="0" style="69" hidden="1" customWidth="1"/>
    <col min="9474" max="9477" width="9.125" style="69"/>
    <col min="9478" max="9478" width="13.375" style="69" customWidth="1"/>
    <col min="9479" max="9479" width="9.125" style="69"/>
    <col min="9480" max="9480" width="11.375" style="69" bestFit="1" customWidth="1"/>
    <col min="9481" max="9482" width="9.125" style="69"/>
    <col min="9483" max="9483" width="13.375" style="69" customWidth="1"/>
    <col min="9484" max="9716" width="9.125" style="69"/>
    <col min="9717" max="9717" width="69.875" style="69" customWidth="1"/>
    <col min="9718" max="9718" width="9.625" style="69" customWidth="1"/>
    <col min="9719" max="9722" width="0" style="69" hidden="1" customWidth="1"/>
    <col min="9723" max="9723" width="13.875" style="69" customWidth="1"/>
    <col min="9724" max="9729" width="0" style="69" hidden="1" customWidth="1"/>
    <col min="9730" max="9733" width="9.125" style="69"/>
    <col min="9734" max="9734" width="13.375" style="69" customWidth="1"/>
    <col min="9735" max="9735" width="9.125" style="69"/>
    <col min="9736" max="9736" width="11.375" style="69" bestFit="1" customWidth="1"/>
    <col min="9737" max="9738" width="9.125" style="69"/>
    <col min="9739" max="9739" width="13.375" style="69" customWidth="1"/>
    <col min="9740" max="9972" width="9.125" style="69"/>
    <col min="9973" max="9973" width="69.875" style="69" customWidth="1"/>
    <col min="9974" max="9974" width="9.625" style="69" customWidth="1"/>
    <col min="9975" max="9978" width="0" style="69" hidden="1" customWidth="1"/>
    <col min="9979" max="9979" width="13.875" style="69" customWidth="1"/>
    <col min="9980" max="9985" width="0" style="69" hidden="1" customWidth="1"/>
    <col min="9986" max="9989" width="9.125" style="69"/>
    <col min="9990" max="9990" width="13.375" style="69" customWidth="1"/>
    <col min="9991" max="9991" width="9.125" style="69"/>
    <col min="9992" max="9992" width="11.375" style="69" bestFit="1" customWidth="1"/>
    <col min="9993" max="9994" width="9.125" style="69"/>
    <col min="9995" max="9995" width="13.375" style="69" customWidth="1"/>
    <col min="9996" max="10228" width="9.125" style="69"/>
    <col min="10229" max="10229" width="69.875" style="69" customWidth="1"/>
    <col min="10230" max="10230" width="9.625" style="69" customWidth="1"/>
    <col min="10231" max="10234" width="0" style="69" hidden="1" customWidth="1"/>
    <col min="10235" max="10235" width="13.875" style="69" customWidth="1"/>
    <col min="10236" max="10241" width="0" style="69" hidden="1" customWidth="1"/>
    <col min="10242" max="10245" width="9.125" style="69"/>
    <col min="10246" max="10246" width="13.375" style="69" customWidth="1"/>
    <col min="10247" max="10247" width="9.125" style="69"/>
    <col min="10248" max="10248" width="11.375" style="69" bestFit="1" customWidth="1"/>
    <col min="10249" max="10250" width="9.125" style="69"/>
    <col min="10251" max="10251" width="13.375" style="69" customWidth="1"/>
    <col min="10252" max="10484" width="9.125" style="69"/>
    <col min="10485" max="10485" width="69.875" style="69" customWidth="1"/>
    <col min="10486" max="10486" width="9.625" style="69" customWidth="1"/>
    <col min="10487" max="10490" width="0" style="69" hidden="1" customWidth="1"/>
    <col min="10491" max="10491" width="13.875" style="69" customWidth="1"/>
    <col min="10492" max="10497" width="0" style="69" hidden="1" customWidth="1"/>
    <col min="10498" max="10501" width="9.125" style="69"/>
    <col min="10502" max="10502" width="13.375" style="69" customWidth="1"/>
    <col min="10503" max="10503" width="9.125" style="69"/>
    <col min="10504" max="10504" width="11.375" style="69" bestFit="1" customWidth="1"/>
    <col min="10505" max="10506" width="9.125" style="69"/>
    <col min="10507" max="10507" width="13.375" style="69" customWidth="1"/>
    <col min="10508" max="10740" width="9.125" style="69"/>
    <col min="10741" max="10741" width="69.875" style="69" customWidth="1"/>
    <col min="10742" max="10742" width="9.625" style="69" customWidth="1"/>
    <col min="10743" max="10746" width="0" style="69" hidden="1" customWidth="1"/>
    <col min="10747" max="10747" width="13.875" style="69" customWidth="1"/>
    <col min="10748" max="10753" width="0" style="69" hidden="1" customWidth="1"/>
    <col min="10754" max="10757" width="9.125" style="69"/>
    <col min="10758" max="10758" width="13.375" style="69" customWidth="1"/>
    <col min="10759" max="10759" width="9.125" style="69"/>
    <col min="10760" max="10760" width="11.375" style="69" bestFit="1" customWidth="1"/>
    <col min="10761" max="10762" width="9.125" style="69"/>
    <col min="10763" max="10763" width="13.375" style="69" customWidth="1"/>
    <col min="10764" max="10996" width="9.125" style="69"/>
    <col min="10997" max="10997" width="69.875" style="69" customWidth="1"/>
    <col min="10998" max="10998" width="9.625" style="69" customWidth="1"/>
    <col min="10999" max="11002" width="0" style="69" hidden="1" customWidth="1"/>
    <col min="11003" max="11003" width="13.875" style="69" customWidth="1"/>
    <col min="11004" max="11009" width="0" style="69" hidden="1" customWidth="1"/>
    <col min="11010" max="11013" width="9.125" style="69"/>
    <col min="11014" max="11014" width="13.375" style="69" customWidth="1"/>
    <col min="11015" max="11015" width="9.125" style="69"/>
    <col min="11016" max="11016" width="11.375" style="69" bestFit="1" customWidth="1"/>
    <col min="11017" max="11018" width="9.125" style="69"/>
    <col min="11019" max="11019" width="13.375" style="69" customWidth="1"/>
    <col min="11020" max="11252" width="9.125" style="69"/>
    <col min="11253" max="11253" width="69.875" style="69" customWidth="1"/>
    <col min="11254" max="11254" width="9.625" style="69" customWidth="1"/>
    <col min="11255" max="11258" width="0" style="69" hidden="1" customWidth="1"/>
    <col min="11259" max="11259" width="13.875" style="69" customWidth="1"/>
    <col min="11260" max="11265" width="0" style="69" hidden="1" customWidth="1"/>
    <col min="11266" max="11269" width="9.125" style="69"/>
    <col min="11270" max="11270" width="13.375" style="69" customWidth="1"/>
    <col min="11271" max="11271" width="9.125" style="69"/>
    <col min="11272" max="11272" width="11.375" style="69" bestFit="1" customWidth="1"/>
    <col min="11273" max="11274" width="9.125" style="69"/>
    <col min="11275" max="11275" width="13.375" style="69" customWidth="1"/>
    <col min="11276" max="11508" width="9.125" style="69"/>
    <col min="11509" max="11509" width="69.875" style="69" customWidth="1"/>
    <col min="11510" max="11510" width="9.625" style="69" customWidth="1"/>
    <col min="11511" max="11514" width="0" style="69" hidden="1" customWidth="1"/>
    <col min="11515" max="11515" width="13.875" style="69" customWidth="1"/>
    <col min="11516" max="11521" width="0" style="69" hidden="1" customWidth="1"/>
    <col min="11522" max="11525" width="9.125" style="69"/>
    <col min="11526" max="11526" width="13.375" style="69" customWidth="1"/>
    <col min="11527" max="11527" width="9.125" style="69"/>
    <col min="11528" max="11528" width="11.375" style="69" bestFit="1" customWidth="1"/>
    <col min="11529" max="11530" width="9.125" style="69"/>
    <col min="11531" max="11531" width="13.375" style="69" customWidth="1"/>
    <col min="11532" max="11764" width="9.125" style="69"/>
    <col min="11765" max="11765" width="69.875" style="69" customWidth="1"/>
    <col min="11766" max="11766" width="9.625" style="69" customWidth="1"/>
    <col min="11767" max="11770" width="0" style="69" hidden="1" customWidth="1"/>
    <col min="11771" max="11771" width="13.875" style="69" customWidth="1"/>
    <col min="11772" max="11777" width="0" style="69" hidden="1" customWidth="1"/>
    <col min="11778" max="11781" width="9.125" style="69"/>
    <col min="11782" max="11782" width="13.375" style="69" customWidth="1"/>
    <col min="11783" max="11783" width="9.125" style="69"/>
    <col min="11784" max="11784" width="11.375" style="69" bestFit="1" customWidth="1"/>
    <col min="11785" max="11786" width="9.125" style="69"/>
    <col min="11787" max="11787" width="13.375" style="69" customWidth="1"/>
    <col min="11788" max="12020" width="9.125" style="69"/>
    <col min="12021" max="12021" width="69.875" style="69" customWidth="1"/>
    <col min="12022" max="12022" width="9.625" style="69" customWidth="1"/>
    <col min="12023" max="12026" width="0" style="69" hidden="1" customWidth="1"/>
    <col min="12027" max="12027" width="13.875" style="69" customWidth="1"/>
    <col min="12028" max="12033" width="0" style="69" hidden="1" customWidth="1"/>
    <col min="12034" max="12037" width="9.125" style="69"/>
    <col min="12038" max="12038" width="13.375" style="69" customWidth="1"/>
    <col min="12039" max="12039" width="9.125" style="69"/>
    <col min="12040" max="12040" width="11.375" style="69" bestFit="1" customWidth="1"/>
    <col min="12041" max="12042" width="9.125" style="69"/>
    <col min="12043" max="12043" width="13.375" style="69" customWidth="1"/>
    <col min="12044" max="12276" width="9.125" style="69"/>
    <col min="12277" max="12277" width="69.875" style="69" customWidth="1"/>
    <col min="12278" max="12278" width="9.625" style="69" customWidth="1"/>
    <col min="12279" max="12282" width="0" style="69" hidden="1" customWidth="1"/>
    <col min="12283" max="12283" width="13.875" style="69" customWidth="1"/>
    <col min="12284" max="12289" width="0" style="69" hidden="1" customWidth="1"/>
    <col min="12290" max="12293" width="9.125" style="69"/>
    <col min="12294" max="12294" width="13.375" style="69" customWidth="1"/>
    <col min="12295" max="12295" width="9.125" style="69"/>
    <col min="12296" max="12296" width="11.375" style="69" bestFit="1" customWidth="1"/>
    <col min="12297" max="12298" width="9.125" style="69"/>
    <col min="12299" max="12299" width="13.375" style="69" customWidth="1"/>
    <col min="12300" max="12532" width="9.125" style="69"/>
    <col min="12533" max="12533" width="69.875" style="69" customWidth="1"/>
    <col min="12534" max="12534" width="9.625" style="69" customWidth="1"/>
    <col min="12535" max="12538" width="0" style="69" hidden="1" customWidth="1"/>
    <col min="12539" max="12539" width="13.875" style="69" customWidth="1"/>
    <col min="12540" max="12545" width="0" style="69" hidden="1" customWidth="1"/>
    <col min="12546" max="12549" width="9.125" style="69"/>
    <col min="12550" max="12550" width="13.375" style="69" customWidth="1"/>
    <col min="12551" max="12551" width="9.125" style="69"/>
    <col min="12552" max="12552" width="11.375" style="69" bestFit="1" customWidth="1"/>
    <col min="12553" max="12554" width="9.125" style="69"/>
    <col min="12555" max="12555" width="13.375" style="69" customWidth="1"/>
    <col min="12556" max="12788" width="9.125" style="69"/>
    <col min="12789" max="12789" width="69.875" style="69" customWidth="1"/>
    <col min="12790" max="12790" width="9.625" style="69" customWidth="1"/>
    <col min="12791" max="12794" width="0" style="69" hidden="1" customWidth="1"/>
    <col min="12795" max="12795" width="13.875" style="69" customWidth="1"/>
    <col min="12796" max="12801" width="0" style="69" hidden="1" customWidth="1"/>
    <col min="12802" max="12805" width="9.125" style="69"/>
    <col min="12806" max="12806" width="13.375" style="69" customWidth="1"/>
    <col min="12807" max="12807" width="9.125" style="69"/>
    <col min="12808" max="12808" width="11.375" style="69" bestFit="1" customWidth="1"/>
    <col min="12809" max="12810" width="9.125" style="69"/>
    <col min="12811" max="12811" width="13.375" style="69" customWidth="1"/>
    <col min="12812" max="13044" width="9.125" style="69"/>
    <col min="13045" max="13045" width="69.875" style="69" customWidth="1"/>
    <col min="13046" max="13046" width="9.625" style="69" customWidth="1"/>
    <col min="13047" max="13050" width="0" style="69" hidden="1" customWidth="1"/>
    <col min="13051" max="13051" width="13.875" style="69" customWidth="1"/>
    <col min="13052" max="13057" width="0" style="69" hidden="1" customWidth="1"/>
    <col min="13058" max="13061" width="9.125" style="69"/>
    <col min="13062" max="13062" width="13.375" style="69" customWidth="1"/>
    <col min="13063" max="13063" width="9.125" style="69"/>
    <col min="13064" max="13064" width="11.375" style="69" bestFit="1" customWidth="1"/>
    <col min="13065" max="13066" width="9.125" style="69"/>
    <col min="13067" max="13067" width="13.375" style="69" customWidth="1"/>
    <col min="13068" max="13300" width="9.125" style="69"/>
    <col min="13301" max="13301" width="69.875" style="69" customWidth="1"/>
    <col min="13302" max="13302" width="9.625" style="69" customWidth="1"/>
    <col min="13303" max="13306" width="0" style="69" hidden="1" customWidth="1"/>
    <col min="13307" max="13307" width="13.875" style="69" customWidth="1"/>
    <col min="13308" max="13313" width="0" style="69" hidden="1" customWidth="1"/>
    <col min="13314" max="13317" width="9.125" style="69"/>
    <col min="13318" max="13318" width="13.375" style="69" customWidth="1"/>
    <col min="13319" max="13319" width="9.125" style="69"/>
    <col min="13320" max="13320" width="11.375" style="69" bestFit="1" customWidth="1"/>
    <col min="13321" max="13322" width="9.125" style="69"/>
    <col min="13323" max="13323" width="13.375" style="69" customWidth="1"/>
    <col min="13324" max="13556" width="9.125" style="69"/>
    <col min="13557" max="13557" width="69.875" style="69" customWidth="1"/>
    <col min="13558" max="13558" width="9.625" style="69" customWidth="1"/>
    <col min="13559" max="13562" width="0" style="69" hidden="1" customWidth="1"/>
    <col min="13563" max="13563" width="13.875" style="69" customWidth="1"/>
    <col min="13564" max="13569" width="0" style="69" hidden="1" customWidth="1"/>
    <col min="13570" max="13573" width="9.125" style="69"/>
    <col min="13574" max="13574" width="13.375" style="69" customWidth="1"/>
    <col min="13575" max="13575" width="9.125" style="69"/>
    <col min="13576" max="13576" width="11.375" style="69" bestFit="1" customWidth="1"/>
    <col min="13577" max="13578" width="9.125" style="69"/>
    <col min="13579" max="13579" width="13.375" style="69" customWidth="1"/>
    <col min="13580" max="13812" width="9.125" style="69"/>
    <col min="13813" max="13813" width="69.875" style="69" customWidth="1"/>
    <col min="13814" max="13814" width="9.625" style="69" customWidth="1"/>
    <col min="13815" max="13818" width="0" style="69" hidden="1" customWidth="1"/>
    <col min="13819" max="13819" width="13.875" style="69" customWidth="1"/>
    <col min="13820" max="13825" width="0" style="69" hidden="1" customWidth="1"/>
    <col min="13826" max="13829" width="9.125" style="69"/>
    <col min="13830" max="13830" width="13.375" style="69" customWidth="1"/>
    <col min="13831" max="13831" width="9.125" style="69"/>
    <col min="13832" max="13832" width="11.375" style="69" bestFit="1" customWidth="1"/>
    <col min="13833" max="13834" width="9.125" style="69"/>
    <col min="13835" max="13835" width="13.375" style="69" customWidth="1"/>
    <col min="13836" max="14068" width="9.125" style="69"/>
    <col min="14069" max="14069" width="69.875" style="69" customWidth="1"/>
    <col min="14070" max="14070" width="9.625" style="69" customWidth="1"/>
    <col min="14071" max="14074" width="0" style="69" hidden="1" customWidth="1"/>
    <col min="14075" max="14075" width="13.875" style="69" customWidth="1"/>
    <col min="14076" max="14081" width="0" style="69" hidden="1" customWidth="1"/>
    <col min="14082" max="14085" width="9.125" style="69"/>
    <col min="14086" max="14086" width="13.375" style="69" customWidth="1"/>
    <col min="14087" max="14087" width="9.125" style="69"/>
    <col min="14088" max="14088" width="11.375" style="69" bestFit="1" customWidth="1"/>
    <col min="14089" max="14090" width="9.125" style="69"/>
    <col min="14091" max="14091" width="13.375" style="69" customWidth="1"/>
    <col min="14092" max="14324" width="9.125" style="69"/>
    <col min="14325" max="14325" width="69.875" style="69" customWidth="1"/>
    <col min="14326" max="14326" width="9.625" style="69" customWidth="1"/>
    <col min="14327" max="14330" width="0" style="69" hidden="1" customWidth="1"/>
    <col min="14331" max="14331" width="13.875" style="69" customWidth="1"/>
    <col min="14332" max="14337" width="0" style="69" hidden="1" customWidth="1"/>
    <col min="14338" max="14341" width="9.125" style="69"/>
    <col min="14342" max="14342" width="13.375" style="69" customWidth="1"/>
    <col min="14343" max="14343" width="9.125" style="69"/>
    <col min="14344" max="14344" width="11.375" style="69" bestFit="1" customWidth="1"/>
    <col min="14345" max="14346" width="9.125" style="69"/>
    <col min="14347" max="14347" width="13.375" style="69" customWidth="1"/>
    <col min="14348" max="14580" width="9.125" style="69"/>
    <col min="14581" max="14581" width="69.875" style="69" customWidth="1"/>
    <col min="14582" max="14582" width="9.625" style="69" customWidth="1"/>
    <col min="14583" max="14586" width="0" style="69" hidden="1" customWidth="1"/>
    <col min="14587" max="14587" width="13.875" style="69" customWidth="1"/>
    <col min="14588" max="14593" width="0" style="69" hidden="1" customWidth="1"/>
    <col min="14594" max="14597" width="9.125" style="69"/>
    <col min="14598" max="14598" width="13.375" style="69" customWidth="1"/>
    <col min="14599" max="14599" width="9.125" style="69"/>
    <col min="14600" max="14600" width="11.375" style="69" bestFit="1" customWidth="1"/>
    <col min="14601" max="14602" width="9.125" style="69"/>
    <col min="14603" max="14603" width="13.375" style="69" customWidth="1"/>
    <col min="14604" max="14836" width="9.125" style="69"/>
    <col min="14837" max="14837" width="69.875" style="69" customWidth="1"/>
    <col min="14838" max="14838" width="9.625" style="69" customWidth="1"/>
    <col min="14839" max="14842" width="0" style="69" hidden="1" customWidth="1"/>
    <col min="14843" max="14843" width="13.875" style="69" customWidth="1"/>
    <col min="14844" max="14849" width="0" style="69" hidden="1" customWidth="1"/>
    <col min="14850" max="14853" width="9.125" style="69"/>
    <col min="14854" max="14854" width="13.375" style="69" customWidth="1"/>
    <col min="14855" max="14855" width="9.125" style="69"/>
    <col min="14856" max="14856" width="11.375" style="69" bestFit="1" customWidth="1"/>
    <col min="14857" max="14858" width="9.125" style="69"/>
    <col min="14859" max="14859" width="13.375" style="69" customWidth="1"/>
    <col min="14860" max="15092" width="9.125" style="69"/>
    <col min="15093" max="15093" width="69.875" style="69" customWidth="1"/>
    <col min="15094" max="15094" width="9.625" style="69" customWidth="1"/>
    <col min="15095" max="15098" width="0" style="69" hidden="1" customWidth="1"/>
    <col min="15099" max="15099" width="13.875" style="69" customWidth="1"/>
    <col min="15100" max="15105" width="0" style="69" hidden="1" customWidth="1"/>
    <col min="15106" max="15109" width="9.125" style="69"/>
    <col min="15110" max="15110" width="13.375" style="69" customWidth="1"/>
    <col min="15111" max="15111" width="9.125" style="69"/>
    <col min="15112" max="15112" width="11.375" style="69" bestFit="1" customWidth="1"/>
    <col min="15113" max="15114" width="9.125" style="69"/>
    <col min="15115" max="15115" width="13.375" style="69" customWidth="1"/>
    <col min="15116" max="15348" width="9.125" style="69"/>
    <col min="15349" max="15349" width="69.875" style="69" customWidth="1"/>
    <col min="15350" max="15350" width="9.625" style="69" customWidth="1"/>
    <col min="15351" max="15354" width="0" style="69" hidden="1" customWidth="1"/>
    <col min="15355" max="15355" width="13.875" style="69" customWidth="1"/>
    <col min="15356" max="15361" width="0" style="69" hidden="1" customWidth="1"/>
    <col min="15362" max="15365" width="9.125" style="69"/>
    <col min="15366" max="15366" width="13.375" style="69" customWidth="1"/>
    <col min="15367" max="15367" width="9.125" style="69"/>
    <col min="15368" max="15368" width="11.375" style="69" bestFit="1" customWidth="1"/>
    <col min="15369" max="15370" width="9.125" style="69"/>
    <col min="15371" max="15371" width="13.375" style="69" customWidth="1"/>
    <col min="15372" max="15604" width="9.125" style="69"/>
    <col min="15605" max="15605" width="69.875" style="69" customWidth="1"/>
    <col min="15606" max="15606" width="9.625" style="69" customWidth="1"/>
    <col min="15607" max="15610" width="0" style="69" hidden="1" customWidth="1"/>
    <col min="15611" max="15611" width="13.875" style="69" customWidth="1"/>
    <col min="15612" max="15617" width="0" style="69" hidden="1" customWidth="1"/>
    <col min="15618" max="15621" width="9.125" style="69"/>
    <col min="15622" max="15622" width="13.375" style="69" customWidth="1"/>
    <col min="15623" max="15623" width="9.125" style="69"/>
    <col min="15624" max="15624" width="11.375" style="69" bestFit="1" customWidth="1"/>
    <col min="15625" max="15626" width="9.125" style="69"/>
    <col min="15627" max="15627" width="13.375" style="69" customWidth="1"/>
    <col min="15628" max="15860" width="9.125" style="69"/>
    <col min="15861" max="15861" width="69.875" style="69" customWidth="1"/>
    <col min="15862" max="15862" width="9.625" style="69" customWidth="1"/>
    <col min="15863" max="15866" width="0" style="69" hidden="1" customWidth="1"/>
    <col min="15867" max="15867" width="13.875" style="69" customWidth="1"/>
    <col min="15868" max="15873" width="0" style="69" hidden="1" customWidth="1"/>
    <col min="15874" max="15877" width="9.125" style="69"/>
    <col min="15878" max="15878" width="13.375" style="69" customWidth="1"/>
    <col min="15879" max="15879" width="9.125" style="69"/>
    <col min="15880" max="15880" width="11.375" style="69" bestFit="1" customWidth="1"/>
    <col min="15881" max="15882" width="9.125" style="69"/>
    <col min="15883" max="15883" width="13.375" style="69" customWidth="1"/>
    <col min="15884" max="16116" width="9.125" style="69"/>
    <col min="16117" max="16117" width="69.875" style="69" customWidth="1"/>
    <col min="16118" max="16118" width="9.625" style="69" customWidth="1"/>
    <col min="16119" max="16122" width="0" style="69" hidden="1" customWidth="1"/>
    <col min="16123" max="16123" width="13.875" style="69" customWidth="1"/>
    <col min="16124" max="16129" width="0" style="69" hidden="1" customWidth="1"/>
    <col min="16130" max="16133" width="9.125" style="69"/>
    <col min="16134" max="16134" width="13.375" style="69" customWidth="1"/>
    <col min="16135" max="16135" width="9.125" style="69"/>
    <col min="16136" max="16136" width="11.375" style="69" bestFit="1" customWidth="1"/>
    <col min="16137" max="16138" width="9.125" style="69"/>
    <col min="16139" max="16139" width="13.375" style="69" customWidth="1"/>
    <col min="16140" max="16384" width="9.125" style="69"/>
  </cols>
  <sheetData>
    <row r="1" spans="1:11" x14ac:dyDescent="0.3">
      <c r="D1" s="414" t="s">
        <v>1136</v>
      </c>
    </row>
    <row r="2" spans="1:11" x14ac:dyDescent="0.3">
      <c r="D2" s="414" t="s">
        <v>800</v>
      </c>
    </row>
    <row r="3" spans="1:11" x14ac:dyDescent="0.3">
      <c r="D3" s="414" t="s">
        <v>591</v>
      </c>
    </row>
    <row r="4" spans="1:11" x14ac:dyDescent="0.3">
      <c r="D4" s="414" t="s">
        <v>887</v>
      </c>
    </row>
    <row r="5" spans="1:11" x14ac:dyDescent="0.3">
      <c r="A5" s="657" t="s">
        <v>194</v>
      </c>
      <c r="B5" s="657"/>
      <c r="C5" s="657"/>
      <c r="D5" s="657"/>
    </row>
    <row r="6" spans="1:11" x14ac:dyDescent="0.3">
      <c r="A6" s="648" t="s">
        <v>412</v>
      </c>
      <c r="B6" s="648"/>
      <c r="C6" s="648"/>
      <c r="D6" s="648"/>
    </row>
    <row r="7" spans="1:11" x14ac:dyDescent="0.3">
      <c r="A7" s="648" t="s">
        <v>1198</v>
      </c>
      <c r="B7" s="648"/>
      <c r="C7" s="648"/>
      <c r="D7" s="648"/>
    </row>
    <row r="8" spans="1:11" s="106" customFormat="1" x14ac:dyDescent="0.3">
      <c r="A8" s="101"/>
      <c r="B8" s="102"/>
      <c r="C8" s="103"/>
      <c r="D8" s="89" t="s">
        <v>382</v>
      </c>
      <c r="E8" s="104"/>
      <c r="F8" s="105"/>
      <c r="G8" s="105"/>
    </row>
    <row r="9" spans="1:11" ht="36.700000000000003" x14ac:dyDescent="0.25">
      <c r="A9" s="72" t="s">
        <v>238</v>
      </c>
      <c r="B9" s="72" t="s">
        <v>3</v>
      </c>
      <c r="C9" s="72" t="s">
        <v>871</v>
      </c>
      <c r="D9" s="72" t="s">
        <v>1129</v>
      </c>
    </row>
    <row r="10" spans="1:11" ht="39.75" customHeight="1" x14ac:dyDescent="0.25">
      <c r="A10" s="34" t="s">
        <v>1169</v>
      </c>
      <c r="B10" s="35" t="s">
        <v>138</v>
      </c>
      <c r="C10" s="50">
        <f>C11+C15+C21+C25+C26+C27</f>
        <v>814318451.31999993</v>
      </c>
      <c r="D10" s="50">
        <f>D11+D15+D21+D25+D26+D27</f>
        <v>843566417.42999995</v>
      </c>
      <c r="E10" s="107"/>
      <c r="F10" s="107">
        <f>'прил 10 '!E547</f>
        <v>814318451.31999993</v>
      </c>
      <c r="G10" s="107">
        <f>'прил 10 '!F547</f>
        <v>843566417.42999995</v>
      </c>
      <c r="H10" s="67"/>
      <c r="I10" s="1"/>
      <c r="J10" s="1"/>
      <c r="K10" s="67"/>
    </row>
    <row r="11" spans="1:11" ht="35.5" customHeight="1" x14ac:dyDescent="0.3">
      <c r="A11" s="108" t="s">
        <v>1186</v>
      </c>
      <c r="B11" s="109" t="s">
        <v>139</v>
      </c>
      <c r="C11" s="27">
        <f>C12+C13+C14</f>
        <v>169115332</v>
      </c>
      <c r="D11" s="27">
        <f>D12+D13+D14</f>
        <v>175239433</v>
      </c>
      <c r="E11" s="107"/>
      <c r="F11" s="107">
        <f>C10-F10</f>
        <v>0</v>
      </c>
      <c r="G11" s="107">
        <f>D10-G10</f>
        <v>0</v>
      </c>
      <c r="H11" s="67"/>
      <c r="I11" s="1"/>
      <c r="J11" s="1"/>
      <c r="K11" s="67"/>
    </row>
    <row r="12" spans="1:11" ht="50.95" customHeight="1" x14ac:dyDescent="0.25">
      <c r="A12" s="64" t="s">
        <v>200</v>
      </c>
      <c r="B12" s="38" t="s">
        <v>216</v>
      </c>
      <c r="C12" s="28">
        <f>'прил 10 '!E312</f>
        <v>164875895</v>
      </c>
      <c r="D12" s="28">
        <f>'прил 10 '!F312</f>
        <v>170836541</v>
      </c>
      <c r="E12" s="107"/>
      <c r="F12" s="107"/>
      <c r="G12" s="107"/>
      <c r="H12" s="67"/>
      <c r="I12" s="1"/>
      <c r="J12" s="1"/>
      <c r="K12" s="67"/>
    </row>
    <row r="13" spans="1:11" ht="36.700000000000003" x14ac:dyDescent="0.25">
      <c r="A13" s="64" t="s">
        <v>201</v>
      </c>
      <c r="B13" s="38" t="s">
        <v>218</v>
      </c>
      <c r="C13" s="28">
        <f>'прил 10 '!E319</f>
        <v>158000</v>
      </c>
      <c r="D13" s="28">
        <f>'прил 10 '!F319</f>
        <v>158000</v>
      </c>
      <c r="E13" s="107"/>
      <c r="F13" s="107"/>
      <c r="G13" s="107"/>
      <c r="H13" s="67"/>
      <c r="I13" s="1"/>
      <c r="J13" s="1"/>
      <c r="K13" s="67"/>
    </row>
    <row r="14" spans="1:11" ht="36" customHeight="1" x14ac:dyDescent="0.25">
      <c r="A14" s="64" t="s">
        <v>202</v>
      </c>
      <c r="B14" s="38" t="s">
        <v>231</v>
      </c>
      <c r="C14" s="28">
        <f>'прил 10 '!E492</f>
        <v>4081437</v>
      </c>
      <c r="D14" s="28">
        <f>'прил 10 '!F492</f>
        <v>4244892</v>
      </c>
      <c r="E14" s="107"/>
      <c r="F14" s="107"/>
      <c r="G14" s="107"/>
      <c r="H14" s="67"/>
      <c r="I14" s="1"/>
      <c r="J14" s="1"/>
      <c r="K14" s="67"/>
    </row>
    <row r="15" spans="1:11" ht="52.3" customHeight="1" x14ac:dyDescent="0.25">
      <c r="A15" s="110" t="s">
        <v>1187</v>
      </c>
      <c r="B15" s="109" t="s">
        <v>146</v>
      </c>
      <c r="C15" s="27">
        <f>C16+C17+C18+C19+C20</f>
        <v>597145479.29999995</v>
      </c>
      <c r="D15" s="27">
        <f>D16+D17+D18+D19+D20</f>
        <v>622519229.79999995</v>
      </c>
      <c r="E15" s="107"/>
      <c r="F15" s="107"/>
      <c r="G15" s="107"/>
      <c r="H15" s="67"/>
      <c r="I15" s="1"/>
      <c r="J15" s="1"/>
      <c r="K15" s="67"/>
    </row>
    <row r="16" spans="1:11" ht="57.75" customHeight="1" x14ac:dyDescent="0.25">
      <c r="A16" s="64" t="s">
        <v>203</v>
      </c>
      <c r="B16" s="38" t="s">
        <v>219</v>
      </c>
      <c r="C16" s="28">
        <f>'прил 10 '!E338</f>
        <v>581410332</v>
      </c>
      <c r="D16" s="28">
        <f>'прил 10 '!F338</f>
        <v>606784082.5</v>
      </c>
      <c r="E16" s="107"/>
      <c r="F16" s="107"/>
      <c r="G16" s="107"/>
      <c r="H16" s="67"/>
      <c r="I16" s="1"/>
      <c r="J16" s="1"/>
      <c r="K16" s="67"/>
    </row>
    <row r="17" spans="1:11" ht="36.700000000000003" x14ac:dyDescent="0.25">
      <c r="A17" s="64" t="s">
        <v>204</v>
      </c>
      <c r="B17" s="38" t="s">
        <v>217</v>
      </c>
      <c r="C17" s="28">
        <f>'прил 10 '!E351+'прил 10 '!E402</f>
        <v>291200</v>
      </c>
      <c r="D17" s="28">
        <f>'прил 10 '!F351+'прил 10 '!F402</f>
        <v>291200</v>
      </c>
      <c r="E17" s="107"/>
      <c r="F17" s="107"/>
      <c r="G17" s="107"/>
      <c r="H17" s="67"/>
      <c r="I17" s="1"/>
      <c r="J17" s="1"/>
      <c r="K17" s="67"/>
    </row>
    <row r="18" spans="1:11" ht="36.700000000000003" x14ac:dyDescent="0.25">
      <c r="A18" s="64" t="s">
        <v>243</v>
      </c>
      <c r="B18" s="38" t="s">
        <v>220</v>
      </c>
      <c r="C18" s="28">
        <f>'прил 10 '!E364+'прил 10 '!E431</f>
        <v>11362570</v>
      </c>
      <c r="D18" s="28">
        <f>'прил 10 '!F364+'прил 10 '!F431</f>
        <v>11362570</v>
      </c>
      <c r="E18" s="107"/>
      <c r="F18" s="107"/>
      <c r="G18" s="107"/>
      <c r="H18" s="67"/>
      <c r="I18" s="1"/>
      <c r="J18" s="1"/>
      <c r="K18" s="67"/>
    </row>
    <row r="19" spans="1:11" ht="35.5" hidden="1" customHeight="1" x14ac:dyDescent="0.25">
      <c r="A19" s="45" t="s">
        <v>880</v>
      </c>
      <c r="B19" s="38" t="s">
        <v>302</v>
      </c>
      <c r="C19" s="28">
        <f>'прил 10 '!E371</f>
        <v>0</v>
      </c>
      <c r="D19" s="28">
        <f>'прил 10 '!F371</f>
        <v>0</v>
      </c>
      <c r="E19" s="107"/>
      <c r="F19" s="107"/>
      <c r="G19" s="107"/>
      <c r="H19" s="67"/>
      <c r="I19" s="1"/>
      <c r="J19" s="1"/>
      <c r="K19" s="67"/>
    </row>
    <row r="20" spans="1:11" ht="35.5" customHeight="1" x14ac:dyDescent="0.25">
      <c r="A20" s="64" t="s">
        <v>995</v>
      </c>
      <c r="B20" s="38" t="s">
        <v>997</v>
      </c>
      <c r="C20" s="28">
        <f>'прил 10 '!E375</f>
        <v>4081377.3</v>
      </c>
      <c r="D20" s="28">
        <f>'прил 10 '!F375</f>
        <v>4081377.3</v>
      </c>
      <c r="E20" s="107"/>
      <c r="F20" s="107"/>
      <c r="G20" s="107"/>
      <c r="H20" s="67"/>
      <c r="I20" s="1"/>
      <c r="J20" s="1"/>
      <c r="K20" s="67"/>
    </row>
    <row r="21" spans="1:11" ht="53.15" customHeight="1" x14ac:dyDescent="0.25">
      <c r="A21" s="110" t="s">
        <v>1188</v>
      </c>
      <c r="B21" s="109" t="s">
        <v>149</v>
      </c>
      <c r="C21" s="27">
        <f>C22+C23+C24</f>
        <v>26534882</v>
      </c>
      <c r="D21" s="27">
        <f>D22+D23+D24</f>
        <v>26034882</v>
      </c>
      <c r="E21" s="107"/>
      <c r="F21" s="107"/>
      <c r="G21" s="107"/>
      <c r="H21" s="67"/>
      <c r="I21" s="1"/>
      <c r="J21" s="1"/>
      <c r="K21" s="67"/>
    </row>
    <row r="22" spans="1:11" ht="36.700000000000003" x14ac:dyDescent="0.25">
      <c r="A22" s="64" t="s">
        <v>205</v>
      </c>
      <c r="B22" s="38" t="s">
        <v>221</v>
      </c>
      <c r="C22" s="28">
        <f>'прил 10 '!E382</f>
        <v>25267092</v>
      </c>
      <c r="D22" s="28">
        <f>'прил 10 '!F382</f>
        <v>24767092</v>
      </c>
      <c r="E22" s="107"/>
      <c r="F22" s="107"/>
      <c r="G22" s="107"/>
      <c r="H22" s="67"/>
      <c r="I22" s="1"/>
      <c r="J22" s="1"/>
      <c r="K22" s="67"/>
    </row>
    <row r="23" spans="1:11" ht="36.700000000000003" x14ac:dyDescent="0.25">
      <c r="A23" s="64" t="s">
        <v>1139</v>
      </c>
      <c r="B23" s="38" t="s">
        <v>222</v>
      </c>
      <c r="C23" s="28">
        <f>'прил 10 '!E386</f>
        <v>31600</v>
      </c>
      <c r="D23" s="28">
        <f>'прил 10 '!F386</f>
        <v>31600</v>
      </c>
      <c r="E23" s="107"/>
      <c r="F23" s="107"/>
      <c r="G23" s="107"/>
      <c r="H23" s="67"/>
      <c r="I23" s="1"/>
      <c r="J23" s="1"/>
      <c r="K23" s="67"/>
    </row>
    <row r="24" spans="1:11" ht="40.75" customHeight="1" x14ac:dyDescent="0.25">
      <c r="A24" s="37" t="s">
        <v>1087</v>
      </c>
      <c r="B24" s="38" t="s">
        <v>1088</v>
      </c>
      <c r="C24" s="28">
        <f>'прил 10 '!E390</f>
        <v>1236190</v>
      </c>
      <c r="D24" s="28">
        <f>'прил 10 '!F390</f>
        <v>1236190</v>
      </c>
      <c r="E24" s="107"/>
      <c r="F24" s="107"/>
      <c r="G24" s="107"/>
      <c r="H24" s="67"/>
      <c r="I24" s="1"/>
      <c r="J24" s="1"/>
      <c r="K24" s="67"/>
    </row>
    <row r="25" spans="1:11" ht="36.700000000000003" x14ac:dyDescent="0.25">
      <c r="A25" s="64" t="s">
        <v>206</v>
      </c>
      <c r="B25" s="38" t="s">
        <v>223</v>
      </c>
      <c r="C25" s="28">
        <f>'прил 10 '!E412</f>
        <v>20087758.02</v>
      </c>
      <c r="D25" s="28">
        <f>'прил 10 '!F412</f>
        <v>19647872.629999999</v>
      </c>
      <c r="E25" s="107"/>
      <c r="F25" s="107"/>
      <c r="G25" s="107"/>
      <c r="H25" s="67"/>
      <c r="I25" s="1"/>
      <c r="J25" s="1"/>
      <c r="K25" s="67"/>
    </row>
    <row r="26" spans="1:11" ht="39.25" customHeight="1" x14ac:dyDescent="0.25">
      <c r="A26" s="64" t="s">
        <v>234</v>
      </c>
      <c r="B26" s="38" t="s">
        <v>233</v>
      </c>
      <c r="C26" s="28">
        <f>'прил 10 '!E406</f>
        <v>125000</v>
      </c>
      <c r="D26" s="28">
        <f>'прил 10 '!F406</f>
        <v>125000</v>
      </c>
      <c r="E26" s="107"/>
      <c r="F26" s="107"/>
      <c r="G26" s="107"/>
      <c r="H26" s="67"/>
      <c r="I26" s="1"/>
      <c r="J26" s="1"/>
      <c r="K26" s="67"/>
    </row>
    <row r="27" spans="1:11" x14ac:dyDescent="0.25">
      <c r="A27" s="41" t="s">
        <v>886</v>
      </c>
      <c r="B27" s="38" t="s">
        <v>667</v>
      </c>
      <c r="C27" s="28">
        <f>'прил 10 '!E471</f>
        <v>1310000</v>
      </c>
      <c r="D27" s="28">
        <f>'прил 10 '!F471</f>
        <v>0</v>
      </c>
      <c r="E27" s="107"/>
      <c r="F27" s="107"/>
      <c r="G27" s="107"/>
      <c r="H27" s="67"/>
      <c r="I27" s="1"/>
      <c r="J27" s="1"/>
      <c r="K27" s="67"/>
    </row>
    <row r="28" spans="1:11" ht="39.75" customHeight="1" x14ac:dyDescent="0.25">
      <c r="A28" s="34" t="s">
        <v>1190</v>
      </c>
      <c r="B28" s="35" t="s">
        <v>136</v>
      </c>
      <c r="C28" s="50">
        <f>C29+C30+C31+C32</f>
        <v>56874792.210000001</v>
      </c>
      <c r="D28" s="50">
        <f>D29+D30+D31+D32</f>
        <v>55326850.390000001</v>
      </c>
      <c r="E28" s="107"/>
      <c r="F28" s="107">
        <f>'прил 10 '!E548</f>
        <v>56874792.209999993</v>
      </c>
      <c r="G28" s="107">
        <f>'прил 10 '!F548</f>
        <v>55326850.390000001</v>
      </c>
      <c r="H28" s="67"/>
      <c r="I28" s="1"/>
      <c r="J28" s="1"/>
      <c r="K28" s="67"/>
    </row>
    <row r="29" spans="1:11" ht="40.75" customHeight="1" x14ac:dyDescent="0.25">
      <c r="A29" s="64" t="s">
        <v>207</v>
      </c>
      <c r="B29" s="38" t="s">
        <v>224</v>
      </c>
      <c r="C29" s="28">
        <f>'прил 10 '!E442</f>
        <v>9718145.9399999995</v>
      </c>
      <c r="D29" s="28">
        <f>'прил 10 '!F442</f>
        <v>9684155.6500000004</v>
      </c>
      <c r="E29" s="107"/>
      <c r="F29" s="107">
        <f>C28-F28</f>
        <v>0</v>
      </c>
      <c r="G29" s="107">
        <f>D28-G28</f>
        <v>0</v>
      </c>
      <c r="H29" s="67"/>
      <c r="I29" s="1"/>
      <c r="J29" s="1"/>
      <c r="K29" s="67"/>
    </row>
    <row r="30" spans="1:11" ht="36.700000000000003" customHeight="1" x14ac:dyDescent="0.25">
      <c r="A30" s="64" t="s">
        <v>205</v>
      </c>
      <c r="B30" s="38" t="s">
        <v>225</v>
      </c>
      <c r="C30" s="28">
        <f>'прил 10 '!E395</f>
        <v>20099530.370000001</v>
      </c>
      <c r="D30" s="28">
        <f>'прил 10 '!F395</f>
        <v>19036919.329999998</v>
      </c>
      <c r="E30" s="107"/>
      <c r="F30" s="107"/>
      <c r="G30" s="107"/>
      <c r="H30" s="67"/>
      <c r="I30" s="1"/>
      <c r="J30" s="1"/>
      <c r="K30" s="67"/>
    </row>
    <row r="31" spans="1:11" ht="28.55" customHeight="1" x14ac:dyDescent="0.25">
      <c r="A31" s="64" t="s">
        <v>208</v>
      </c>
      <c r="B31" s="38" t="s">
        <v>226</v>
      </c>
      <c r="C31" s="28">
        <f>'прил 10 '!E456+'прил 10 '!E511</f>
        <v>2468056.6799999997</v>
      </c>
      <c r="D31" s="28">
        <f>'прил 10 '!F456+'прил 10 '!F511</f>
        <v>2489316.6399999997</v>
      </c>
      <c r="E31" s="107"/>
      <c r="F31" s="107"/>
      <c r="G31" s="107"/>
      <c r="H31" s="67"/>
      <c r="I31" s="1"/>
      <c r="J31" s="1"/>
      <c r="K31" s="67"/>
    </row>
    <row r="32" spans="1:11" ht="35.5" customHeight="1" x14ac:dyDescent="0.25">
      <c r="A32" s="64" t="s">
        <v>612</v>
      </c>
      <c r="B32" s="38" t="s">
        <v>611</v>
      </c>
      <c r="C32" s="28">
        <f>'прил 10 '!E452</f>
        <v>24589059.219999999</v>
      </c>
      <c r="D32" s="28">
        <f>'прил 10 '!F452</f>
        <v>24116458.77</v>
      </c>
      <c r="E32" s="107"/>
      <c r="F32" s="107"/>
      <c r="G32" s="107"/>
      <c r="H32" s="67"/>
      <c r="I32" s="1"/>
      <c r="J32" s="1"/>
      <c r="K32" s="67"/>
    </row>
    <row r="33" spans="1:11" ht="46.9" customHeight="1" x14ac:dyDescent="0.25">
      <c r="A33" s="34" t="s">
        <v>1162</v>
      </c>
      <c r="B33" s="35" t="s">
        <v>135</v>
      </c>
      <c r="C33" s="50">
        <f>C34+C35</f>
        <v>470000</v>
      </c>
      <c r="D33" s="50">
        <f>D34+D35</f>
        <v>470000</v>
      </c>
      <c r="E33" s="107"/>
      <c r="F33" s="107">
        <f>'прил 10 '!E549</f>
        <v>470000</v>
      </c>
      <c r="G33" s="107">
        <f>'прил 10 '!F549</f>
        <v>470000</v>
      </c>
      <c r="H33" s="67"/>
      <c r="I33" s="1"/>
      <c r="J33" s="1"/>
      <c r="K33" s="67"/>
    </row>
    <row r="34" spans="1:11" ht="55.05" x14ac:dyDescent="0.25">
      <c r="A34" s="64" t="s">
        <v>390</v>
      </c>
      <c r="B34" s="38" t="s">
        <v>371</v>
      </c>
      <c r="C34" s="25">
        <f>'прил 10 '!E295</f>
        <v>440000</v>
      </c>
      <c r="D34" s="25">
        <f>'прил 10 '!F295</f>
        <v>440000</v>
      </c>
      <c r="E34" s="107"/>
      <c r="F34" s="107">
        <f>C33-F33</f>
        <v>0</v>
      </c>
      <c r="G34" s="107">
        <f>D33-G33</f>
        <v>0</v>
      </c>
      <c r="H34" s="67"/>
      <c r="I34" s="1"/>
      <c r="J34" s="1"/>
      <c r="K34" s="67"/>
    </row>
    <row r="35" spans="1:11" ht="49.75" customHeight="1" x14ac:dyDescent="0.25">
      <c r="A35" s="64" t="s">
        <v>244</v>
      </c>
      <c r="B35" s="38" t="s">
        <v>242</v>
      </c>
      <c r="C35" s="28">
        <f>'прил 10 '!E299</f>
        <v>30000</v>
      </c>
      <c r="D35" s="28">
        <f>'прил 10 '!F299</f>
        <v>30000</v>
      </c>
      <c r="E35" s="107"/>
      <c r="F35" s="107"/>
      <c r="G35" s="107"/>
      <c r="H35" s="67"/>
      <c r="I35" s="1"/>
      <c r="J35" s="1"/>
      <c r="K35" s="67"/>
    </row>
    <row r="36" spans="1:11" ht="57.75" customHeight="1" x14ac:dyDescent="0.25">
      <c r="A36" s="34" t="s">
        <v>1189</v>
      </c>
      <c r="B36" s="35" t="s">
        <v>198</v>
      </c>
      <c r="C36" s="353">
        <f>C37+C38</f>
        <v>933256.32000000007</v>
      </c>
      <c r="D36" s="50">
        <f>D37+D38</f>
        <v>933503.63000000012</v>
      </c>
      <c r="E36" s="107"/>
      <c r="F36" s="107">
        <f>'прил 10 '!E550</f>
        <v>933256.32000000007</v>
      </c>
      <c r="G36" s="107">
        <f>'прил 10 '!F550</f>
        <v>933503.63000000012</v>
      </c>
      <c r="H36" s="67"/>
      <c r="I36" s="1"/>
      <c r="J36" s="1"/>
      <c r="K36" s="67"/>
    </row>
    <row r="37" spans="1:11" ht="53.7" customHeight="1" x14ac:dyDescent="0.25">
      <c r="A37" s="64" t="s">
        <v>731</v>
      </c>
      <c r="B37" s="38" t="s">
        <v>227</v>
      </c>
      <c r="C37" s="28">
        <f>'прил 10 '!E517</f>
        <v>933256.32000000007</v>
      </c>
      <c r="D37" s="28">
        <f>'прил 10 '!F518</f>
        <v>933503.63000000012</v>
      </c>
      <c r="E37" s="107"/>
      <c r="F37" s="107">
        <f>C36-F36</f>
        <v>0</v>
      </c>
      <c r="G37" s="107">
        <f>D36-G36</f>
        <v>0</v>
      </c>
      <c r="H37" s="67"/>
      <c r="I37" s="1"/>
      <c r="J37" s="1"/>
      <c r="K37" s="67"/>
    </row>
    <row r="38" spans="1:11" ht="39.25" hidden="1" customHeight="1" x14ac:dyDescent="0.25">
      <c r="A38" s="64" t="s">
        <v>294</v>
      </c>
      <c r="B38" s="38" t="s">
        <v>293</v>
      </c>
      <c r="C38" s="28">
        <v>0</v>
      </c>
      <c r="D38" s="28">
        <v>0</v>
      </c>
      <c r="E38" s="107"/>
      <c r="F38" s="107"/>
      <c r="G38" s="107"/>
      <c r="H38" s="67"/>
      <c r="I38" s="1"/>
      <c r="J38" s="1"/>
      <c r="K38" s="67"/>
    </row>
    <row r="39" spans="1:11" ht="66.599999999999994" customHeight="1" x14ac:dyDescent="0.25">
      <c r="A39" s="34" t="s">
        <v>1191</v>
      </c>
      <c r="B39" s="35" t="s">
        <v>129</v>
      </c>
      <c r="C39" s="50">
        <f>C40</f>
        <v>150000</v>
      </c>
      <c r="D39" s="50">
        <f>D40</f>
        <v>150000</v>
      </c>
      <c r="E39" s="107"/>
      <c r="F39" s="107">
        <f>'прил 10 '!E551</f>
        <v>150000</v>
      </c>
      <c r="G39" s="107">
        <f>'прил 10 '!F551</f>
        <v>150000</v>
      </c>
      <c r="H39" s="67"/>
      <c r="I39" s="1"/>
      <c r="J39" s="1"/>
      <c r="K39" s="67"/>
    </row>
    <row r="40" spans="1:11" ht="36.700000000000003" x14ac:dyDescent="0.25">
      <c r="A40" s="64" t="s">
        <v>391</v>
      </c>
      <c r="B40" s="38" t="s">
        <v>386</v>
      </c>
      <c r="C40" s="28">
        <f>'прил 10 '!E476</f>
        <v>150000</v>
      </c>
      <c r="D40" s="28">
        <f>'прил 10 '!F476</f>
        <v>150000</v>
      </c>
      <c r="E40" s="107"/>
      <c r="F40" s="107">
        <f>C39-F39</f>
        <v>0</v>
      </c>
      <c r="G40" s="107">
        <f>D39-G39</f>
        <v>0</v>
      </c>
      <c r="H40" s="67"/>
      <c r="I40" s="1"/>
      <c r="J40" s="1"/>
      <c r="K40" s="67"/>
    </row>
    <row r="41" spans="1:11" ht="58.6" customHeight="1" x14ac:dyDescent="0.25">
      <c r="A41" s="34" t="s">
        <v>1149</v>
      </c>
      <c r="B41" s="35" t="s">
        <v>128</v>
      </c>
      <c r="C41" s="50">
        <f>C42+C43+C44</f>
        <v>20439380</v>
      </c>
      <c r="D41" s="50">
        <f>D42+D43+D44</f>
        <v>18521585.600000001</v>
      </c>
      <c r="E41" s="107"/>
      <c r="F41" s="107">
        <f>'прил 10 '!E552</f>
        <v>20439380</v>
      </c>
      <c r="G41" s="107">
        <f>'прил 10 '!F552</f>
        <v>18521585.600000001</v>
      </c>
      <c r="H41" s="67"/>
      <c r="I41" s="1"/>
      <c r="J41" s="1"/>
      <c r="K41" s="67"/>
    </row>
    <row r="42" spans="1:11" ht="51.65" customHeight="1" x14ac:dyDescent="0.25">
      <c r="A42" s="64" t="s">
        <v>729</v>
      </c>
      <c r="B42" s="38" t="s">
        <v>303</v>
      </c>
      <c r="C42" s="111">
        <f>'прил 10 '!E63</f>
        <v>1015625</v>
      </c>
      <c r="D42" s="111">
        <f>'прил 10 '!F63</f>
        <v>1019434.6</v>
      </c>
      <c r="E42" s="107"/>
      <c r="F42" s="107">
        <f>C41-F41</f>
        <v>0</v>
      </c>
      <c r="G42" s="107">
        <f>D41-G41</f>
        <v>0</v>
      </c>
      <c r="H42" s="67"/>
      <c r="I42" s="1"/>
      <c r="J42" s="1"/>
      <c r="K42" s="67"/>
    </row>
    <row r="43" spans="1:11" ht="36.700000000000003" x14ac:dyDescent="0.25">
      <c r="A43" s="64" t="s">
        <v>213</v>
      </c>
      <c r="B43" s="38" t="s">
        <v>228</v>
      </c>
      <c r="C43" s="28">
        <f>'прил 10 '!E73</f>
        <v>17959911</v>
      </c>
      <c r="D43" s="28">
        <f>'прил 10 '!F73</f>
        <v>16038307</v>
      </c>
      <c r="E43" s="107"/>
      <c r="F43" s="107"/>
      <c r="G43" s="107"/>
      <c r="H43" s="67"/>
      <c r="I43" s="1"/>
      <c r="J43" s="1"/>
      <c r="K43" s="67"/>
    </row>
    <row r="44" spans="1:11" x14ac:dyDescent="0.25">
      <c r="A44" s="37" t="s">
        <v>670</v>
      </c>
      <c r="B44" s="38" t="s">
        <v>264</v>
      </c>
      <c r="C44" s="28">
        <f>'прил 10 '!E81</f>
        <v>1463844</v>
      </c>
      <c r="D44" s="28">
        <f>'прил 10 '!F81</f>
        <v>1463844</v>
      </c>
      <c r="E44" s="107"/>
      <c r="F44" s="107"/>
      <c r="G44" s="107"/>
      <c r="H44" s="67"/>
      <c r="I44" s="1"/>
      <c r="J44" s="1"/>
      <c r="K44" s="67"/>
    </row>
    <row r="45" spans="1:11" ht="64.55" customHeight="1" x14ac:dyDescent="0.25">
      <c r="A45" s="34" t="s">
        <v>1161</v>
      </c>
      <c r="B45" s="35" t="s">
        <v>134</v>
      </c>
      <c r="C45" s="50">
        <f>C46+C47</f>
        <v>300000</v>
      </c>
      <c r="D45" s="50">
        <f>D46+D47</f>
        <v>300000</v>
      </c>
      <c r="E45" s="107"/>
      <c r="F45" s="107">
        <f>'прил 10 '!E553</f>
        <v>300000</v>
      </c>
      <c r="G45" s="107">
        <f>'прил 10 '!F553</f>
        <v>300000</v>
      </c>
      <c r="H45" s="67"/>
      <c r="I45" s="1"/>
      <c r="J45" s="1"/>
      <c r="K45" s="67"/>
    </row>
    <row r="46" spans="1:11" ht="45.7" customHeight="1" x14ac:dyDescent="0.25">
      <c r="A46" s="64" t="s">
        <v>751</v>
      </c>
      <c r="B46" s="38" t="s">
        <v>335</v>
      </c>
      <c r="C46" s="28">
        <f>'прил 10 '!E235+'прил 10 '!E285</f>
        <v>100000</v>
      </c>
      <c r="D46" s="28">
        <f>'прил 10 '!F235+'прил 10 '!F285</f>
        <v>100000</v>
      </c>
      <c r="E46" s="107"/>
      <c r="F46" s="107">
        <f>C45-F45</f>
        <v>0</v>
      </c>
      <c r="G46" s="107">
        <f>D45-G45</f>
        <v>0</v>
      </c>
      <c r="H46" s="67"/>
      <c r="I46" s="1"/>
      <c r="J46" s="1"/>
      <c r="K46" s="67"/>
    </row>
    <row r="47" spans="1:11" ht="18.7" customHeight="1" x14ac:dyDescent="0.25">
      <c r="A47" s="112" t="s">
        <v>215</v>
      </c>
      <c r="B47" s="38" t="s">
        <v>229</v>
      </c>
      <c r="C47" s="28">
        <f>'прил 10 '!E251</f>
        <v>200000</v>
      </c>
      <c r="D47" s="28">
        <f>'прил 10 '!F251</f>
        <v>200000</v>
      </c>
      <c r="E47" s="107"/>
      <c r="F47" s="107"/>
      <c r="G47" s="107"/>
      <c r="H47" s="67"/>
      <c r="I47" s="1"/>
      <c r="J47" s="1"/>
      <c r="K47" s="67"/>
    </row>
    <row r="48" spans="1:11" ht="53.7" customHeight="1" x14ac:dyDescent="0.3">
      <c r="A48" s="113" t="s">
        <v>1152</v>
      </c>
      <c r="B48" s="35" t="s">
        <v>131</v>
      </c>
      <c r="C48" s="50">
        <f>C49</f>
        <v>50000</v>
      </c>
      <c r="D48" s="50">
        <f>D49</f>
        <v>50000</v>
      </c>
      <c r="E48" s="107"/>
      <c r="F48" s="107">
        <f>'прил 10 '!E554</f>
        <v>50000</v>
      </c>
      <c r="G48" s="107">
        <f>'прил 10 '!F554</f>
        <v>50000</v>
      </c>
      <c r="H48" s="67"/>
      <c r="I48" s="1"/>
      <c r="J48" s="1"/>
      <c r="K48" s="67"/>
    </row>
    <row r="49" spans="1:11" x14ac:dyDescent="0.25">
      <c r="A49" s="112" t="s">
        <v>312</v>
      </c>
      <c r="B49" s="38" t="s">
        <v>230</v>
      </c>
      <c r="C49" s="28">
        <f>'прил 12'!F91</f>
        <v>50000</v>
      </c>
      <c r="D49" s="28">
        <f>'прил 12'!G91</f>
        <v>50000</v>
      </c>
      <c r="E49" s="107"/>
      <c r="F49" s="107">
        <f>C48-F48</f>
        <v>0</v>
      </c>
      <c r="G49" s="107">
        <f>D48-G48</f>
        <v>0</v>
      </c>
      <c r="H49" s="67"/>
      <c r="I49" s="1"/>
      <c r="J49" s="1"/>
      <c r="K49" s="67"/>
    </row>
    <row r="50" spans="1:11" ht="55.05" x14ac:dyDescent="0.25">
      <c r="A50" s="34" t="s">
        <v>743</v>
      </c>
      <c r="B50" s="35" t="s">
        <v>385</v>
      </c>
      <c r="C50" s="50">
        <f>C51</f>
        <v>100000</v>
      </c>
      <c r="D50" s="50">
        <f>D51</f>
        <v>100000</v>
      </c>
      <c r="E50" s="107"/>
      <c r="F50" s="107"/>
      <c r="G50" s="107"/>
      <c r="H50" s="67"/>
      <c r="I50" s="1"/>
      <c r="J50" s="1"/>
      <c r="K50" s="67"/>
    </row>
    <row r="51" spans="1:11" ht="36.700000000000003" x14ac:dyDescent="0.25">
      <c r="A51" s="37" t="s">
        <v>692</v>
      </c>
      <c r="B51" s="38" t="s">
        <v>387</v>
      </c>
      <c r="C51" s="28">
        <f>'прил 10 '!E213</f>
        <v>100000</v>
      </c>
      <c r="D51" s="28">
        <f>'прил 10 '!F213</f>
        <v>100000</v>
      </c>
      <c r="E51" s="107"/>
      <c r="F51" s="107"/>
      <c r="G51" s="107"/>
      <c r="H51" s="67"/>
      <c r="I51" s="1"/>
      <c r="J51" s="1"/>
      <c r="K51" s="67"/>
    </row>
    <row r="52" spans="1:11" ht="39.75" customHeight="1" x14ac:dyDescent="0.25">
      <c r="A52" s="34" t="s">
        <v>1184</v>
      </c>
      <c r="B52" s="35" t="s">
        <v>356</v>
      </c>
      <c r="C52" s="50">
        <f>C53</f>
        <v>710117.18</v>
      </c>
      <c r="D52" s="50">
        <f>D53</f>
        <v>669595.23</v>
      </c>
      <c r="E52" s="107"/>
      <c r="F52" s="107">
        <f>'прил 10 '!E556</f>
        <v>710117.18</v>
      </c>
      <c r="G52" s="107">
        <f>'прил 10 '!F556</f>
        <v>669595.23</v>
      </c>
      <c r="H52" s="67"/>
      <c r="I52" s="1"/>
      <c r="J52" s="1"/>
      <c r="K52" s="67"/>
    </row>
    <row r="53" spans="1:11" s="90" customFormat="1" ht="36.700000000000003" customHeight="1" x14ac:dyDescent="0.25">
      <c r="A53" s="114" t="s">
        <v>393</v>
      </c>
      <c r="B53" s="38" t="s">
        <v>357</v>
      </c>
      <c r="C53" s="28">
        <f>'прил 10 '!E481</f>
        <v>710117.18</v>
      </c>
      <c r="D53" s="28">
        <f>'прил 10 '!F481</f>
        <v>669595.23</v>
      </c>
      <c r="E53" s="115"/>
      <c r="F53" s="115">
        <f>C52-F52</f>
        <v>0</v>
      </c>
      <c r="G53" s="115">
        <f>D52-G52</f>
        <v>0</v>
      </c>
      <c r="H53" s="75"/>
      <c r="I53" s="76"/>
      <c r="J53" s="76"/>
      <c r="K53" s="75"/>
    </row>
    <row r="54" spans="1:11" ht="62.15" customHeight="1" x14ac:dyDescent="0.3">
      <c r="A54" s="113" t="s">
        <v>1193</v>
      </c>
      <c r="B54" s="35" t="s">
        <v>305</v>
      </c>
      <c r="C54" s="50">
        <f>C55</f>
        <v>3871937</v>
      </c>
      <c r="D54" s="50">
        <f>D55</f>
        <v>3990857</v>
      </c>
      <c r="E54" s="107"/>
      <c r="F54" s="107">
        <f>'прил 10 '!E557</f>
        <v>3871937</v>
      </c>
      <c r="G54" s="107">
        <f>'прил 10 '!F557</f>
        <v>3990857</v>
      </c>
      <c r="H54" s="67"/>
      <c r="I54" s="1"/>
      <c r="J54" s="1"/>
      <c r="K54" s="67"/>
    </row>
    <row r="55" spans="1:11" ht="36.700000000000003" x14ac:dyDescent="0.25">
      <c r="A55" s="116" t="s">
        <v>245</v>
      </c>
      <c r="B55" s="38" t="s">
        <v>306</v>
      </c>
      <c r="C55" s="28">
        <f>'прил 10 '!E96+'прил 10 '!E538</f>
        <v>3871937</v>
      </c>
      <c r="D55" s="28">
        <f>'прил 10 '!F96+'прил 10 '!F538</f>
        <v>3990857</v>
      </c>
      <c r="E55" s="107"/>
      <c r="F55" s="107">
        <f>C54-F54</f>
        <v>0</v>
      </c>
      <c r="G55" s="107">
        <f>D54-G54</f>
        <v>0</v>
      </c>
      <c r="H55" s="67"/>
      <c r="I55" s="1"/>
      <c r="J55" s="1"/>
      <c r="K55" s="67"/>
    </row>
    <row r="56" spans="1:11" ht="55.05" x14ac:dyDescent="0.25">
      <c r="A56" s="117" t="s">
        <v>1155</v>
      </c>
      <c r="B56" s="35" t="s">
        <v>322</v>
      </c>
      <c r="C56" s="50">
        <f>C57</f>
        <v>17038000</v>
      </c>
      <c r="D56" s="50">
        <f>D57</f>
        <v>17735000</v>
      </c>
      <c r="E56" s="107"/>
      <c r="F56" s="107">
        <f>'прил 10 '!E558</f>
        <v>17038000</v>
      </c>
      <c r="G56" s="107">
        <f>'прил 10 '!F558</f>
        <v>17735000</v>
      </c>
      <c r="H56" s="67"/>
      <c r="I56" s="1"/>
      <c r="J56" s="1"/>
      <c r="K56" s="67"/>
    </row>
    <row r="57" spans="1:11" ht="32.950000000000003" customHeight="1" x14ac:dyDescent="0.25">
      <c r="A57" s="112" t="s">
        <v>214</v>
      </c>
      <c r="B57" s="38" t="s">
        <v>324</v>
      </c>
      <c r="C57" s="28">
        <f>'прил 10 '!E204</f>
        <v>17038000</v>
      </c>
      <c r="D57" s="28">
        <f>'прил 10 '!F204</f>
        <v>17735000</v>
      </c>
      <c r="E57" s="107"/>
      <c r="F57" s="107">
        <f>C56-F56</f>
        <v>0</v>
      </c>
      <c r="G57" s="107">
        <f>D56-G56</f>
        <v>0</v>
      </c>
      <c r="H57" s="67"/>
      <c r="I57" s="1"/>
      <c r="J57" s="1"/>
      <c r="K57" s="67"/>
    </row>
    <row r="58" spans="1:11" ht="91.7" customHeight="1" x14ac:dyDescent="0.25">
      <c r="A58" s="34" t="s">
        <v>1192</v>
      </c>
      <c r="B58" s="109" t="s">
        <v>346</v>
      </c>
      <c r="C58" s="27">
        <f>C59</f>
        <v>45000</v>
      </c>
      <c r="D58" s="27">
        <f>D59</f>
        <v>45000</v>
      </c>
      <c r="E58" s="107"/>
      <c r="F58" s="107">
        <f>'прил 10 '!E559</f>
        <v>45000</v>
      </c>
      <c r="G58" s="107">
        <f>'прил 10 '!F559</f>
        <v>45000</v>
      </c>
      <c r="H58" s="67"/>
      <c r="I58" s="1"/>
      <c r="J58" s="1"/>
      <c r="K58" s="67"/>
    </row>
    <row r="59" spans="1:11" ht="36" customHeight="1" x14ac:dyDescent="0.25">
      <c r="A59" s="41" t="s">
        <v>209</v>
      </c>
      <c r="B59" s="38" t="s">
        <v>348</v>
      </c>
      <c r="C59" s="28">
        <f>'прил 10 '!E304</f>
        <v>45000</v>
      </c>
      <c r="D59" s="28">
        <f>'прил 10 '!F304</f>
        <v>45000</v>
      </c>
      <c r="E59" s="107"/>
      <c r="F59" s="107">
        <f>C58-F58</f>
        <v>0</v>
      </c>
      <c r="G59" s="107">
        <f>D58-G58</f>
        <v>0</v>
      </c>
      <c r="H59" s="67"/>
      <c r="I59" s="1"/>
      <c r="J59" s="1"/>
      <c r="K59" s="67"/>
    </row>
    <row r="60" spans="1:11" ht="55.05" x14ac:dyDescent="0.25">
      <c r="A60" s="118" t="s">
        <v>1157</v>
      </c>
      <c r="B60" s="35" t="s">
        <v>327</v>
      </c>
      <c r="C60" s="50">
        <f>C61+C62</f>
        <v>230000</v>
      </c>
      <c r="D60" s="50">
        <f>D61+D62</f>
        <v>230000</v>
      </c>
      <c r="E60" s="107"/>
      <c r="F60" s="107">
        <f>'прил 10 '!E560</f>
        <v>230000</v>
      </c>
      <c r="G60" s="107">
        <f>'прил 10 '!F560</f>
        <v>230000</v>
      </c>
      <c r="H60" s="67"/>
      <c r="I60" s="1"/>
      <c r="J60" s="1"/>
      <c r="K60" s="67"/>
    </row>
    <row r="61" spans="1:11" ht="36.700000000000003" x14ac:dyDescent="0.25">
      <c r="A61" s="64" t="s">
        <v>394</v>
      </c>
      <c r="B61" s="38" t="s">
        <v>328</v>
      </c>
      <c r="C61" s="28">
        <f>'прил 10 '!E218</f>
        <v>100000</v>
      </c>
      <c r="D61" s="28">
        <f>'прил 10 '!F218</f>
        <v>100000</v>
      </c>
      <c r="E61" s="107"/>
      <c r="F61" s="107">
        <f>C60-F60</f>
        <v>0</v>
      </c>
      <c r="G61" s="107">
        <f>D60-G60</f>
        <v>0</v>
      </c>
      <c r="H61" s="67"/>
      <c r="I61" s="1"/>
      <c r="J61" s="1"/>
      <c r="K61" s="67"/>
    </row>
    <row r="62" spans="1:11" ht="36.700000000000003" x14ac:dyDescent="0.25">
      <c r="A62" s="64" t="s">
        <v>368</v>
      </c>
      <c r="B62" s="38" t="s">
        <v>367</v>
      </c>
      <c r="C62" s="28">
        <f>'прил 10 '!E222</f>
        <v>130000</v>
      </c>
      <c r="D62" s="28">
        <f>'прил 10 '!F222</f>
        <v>130000</v>
      </c>
      <c r="F62" s="99"/>
      <c r="G62" s="107"/>
      <c r="H62" s="67"/>
      <c r="I62" s="67"/>
      <c r="J62" s="67"/>
      <c r="K62" s="67"/>
    </row>
    <row r="63" spans="1:11" ht="52.3" customHeight="1" x14ac:dyDescent="0.25">
      <c r="A63" s="118" t="s">
        <v>1153</v>
      </c>
      <c r="B63" s="35" t="s">
        <v>319</v>
      </c>
      <c r="C63" s="50">
        <f>C64</f>
        <v>1200000</v>
      </c>
      <c r="D63" s="50">
        <f>D64</f>
        <v>1200000</v>
      </c>
      <c r="E63" s="107"/>
      <c r="F63" s="107">
        <f>'прил 10 '!E561</f>
        <v>1200000</v>
      </c>
      <c r="G63" s="107">
        <f>'прил 10 '!F561</f>
        <v>1200000</v>
      </c>
      <c r="H63" s="1"/>
      <c r="I63" s="67"/>
      <c r="J63" s="1"/>
      <c r="K63" s="67"/>
    </row>
    <row r="64" spans="1:11" ht="36.700000000000003" x14ac:dyDescent="0.25">
      <c r="A64" s="64" t="s">
        <v>212</v>
      </c>
      <c r="B64" s="38" t="s">
        <v>320</v>
      </c>
      <c r="C64" s="28">
        <f>'прил 10 '!E104+'прил 10 '!E229</f>
        <v>1200000</v>
      </c>
      <c r="D64" s="28">
        <f>'прил 10 '!F104+'прил 10 '!F229</f>
        <v>1200000</v>
      </c>
      <c r="E64" s="107"/>
      <c r="F64" s="107">
        <f>C63-F63</f>
        <v>0</v>
      </c>
      <c r="G64" s="107">
        <f>D63-G63</f>
        <v>0</v>
      </c>
      <c r="H64" s="67"/>
      <c r="I64" s="1"/>
      <c r="J64" s="1"/>
      <c r="K64" s="67"/>
    </row>
    <row r="65" spans="1:11" ht="63.7" customHeight="1" x14ac:dyDescent="0.25">
      <c r="A65" s="62" t="s">
        <v>716</v>
      </c>
      <c r="B65" s="35" t="s">
        <v>308</v>
      </c>
      <c r="C65" s="50">
        <f>C66</f>
        <v>1284000</v>
      </c>
      <c r="D65" s="50">
        <f>D66</f>
        <v>1284000</v>
      </c>
      <c r="E65" s="107"/>
      <c r="F65" s="107">
        <f>'прил 10 '!E562</f>
        <v>1284000</v>
      </c>
      <c r="G65" s="107">
        <f>'прил 10 '!F562</f>
        <v>1284000</v>
      </c>
      <c r="H65" s="67"/>
      <c r="I65" s="1"/>
      <c r="J65" s="1"/>
      <c r="K65" s="67"/>
    </row>
    <row r="66" spans="1:11" ht="43.5" customHeight="1" x14ac:dyDescent="0.25">
      <c r="A66" s="119" t="s">
        <v>711</v>
      </c>
      <c r="B66" s="38" t="s">
        <v>712</v>
      </c>
      <c r="C66" s="28">
        <f>'прил 10 '!E198</f>
        <v>1284000</v>
      </c>
      <c r="D66" s="28">
        <f>'прил 10 '!F198</f>
        <v>1284000</v>
      </c>
      <c r="E66" s="107"/>
      <c r="F66" s="107"/>
      <c r="G66" s="107"/>
      <c r="H66" s="67"/>
      <c r="I66" s="1"/>
      <c r="J66" s="1"/>
      <c r="K66" s="67"/>
    </row>
    <row r="67" spans="1:11" ht="39.25" customHeight="1" x14ac:dyDescent="0.25">
      <c r="A67" s="120" t="s">
        <v>1168</v>
      </c>
      <c r="B67" s="35" t="s">
        <v>419</v>
      </c>
      <c r="C67" s="50">
        <f>C68</f>
        <v>50000</v>
      </c>
      <c r="D67" s="50">
        <f>D68</f>
        <v>50000</v>
      </c>
      <c r="F67" s="99">
        <f>'прил 10 '!E563</f>
        <v>50000</v>
      </c>
      <c r="G67" s="99">
        <f>'прил 10 '!F563</f>
        <v>50000</v>
      </c>
    </row>
    <row r="68" spans="1:11" x14ac:dyDescent="0.25">
      <c r="A68" s="121" t="s">
        <v>420</v>
      </c>
      <c r="B68" s="38" t="s">
        <v>421</v>
      </c>
      <c r="C68" s="28">
        <f>'прил 10 '!E531</f>
        <v>50000</v>
      </c>
      <c r="D68" s="28">
        <f>'прил 10 '!F531</f>
        <v>50000</v>
      </c>
      <c r="F68" s="99">
        <f>C67-F67</f>
        <v>0</v>
      </c>
      <c r="G68" s="99">
        <f>D67-G67</f>
        <v>0</v>
      </c>
    </row>
    <row r="69" spans="1:11" ht="62.5" customHeight="1" x14ac:dyDescent="0.25">
      <c r="A69" s="628" t="s">
        <v>1160</v>
      </c>
      <c r="B69" s="35" t="s">
        <v>464</v>
      </c>
      <c r="C69" s="50">
        <f>C70</f>
        <v>1345000</v>
      </c>
      <c r="D69" s="50">
        <f>D70</f>
        <v>888537</v>
      </c>
      <c r="F69" s="99">
        <f>'прил 10 '!E564</f>
        <v>1345000</v>
      </c>
      <c r="G69" s="99">
        <f>'прил 10 '!F564</f>
        <v>888537</v>
      </c>
    </row>
    <row r="70" spans="1:11" ht="36.700000000000003" x14ac:dyDescent="0.25">
      <c r="A70" s="629" t="s">
        <v>465</v>
      </c>
      <c r="B70" s="38">
        <v>1895800000</v>
      </c>
      <c r="C70" s="28">
        <f>'прил 10 '!E259</f>
        <v>1345000</v>
      </c>
      <c r="D70" s="28">
        <f>'прил 10 '!F259</f>
        <v>888537</v>
      </c>
      <c r="F70" s="99">
        <f>C69-F69</f>
        <v>0</v>
      </c>
      <c r="G70" s="99">
        <f>D69-G69</f>
        <v>0</v>
      </c>
    </row>
    <row r="71" spans="1:11" ht="55.05" x14ac:dyDescent="0.25">
      <c r="A71" s="34" t="s">
        <v>473</v>
      </c>
      <c r="B71" s="35" t="s">
        <v>474</v>
      </c>
      <c r="C71" s="50">
        <f>C72+C74</f>
        <v>11465716.370000001</v>
      </c>
      <c r="D71" s="50">
        <f>D72+D74</f>
        <v>11465716.370000001</v>
      </c>
      <c r="F71" s="99">
        <f>'прил 10 '!E565</f>
        <v>11465716.370000001</v>
      </c>
      <c r="G71" s="99">
        <f>'прил 10 '!F565</f>
        <v>11465716.370000001</v>
      </c>
    </row>
    <row r="72" spans="1:11" ht="55.7" hidden="1" customHeight="1" x14ac:dyDescent="0.25">
      <c r="A72" s="122" t="s">
        <v>501</v>
      </c>
      <c r="B72" s="123">
        <v>1910000000</v>
      </c>
      <c r="C72" s="27">
        <f>C73</f>
        <v>0</v>
      </c>
      <c r="D72" s="27">
        <f>D73</f>
        <v>0</v>
      </c>
      <c r="F72" s="99"/>
      <c r="G72" s="99"/>
    </row>
    <row r="73" spans="1:11" ht="38.9" hidden="1" customHeight="1" x14ac:dyDescent="0.25">
      <c r="A73" s="45" t="s">
        <v>931</v>
      </c>
      <c r="B73" s="125" t="s">
        <v>503</v>
      </c>
      <c r="C73" s="28">
        <f>'прил 10 '!E270</f>
        <v>0</v>
      </c>
      <c r="D73" s="28">
        <f>'прил 10 '!F270</f>
        <v>0</v>
      </c>
      <c r="F73" s="99"/>
      <c r="G73" s="99"/>
    </row>
    <row r="74" spans="1:11" ht="40.75" customHeight="1" x14ac:dyDescent="0.25">
      <c r="A74" s="122" t="s">
        <v>505</v>
      </c>
      <c r="B74" s="123">
        <v>1920000000</v>
      </c>
      <c r="C74" s="27">
        <f>C75</f>
        <v>11465716.370000001</v>
      </c>
      <c r="D74" s="27">
        <f>D75</f>
        <v>11465716.370000001</v>
      </c>
      <c r="F74" s="99"/>
      <c r="G74" s="99"/>
    </row>
    <row r="75" spans="1:11" ht="36.700000000000003" x14ac:dyDescent="0.25">
      <c r="A75" s="64" t="s">
        <v>506</v>
      </c>
      <c r="B75" s="125">
        <v>1925900000</v>
      </c>
      <c r="C75" s="28">
        <f>'прил 10 '!E275</f>
        <v>11465716.370000001</v>
      </c>
      <c r="D75" s="28">
        <f>'прил 10 '!F275</f>
        <v>11465716.370000001</v>
      </c>
      <c r="F75" s="99"/>
      <c r="G75" s="99"/>
    </row>
    <row r="76" spans="1:11" ht="42.8" customHeight="1" x14ac:dyDescent="0.25">
      <c r="A76" s="34" t="s">
        <v>1154</v>
      </c>
      <c r="B76" s="156">
        <v>2100000000</v>
      </c>
      <c r="C76" s="27">
        <f>C77</f>
        <v>100000</v>
      </c>
      <c r="D76" s="27">
        <f>D77</f>
        <v>100000</v>
      </c>
      <c r="F76" s="99"/>
      <c r="G76" s="99"/>
    </row>
    <row r="77" spans="1:11" ht="36.700000000000003" x14ac:dyDescent="0.25">
      <c r="A77" s="37" t="s">
        <v>818</v>
      </c>
      <c r="B77" s="125">
        <v>2193400000</v>
      </c>
      <c r="C77" s="28">
        <f>'прил 10 '!E111</f>
        <v>100000</v>
      </c>
      <c r="D77" s="28">
        <f>'прил 10 '!F114</f>
        <v>100000</v>
      </c>
      <c r="F77" s="99"/>
      <c r="G77" s="99"/>
    </row>
    <row r="78" spans="1:11" x14ac:dyDescent="0.3">
      <c r="A78" s="662" t="s">
        <v>118</v>
      </c>
      <c r="B78" s="662"/>
      <c r="C78" s="91">
        <f>C10+C28+C33+C36+C39+C41+C45+C48+C52+C54+C56+C58+C60+C63+C67+C69+C71+C65+C50+C76</f>
        <v>930975650.39999998</v>
      </c>
      <c r="D78" s="91">
        <f>D10+D28+D33+D36+D39+D41+D45+D48+D52+D54+D56+D58+D60+D63+D67+D69+D71+D65+D50+D76</f>
        <v>957077062.64999998</v>
      </c>
      <c r="F78" s="99">
        <f>'прил 10 '!E616</f>
        <v>930975650.39999998</v>
      </c>
      <c r="G78" s="99">
        <f>'прил 10 '!F616</f>
        <v>957077062.64999998</v>
      </c>
    </row>
    <row r="79" spans="1:11" x14ac:dyDescent="0.3">
      <c r="C79" s="96">
        <f>'прил 10 '!E569</f>
        <v>930975650.39999998</v>
      </c>
      <c r="D79" s="165">
        <f>'прил 10 '!F569</f>
        <v>957077062.64999998</v>
      </c>
    </row>
    <row r="80" spans="1:11" x14ac:dyDescent="0.3">
      <c r="A80" s="98" t="s">
        <v>51</v>
      </c>
      <c r="C80" s="96">
        <f>C78-C79</f>
        <v>0</v>
      </c>
      <c r="D80" s="96">
        <f>D78-D79</f>
        <v>0</v>
      </c>
      <c r="E80" s="69"/>
      <c r="F80" s="99">
        <f>F78-C78</f>
        <v>0</v>
      </c>
      <c r="G80" s="99">
        <f>G78-D78</f>
        <v>0</v>
      </c>
    </row>
    <row r="84" spans="3:4" x14ac:dyDescent="0.3">
      <c r="C84" s="96">
        <f>'прил 10 '!E567</f>
        <v>129611795.24999999</v>
      </c>
      <c r="D84" s="96">
        <f>'прил 10 '!F567</f>
        <v>138336636.75</v>
      </c>
    </row>
    <row r="85" spans="3:4" x14ac:dyDescent="0.3">
      <c r="C85" s="96">
        <f>'прил 10 '!E542</f>
        <v>1060587445.65</v>
      </c>
      <c r="D85" s="96">
        <f>'прил 10 '!F542</f>
        <v>1095413699.4000001</v>
      </c>
    </row>
    <row r="87" spans="3:4" x14ac:dyDescent="0.3">
      <c r="C87" s="96">
        <f>C78+C84</f>
        <v>1060587445.65</v>
      </c>
      <c r="D87" s="96">
        <f>D78+D84</f>
        <v>1095413699.4000001</v>
      </c>
    </row>
  </sheetData>
  <mergeCells count="4">
    <mergeCell ref="A78:B78"/>
    <mergeCell ref="A5:D5"/>
    <mergeCell ref="A6:D6"/>
    <mergeCell ref="A7:D7"/>
  </mergeCells>
  <pageMargins left="0.70866141732283472" right="0.70866141732283472" top="0.55118110236220474" bottom="0.55118110236220474" header="0.31496062992125984" footer="0.31496062992125984"/>
  <pageSetup paperSize="9" scale="62" fitToHeight="0" orientation="portrait" r:id="rId1"/>
  <colBreaks count="1" manualBreakCount="1">
    <brk id="4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O812"/>
  <sheetViews>
    <sheetView zoomScaleNormal="100" zoomScaleSheetLayoutView="90" workbookViewId="0">
      <selection activeCell="G7" sqref="G7"/>
    </sheetView>
  </sheetViews>
  <sheetFormatPr defaultRowHeight="17" outlineLevelRow="7" x14ac:dyDescent="0.3"/>
  <cols>
    <col min="1" max="1" width="59.625" style="195" customWidth="1"/>
    <col min="2" max="2" width="6.375" style="196" customWidth="1"/>
    <col min="3" max="3" width="8" style="196" customWidth="1"/>
    <col min="4" max="4" width="15.875" style="267" customWidth="1"/>
    <col min="5" max="5" width="6.875" style="267" customWidth="1"/>
    <col min="6" max="6" width="19.75" style="267" hidden="1" customWidth="1"/>
    <col min="7" max="7" width="17" style="284" customWidth="1"/>
    <col min="8" max="8" width="18.75" style="253" hidden="1" customWidth="1"/>
    <col min="9" max="9" width="20" style="252" hidden="1" customWidth="1"/>
    <col min="10" max="10" width="19.125" style="284" customWidth="1"/>
    <col min="11" max="11" width="18.125" style="326" customWidth="1"/>
    <col min="12" max="12" width="16.375" style="183" customWidth="1"/>
    <col min="13" max="13" width="11.125" style="264" customWidth="1"/>
    <col min="14" max="14" width="11.75" style="183" bestFit="1" customWidth="1"/>
    <col min="15" max="239" width="9" style="183"/>
    <col min="240" max="240" width="75.875" style="183" customWidth="1"/>
    <col min="241" max="242" width="7.625" style="183" customWidth="1"/>
    <col min="243" max="243" width="9.625" style="183" customWidth="1"/>
    <col min="244" max="244" width="7.625" style="183" customWidth="1"/>
    <col min="245" max="248" width="0" style="183" hidden="1" customWidth="1"/>
    <col min="249" max="249" width="14.375" style="183" customWidth="1"/>
    <col min="250" max="255" width="0" style="183" hidden="1" customWidth="1"/>
    <col min="256" max="256" width="10.125" style="183" bestFit="1" customWidth="1"/>
    <col min="257" max="495" width="9" style="183"/>
    <col min="496" max="496" width="75.875" style="183" customWidth="1"/>
    <col min="497" max="498" width="7.625" style="183" customWidth="1"/>
    <col min="499" max="499" width="9.625" style="183" customWidth="1"/>
    <col min="500" max="500" width="7.625" style="183" customWidth="1"/>
    <col min="501" max="504" width="0" style="183" hidden="1" customWidth="1"/>
    <col min="505" max="505" width="14.375" style="183" customWidth="1"/>
    <col min="506" max="511" width="0" style="183" hidden="1" customWidth="1"/>
    <col min="512" max="512" width="10.125" style="183" bestFit="1" customWidth="1"/>
    <col min="513" max="751" width="9" style="183"/>
    <col min="752" max="752" width="75.875" style="183" customWidth="1"/>
    <col min="753" max="754" width="7.625" style="183" customWidth="1"/>
    <col min="755" max="755" width="9.625" style="183" customWidth="1"/>
    <col min="756" max="756" width="7.625" style="183" customWidth="1"/>
    <col min="757" max="760" width="0" style="183" hidden="1" customWidth="1"/>
    <col min="761" max="761" width="14.375" style="183" customWidth="1"/>
    <col min="762" max="767" width="0" style="183" hidden="1" customWidth="1"/>
    <col min="768" max="768" width="10.125" style="183" bestFit="1" customWidth="1"/>
    <col min="769" max="1007" width="9" style="183"/>
    <col min="1008" max="1008" width="75.875" style="183" customWidth="1"/>
    <col min="1009" max="1010" width="7.625" style="183" customWidth="1"/>
    <col min="1011" max="1011" width="9.625" style="183" customWidth="1"/>
    <col min="1012" max="1012" width="7.625" style="183" customWidth="1"/>
    <col min="1013" max="1016" width="0" style="183" hidden="1" customWidth="1"/>
    <col min="1017" max="1017" width="14.375" style="183" customWidth="1"/>
    <col min="1018" max="1023" width="0" style="183" hidden="1" customWidth="1"/>
    <col min="1024" max="1024" width="10.125" style="183" bestFit="1" customWidth="1"/>
    <col min="1025" max="1263" width="9" style="183"/>
    <col min="1264" max="1264" width="75.875" style="183" customWidth="1"/>
    <col min="1265" max="1266" width="7.625" style="183" customWidth="1"/>
    <col min="1267" max="1267" width="9.625" style="183" customWidth="1"/>
    <col min="1268" max="1268" width="7.625" style="183" customWidth="1"/>
    <col min="1269" max="1272" width="0" style="183" hidden="1" customWidth="1"/>
    <col min="1273" max="1273" width="14.375" style="183" customWidth="1"/>
    <col min="1274" max="1279" width="0" style="183" hidden="1" customWidth="1"/>
    <col min="1280" max="1280" width="10.125" style="183" bestFit="1" customWidth="1"/>
    <col min="1281" max="1519" width="9" style="183"/>
    <col min="1520" max="1520" width="75.875" style="183" customWidth="1"/>
    <col min="1521" max="1522" width="7.625" style="183" customWidth="1"/>
    <col min="1523" max="1523" width="9.625" style="183" customWidth="1"/>
    <col min="1524" max="1524" width="7.625" style="183" customWidth="1"/>
    <col min="1525" max="1528" width="0" style="183" hidden="1" customWidth="1"/>
    <col min="1529" max="1529" width="14.375" style="183" customWidth="1"/>
    <col min="1530" max="1535" width="0" style="183" hidden="1" customWidth="1"/>
    <col min="1536" max="1536" width="10.125" style="183" bestFit="1" customWidth="1"/>
    <col min="1537" max="1775" width="9" style="183"/>
    <col min="1776" max="1776" width="75.875" style="183" customWidth="1"/>
    <col min="1777" max="1778" width="7.625" style="183" customWidth="1"/>
    <col min="1779" max="1779" width="9.625" style="183" customWidth="1"/>
    <col min="1780" max="1780" width="7.625" style="183" customWidth="1"/>
    <col min="1781" max="1784" width="0" style="183" hidden="1" customWidth="1"/>
    <col min="1785" max="1785" width="14.375" style="183" customWidth="1"/>
    <col min="1786" max="1791" width="0" style="183" hidden="1" customWidth="1"/>
    <col min="1792" max="1792" width="10.125" style="183" bestFit="1" customWidth="1"/>
    <col min="1793" max="2031" width="9" style="183"/>
    <col min="2032" max="2032" width="75.875" style="183" customWidth="1"/>
    <col min="2033" max="2034" width="7.625" style="183" customWidth="1"/>
    <col min="2035" max="2035" width="9.625" style="183" customWidth="1"/>
    <col min="2036" max="2036" width="7.625" style="183" customWidth="1"/>
    <col min="2037" max="2040" width="0" style="183" hidden="1" customWidth="1"/>
    <col min="2041" max="2041" width="14.375" style="183" customWidth="1"/>
    <col min="2042" max="2047" width="0" style="183" hidden="1" customWidth="1"/>
    <col min="2048" max="2048" width="10.125" style="183" bestFit="1" customWidth="1"/>
    <col min="2049" max="2287" width="9" style="183"/>
    <col min="2288" max="2288" width="75.875" style="183" customWidth="1"/>
    <col min="2289" max="2290" width="7.625" style="183" customWidth="1"/>
    <col min="2291" max="2291" width="9.625" style="183" customWidth="1"/>
    <col min="2292" max="2292" width="7.625" style="183" customWidth="1"/>
    <col min="2293" max="2296" width="0" style="183" hidden="1" customWidth="1"/>
    <col min="2297" max="2297" width="14.375" style="183" customWidth="1"/>
    <col min="2298" max="2303" width="0" style="183" hidden="1" customWidth="1"/>
    <col min="2304" max="2304" width="10.125" style="183" bestFit="1" customWidth="1"/>
    <col min="2305" max="2543" width="9" style="183"/>
    <col min="2544" max="2544" width="75.875" style="183" customWidth="1"/>
    <col min="2545" max="2546" width="7.625" style="183" customWidth="1"/>
    <col min="2547" max="2547" width="9.625" style="183" customWidth="1"/>
    <col min="2548" max="2548" width="7.625" style="183" customWidth="1"/>
    <col min="2549" max="2552" width="0" style="183" hidden="1" customWidth="1"/>
    <col min="2553" max="2553" width="14.375" style="183" customWidth="1"/>
    <col min="2554" max="2559" width="0" style="183" hidden="1" customWidth="1"/>
    <col min="2560" max="2560" width="10.125" style="183" bestFit="1" customWidth="1"/>
    <col min="2561" max="2799" width="9" style="183"/>
    <col min="2800" max="2800" width="75.875" style="183" customWidth="1"/>
    <col min="2801" max="2802" width="7.625" style="183" customWidth="1"/>
    <col min="2803" max="2803" width="9.625" style="183" customWidth="1"/>
    <col min="2804" max="2804" width="7.625" style="183" customWidth="1"/>
    <col min="2805" max="2808" width="0" style="183" hidden="1" customWidth="1"/>
    <col min="2809" max="2809" width="14.375" style="183" customWidth="1"/>
    <col min="2810" max="2815" width="0" style="183" hidden="1" customWidth="1"/>
    <col min="2816" max="2816" width="10.125" style="183" bestFit="1" customWidth="1"/>
    <col min="2817" max="3055" width="9" style="183"/>
    <col min="3056" max="3056" width="75.875" style="183" customWidth="1"/>
    <col min="3057" max="3058" width="7.625" style="183" customWidth="1"/>
    <col min="3059" max="3059" width="9.625" style="183" customWidth="1"/>
    <col min="3060" max="3060" width="7.625" style="183" customWidth="1"/>
    <col min="3061" max="3064" width="0" style="183" hidden="1" customWidth="1"/>
    <col min="3065" max="3065" width="14.375" style="183" customWidth="1"/>
    <col min="3066" max="3071" width="0" style="183" hidden="1" customWidth="1"/>
    <col min="3072" max="3072" width="10.125" style="183" bestFit="1" customWidth="1"/>
    <col min="3073" max="3311" width="9" style="183"/>
    <col min="3312" max="3312" width="75.875" style="183" customWidth="1"/>
    <col min="3313" max="3314" width="7.625" style="183" customWidth="1"/>
    <col min="3315" max="3315" width="9.625" style="183" customWidth="1"/>
    <col min="3316" max="3316" width="7.625" style="183" customWidth="1"/>
    <col min="3317" max="3320" width="0" style="183" hidden="1" customWidth="1"/>
    <col min="3321" max="3321" width="14.375" style="183" customWidth="1"/>
    <col min="3322" max="3327" width="0" style="183" hidden="1" customWidth="1"/>
    <col min="3328" max="3328" width="10.125" style="183" bestFit="1" customWidth="1"/>
    <col min="3329" max="3567" width="9" style="183"/>
    <col min="3568" max="3568" width="75.875" style="183" customWidth="1"/>
    <col min="3569" max="3570" width="7.625" style="183" customWidth="1"/>
    <col min="3571" max="3571" width="9.625" style="183" customWidth="1"/>
    <col min="3572" max="3572" width="7.625" style="183" customWidth="1"/>
    <col min="3573" max="3576" width="0" style="183" hidden="1" customWidth="1"/>
    <col min="3577" max="3577" width="14.375" style="183" customWidth="1"/>
    <col min="3578" max="3583" width="0" style="183" hidden="1" customWidth="1"/>
    <col min="3584" max="3584" width="10.125" style="183" bestFit="1" customWidth="1"/>
    <col min="3585" max="3823" width="9" style="183"/>
    <col min="3824" max="3824" width="75.875" style="183" customWidth="1"/>
    <col min="3825" max="3826" width="7.625" style="183" customWidth="1"/>
    <col min="3827" max="3827" width="9.625" style="183" customWidth="1"/>
    <col min="3828" max="3828" width="7.625" style="183" customWidth="1"/>
    <col min="3829" max="3832" width="0" style="183" hidden="1" customWidth="1"/>
    <col min="3833" max="3833" width="14.375" style="183" customWidth="1"/>
    <col min="3834" max="3839" width="0" style="183" hidden="1" customWidth="1"/>
    <col min="3840" max="3840" width="10.125" style="183" bestFit="1" customWidth="1"/>
    <col min="3841" max="4079" width="9" style="183"/>
    <col min="4080" max="4080" width="75.875" style="183" customWidth="1"/>
    <col min="4081" max="4082" width="7.625" style="183" customWidth="1"/>
    <col min="4083" max="4083" width="9.625" style="183" customWidth="1"/>
    <col min="4084" max="4084" width="7.625" style="183" customWidth="1"/>
    <col min="4085" max="4088" width="0" style="183" hidden="1" customWidth="1"/>
    <col min="4089" max="4089" width="14.375" style="183" customWidth="1"/>
    <col min="4090" max="4095" width="0" style="183" hidden="1" customWidth="1"/>
    <col min="4096" max="4096" width="10.125" style="183" bestFit="1" customWidth="1"/>
    <col min="4097" max="4335" width="9" style="183"/>
    <col min="4336" max="4336" width="75.875" style="183" customWidth="1"/>
    <col min="4337" max="4338" width="7.625" style="183" customWidth="1"/>
    <col min="4339" max="4339" width="9.625" style="183" customWidth="1"/>
    <col min="4340" max="4340" width="7.625" style="183" customWidth="1"/>
    <col min="4341" max="4344" width="0" style="183" hidden="1" customWidth="1"/>
    <col min="4345" max="4345" width="14.375" style="183" customWidth="1"/>
    <col min="4346" max="4351" width="0" style="183" hidden="1" customWidth="1"/>
    <col min="4352" max="4352" width="10.125" style="183" bestFit="1" customWidth="1"/>
    <col min="4353" max="4591" width="9" style="183"/>
    <col min="4592" max="4592" width="75.875" style="183" customWidth="1"/>
    <col min="4593" max="4594" width="7.625" style="183" customWidth="1"/>
    <col min="4595" max="4595" width="9.625" style="183" customWidth="1"/>
    <col min="4596" max="4596" width="7.625" style="183" customWidth="1"/>
    <col min="4597" max="4600" width="0" style="183" hidden="1" customWidth="1"/>
    <col min="4601" max="4601" width="14.375" style="183" customWidth="1"/>
    <col min="4602" max="4607" width="0" style="183" hidden="1" customWidth="1"/>
    <col min="4608" max="4608" width="10.125" style="183" bestFit="1" customWidth="1"/>
    <col min="4609" max="4847" width="9" style="183"/>
    <col min="4848" max="4848" width="75.875" style="183" customWidth="1"/>
    <col min="4849" max="4850" width="7.625" style="183" customWidth="1"/>
    <col min="4851" max="4851" width="9.625" style="183" customWidth="1"/>
    <col min="4852" max="4852" width="7.625" style="183" customWidth="1"/>
    <col min="4853" max="4856" width="0" style="183" hidden="1" customWidth="1"/>
    <col min="4857" max="4857" width="14.375" style="183" customWidth="1"/>
    <col min="4858" max="4863" width="0" style="183" hidden="1" customWidth="1"/>
    <col min="4864" max="4864" width="10.125" style="183" bestFit="1" customWidth="1"/>
    <col min="4865" max="5103" width="9" style="183"/>
    <col min="5104" max="5104" width="75.875" style="183" customWidth="1"/>
    <col min="5105" max="5106" width="7.625" style="183" customWidth="1"/>
    <col min="5107" max="5107" width="9.625" style="183" customWidth="1"/>
    <col min="5108" max="5108" width="7.625" style="183" customWidth="1"/>
    <col min="5109" max="5112" width="0" style="183" hidden="1" customWidth="1"/>
    <col min="5113" max="5113" width="14.375" style="183" customWidth="1"/>
    <col min="5114" max="5119" width="0" style="183" hidden="1" customWidth="1"/>
    <col min="5120" max="5120" width="10.125" style="183" bestFit="1" customWidth="1"/>
    <col min="5121" max="5359" width="9" style="183"/>
    <col min="5360" max="5360" width="75.875" style="183" customWidth="1"/>
    <col min="5361" max="5362" width="7.625" style="183" customWidth="1"/>
    <col min="5363" max="5363" width="9.625" style="183" customWidth="1"/>
    <col min="5364" max="5364" width="7.625" style="183" customWidth="1"/>
    <col min="5365" max="5368" width="0" style="183" hidden="1" customWidth="1"/>
    <col min="5369" max="5369" width="14.375" style="183" customWidth="1"/>
    <col min="5370" max="5375" width="0" style="183" hidden="1" customWidth="1"/>
    <col min="5376" max="5376" width="10.125" style="183" bestFit="1" customWidth="1"/>
    <col min="5377" max="5615" width="9" style="183"/>
    <col min="5616" max="5616" width="75.875" style="183" customWidth="1"/>
    <col min="5617" max="5618" width="7.625" style="183" customWidth="1"/>
    <col min="5619" max="5619" width="9.625" style="183" customWidth="1"/>
    <col min="5620" max="5620" width="7.625" style="183" customWidth="1"/>
    <col min="5621" max="5624" width="0" style="183" hidden="1" customWidth="1"/>
    <col min="5625" max="5625" width="14.375" style="183" customWidth="1"/>
    <col min="5626" max="5631" width="0" style="183" hidden="1" customWidth="1"/>
    <col min="5632" max="5632" width="10.125" style="183" bestFit="1" customWidth="1"/>
    <col min="5633" max="5871" width="9" style="183"/>
    <col min="5872" max="5872" width="75.875" style="183" customWidth="1"/>
    <col min="5873" max="5874" width="7.625" style="183" customWidth="1"/>
    <col min="5875" max="5875" width="9.625" style="183" customWidth="1"/>
    <col min="5876" max="5876" width="7.625" style="183" customWidth="1"/>
    <col min="5877" max="5880" width="0" style="183" hidden="1" customWidth="1"/>
    <col min="5881" max="5881" width="14.375" style="183" customWidth="1"/>
    <col min="5882" max="5887" width="0" style="183" hidden="1" customWidth="1"/>
    <col min="5888" max="5888" width="10.125" style="183" bestFit="1" customWidth="1"/>
    <col min="5889" max="6127" width="9" style="183"/>
    <col min="6128" max="6128" width="75.875" style="183" customWidth="1"/>
    <col min="6129" max="6130" width="7.625" style="183" customWidth="1"/>
    <col min="6131" max="6131" width="9.625" style="183" customWidth="1"/>
    <col min="6132" max="6132" width="7.625" style="183" customWidth="1"/>
    <col min="6133" max="6136" width="0" style="183" hidden="1" customWidth="1"/>
    <col min="6137" max="6137" width="14.375" style="183" customWidth="1"/>
    <col min="6138" max="6143" width="0" style="183" hidden="1" customWidth="1"/>
    <col min="6144" max="6144" width="10.125" style="183" bestFit="1" customWidth="1"/>
    <col min="6145" max="6383" width="9" style="183"/>
    <col min="6384" max="6384" width="75.875" style="183" customWidth="1"/>
    <col min="6385" max="6386" width="7.625" style="183" customWidth="1"/>
    <col min="6387" max="6387" width="9.625" style="183" customWidth="1"/>
    <col min="6388" max="6388" width="7.625" style="183" customWidth="1"/>
    <col min="6389" max="6392" width="0" style="183" hidden="1" customWidth="1"/>
    <col min="6393" max="6393" width="14.375" style="183" customWidth="1"/>
    <col min="6394" max="6399" width="0" style="183" hidden="1" customWidth="1"/>
    <col min="6400" max="6400" width="10.125" style="183" bestFit="1" customWidth="1"/>
    <col min="6401" max="6639" width="9" style="183"/>
    <col min="6640" max="6640" width="75.875" style="183" customWidth="1"/>
    <col min="6641" max="6642" width="7.625" style="183" customWidth="1"/>
    <col min="6643" max="6643" width="9.625" style="183" customWidth="1"/>
    <col min="6644" max="6644" width="7.625" style="183" customWidth="1"/>
    <col min="6645" max="6648" width="0" style="183" hidden="1" customWidth="1"/>
    <col min="6649" max="6649" width="14.375" style="183" customWidth="1"/>
    <col min="6650" max="6655" width="0" style="183" hidden="1" customWidth="1"/>
    <col min="6656" max="6656" width="10.125" style="183" bestFit="1" customWidth="1"/>
    <col min="6657" max="6895" width="9" style="183"/>
    <col min="6896" max="6896" width="75.875" style="183" customWidth="1"/>
    <col min="6897" max="6898" width="7.625" style="183" customWidth="1"/>
    <col min="6899" max="6899" width="9.625" style="183" customWidth="1"/>
    <col min="6900" max="6900" width="7.625" style="183" customWidth="1"/>
    <col min="6901" max="6904" width="0" style="183" hidden="1" customWidth="1"/>
    <col min="6905" max="6905" width="14.375" style="183" customWidth="1"/>
    <col min="6906" max="6911" width="0" style="183" hidden="1" customWidth="1"/>
    <col min="6912" max="6912" width="10.125" style="183" bestFit="1" customWidth="1"/>
    <col min="6913" max="7151" width="9" style="183"/>
    <col min="7152" max="7152" width="75.875" style="183" customWidth="1"/>
    <col min="7153" max="7154" width="7.625" style="183" customWidth="1"/>
    <col min="7155" max="7155" width="9.625" style="183" customWidth="1"/>
    <col min="7156" max="7156" width="7.625" style="183" customWidth="1"/>
    <col min="7157" max="7160" width="0" style="183" hidden="1" customWidth="1"/>
    <col min="7161" max="7161" width="14.375" style="183" customWidth="1"/>
    <col min="7162" max="7167" width="0" style="183" hidden="1" customWidth="1"/>
    <col min="7168" max="7168" width="10.125" style="183" bestFit="1" customWidth="1"/>
    <col min="7169" max="7407" width="9" style="183"/>
    <col min="7408" max="7408" width="75.875" style="183" customWidth="1"/>
    <col min="7409" max="7410" width="7.625" style="183" customWidth="1"/>
    <col min="7411" max="7411" width="9.625" style="183" customWidth="1"/>
    <col min="7412" max="7412" width="7.625" style="183" customWidth="1"/>
    <col min="7413" max="7416" width="0" style="183" hidden="1" customWidth="1"/>
    <col min="7417" max="7417" width="14.375" style="183" customWidth="1"/>
    <col min="7418" max="7423" width="0" style="183" hidden="1" customWidth="1"/>
    <col min="7424" max="7424" width="10.125" style="183" bestFit="1" customWidth="1"/>
    <col min="7425" max="7663" width="9" style="183"/>
    <col min="7664" max="7664" width="75.875" style="183" customWidth="1"/>
    <col min="7665" max="7666" width="7.625" style="183" customWidth="1"/>
    <col min="7667" max="7667" width="9.625" style="183" customWidth="1"/>
    <col min="7668" max="7668" width="7.625" style="183" customWidth="1"/>
    <col min="7669" max="7672" width="0" style="183" hidden="1" customWidth="1"/>
    <col min="7673" max="7673" width="14.375" style="183" customWidth="1"/>
    <col min="7674" max="7679" width="0" style="183" hidden="1" customWidth="1"/>
    <col min="7680" max="7680" width="10.125" style="183" bestFit="1" customWidth="1"/>
    <col min="7681" max="7919" width="9" style="183"/>
    <col min="7920" max="7920" width="75.875" style="183" customWidth="1"/>
    <col min="7921" max="7922" width="7.625" style="183" customWidth="1"/>
    <col min="7923" max="7923" width="9.625" style="183" customWidth="1"/>
    <col min="7924" max="7924" width="7.625" style="183" customWidth="1"/>
    <col min="7925" max="7928" width="0" style="183" hidden="1" customWidth="1"/>
    <col min="7929" max="7929" width="14.375" style="183" customWidth="1"/>
    <col min="7930" max="7935" width="0" style="183" hidden="1" customWidth="1"/>
    <col min="7936" max="7936" width="10.125" style="183" bestFit="1" customWidth="1"/>
    <col min="7937" max="8175" width="9" style="183"/>
    <col min="8176" max="8176" width="75.875" style="183" customWidth="1"/>
    <col min="8177" max="8178" width="7.625" style="183" customWidth="1"/>
    <col min="8179" max="8179" width="9.625" style="183" customWidth="1"/>
    <col min="8180" max="8180" width="7.625" style="183" customWidth="1"/>
    <col min="8181" max="8184" width="0" style="183" hidden="1" customWidth="1"/>
    <col min="8185" max="8185" width="14.375" style="183" customWidth="1"/>
    <col min="8186" max="8191" width="0" style="183" hidden="1" customWidth="1"/>
    <col min="8192" max="8192" width="10.125" style="183" bestFit="1" customWidth="1"/>
    <col min="8193" max="8431" width="9" style="183"/>
    <col min="8432" max="8432" width="75.875" style="183" customWidth="1"/>
    <col min="8433" max="8434" width="7.625" style="183" customWidth="1"/>
    <col min="8435" max="8435" width="9.625" style="183" customWidth="1"/>
    <col min="8436" max="8436" width="7.625" style="183" customWidth="1"/>
    <col min="8437" max="8440" width="0" style="183" hidden="1" customWidth="1"/>
    <col min="8441" max="8441" width="14.375" style="183" customWidth="1"/>
    <col min="8442" max="8447" width="0" style="183" hidden="1" customWidth="1"/>
    <col min="8448" max="8448" width="10.125" style="183" bestFit="1" customWidth="1"/>
    <col min="8449" max="8687" width="9" style="183"/>
    <col min="8688" max="8688" width="75.875" style="183" customWidth="1"/>
    <col min="8689" max="8690" width="7.625" style="183" customWidth="1"/>
    <col min="8691" max="8691" width="9.625" style="183" customWidth="1"/>
    <col min="8692" max="8692" width="7.625" style="183" customWidth="1"/>
    <col min="8693" max="8696" width="0" style="183" hidden="1" customWidth="1"/>
    <col min="8697" max="8697" width="14.375" style="183" customWidth="1"/>
    <col min="8698" max="8703" width="0" style="183" hidden="1" customWidth="1"/>
    <col min="8704" max="8704" width="10.125" style="183" bestFit="1" customWidth="1"/>
    <col min="8705" max="8943" width="9" style="183"/>
    <col min="8944" max="8944" width="75.875" style="183" customWidth="1"/>
    <col min="8945" max="8946" width="7.625" style="183" customWidth="1"/>
    <col min="8947" max="8947" width="9.625" style="183" customWidth="1"/>
    <col min="8948" max="8948" width="7.625" style="183" customWidth="1"/>
    <col min="8949" max="8952" width="0" style="183" hidden="1" customWidth="1"/>
    <col min="8953" max="8953" width="14.375" style="183" customWidth="1"/>
    <col min="8954" max="8959" width="0" style="183" hidden="1" customWidth="1"/>
    <col min="8960" max="8960" width="10.125" style="183" bestFit="1" customWidth="1"/>
    <col min="8961" max="9199" width="9" style="183"/>
    <col min="9200" max="9200" width="75.875" style="183" customWidth="1"/>
    <col min="9201" max="9202" width="7.625" style="183" customWidth="1"/>
    <col min="9203" max="9203" width="9.625" style="183" customWidth="1"/>
    <col min="9204" max="9204" width="7.625" style="183" customWidth="1"/>
    <col min="9205" max="9208" width="0" style="183" hidden="1" customWidth="1"/>
    <col min="9209" max="9209" width="14.375" style="183" customWidth="1"/>
    <col min="9210" max="9215" width="0" style="183" hidden="1" customWidth="1"/>
    <col min="9216" max="9216" width="10.125" style="183" bestFit="1" customWidth="1"/>
    <col min="9217" max="9455" width="9" style="183"/>
    <col min="9456" max="9456" width="75.875" style="183" customWidth="1"/>
    <col min="9457" max="9458" width="7.625" style="183" customWidth="1"/>
    <col min="9459" max="9459" width="9.625" style="183" customWidth="1"/>
    <col min="9460" max="9460" width="7.625" style="183" customWidth="1"/>
    <col min="9461" max="9464" width="0" style="183" hidden="1" customWidth="1"/>
    <col min="9465" max="9465" width="14.375" style="183" customWidth="1"/>
    <col min="9466" max="9471" width="0" style="183" hidden="1" customWidth="1"/>
    <col min="9472" max="9472" width="10.125" style="183" bestFit="1" customWidth="1"/>
    <col min="9473" max="9711" width="9" style="183"/>
    <col min="9712" max="9712" width="75.875" style="183" customWidth="1"/>
    <col min="9713" max="9714" width="7.625" style="183" customWidth="1"/>
    <col min="9715" max="9715" width="9.625" style="183" customWidth="1"/>
    <col min="9716" max="9716" width="7.625" style="183" customWidth="1"/>
    <col min="9717" max="9720" width="0" style="183" hidden="1" customWidth="1"/>
    <col min="9721" max="9721" width="14.375" style="183" customWidth="1"/>
    <col min="9722" max="9727" width="0" style="183" hidden="1" customWidth="1"/>
    <col min="9728" max="9728" width="10.125" style="183" bestFit="1" customWidth="1"/>
    <col min="9729" max="9967" width="9" style="183"/>
    <col min="9968" max="9968" width="75.875" style="183" customWidth="1"/>
    <col min="9969" max="9970" width="7.625" style="183" customWidth="1"/>
    <col min="9971" max="9971" width="9.625" style="183" customWidth="1"/>
    <col min="9972" max="9972" width="7.625" style="183" customWidth="1"/>
    <col min="9973" max="9976" width="0" style="183" hidden="1" customWidth="1"/>
    <col min="9977" max="9977" width="14.375" style="183" customWidth="1"/>
    <col min="9978" max="9983" width="0" style="183" hidden="1" customWidth="1"/>
    <col min="9984" max="9984" width="10.125" style="183" bestFit="1" customWidth="1"/>
    <col min="9985" max="10223" width="9" style="183"/>
    <col min="10224" max="10224" width="75.875" style="183" customWidth="1"/>
    <col min="10225" max="10226" width="7.625" style="183" customWidth="1"/>
    <col min="10227" max="10227" width="9.625" style="183" customWidth="1"/>
    <col min="10228" max="10228" width="7.625" style="183" customWidth="1"/>
    <col min="10229" max="10232" width="0" style="183" hidden="1" customWidth="1"/>
    <col min="10233" max="10233" width="14.375" style="183" customWidth="1"/>
    <col min="10234" max="10239" width="0" style="183" hidden="1" customWidth="1"/>
    <col min="10240" max="10240" width="10.125" style="183" bestFit="1" customWidth="1"/>
    <col min="10241" max="10479" width="9" style="183"/>
    <col min="10480" max="10480" width="75.875" style="183" customWidth="1"/>
    <col min="10481" max="10482" width="7.625" style="183" customWidth="1"/>
    <col min="10483" max="10483" width="9.625" style="183" customWidth="1"/>
    <col min="10484" max="10484" width="7.625" style="183" customWidth="1"/>
    <col min="10485" max="10488" width="0" style="183" hidden="1" customWidth="1"/>
    <col min="10489" max="10489" width="14.375" style="183" customWidth="1"/>
    <col min="10490" max="10495" width="0" style="183" hidden="1" customWidth="1"/>
    <col min="10496" max="10496" width="10.125" style="183" bestFit="1" customWidth="1"/>
    <col min="10497" max="10735" width="9" style="183"/>
    <col min="10736" max="10736" width="75.875" style="183" customWidth="1"/>
    <col min="10737" max="10738" width="7.625" style="183" customWidth="1"/>
    <col min="10739" max="10739" width="9.625" style="183" customWidth="1"/>
    <col min="10740" max="10740" width="7.625" style="183" customWidth="1"/>
    <col min="10741" max="10744" width="0" style="183" hidden="1" customWidth="1"/>
    <col min="10745" max="10745" width="14.375" style="183" customWidth="1"/>
    <col min="10746" max="10751" width="0" style="183" hidden="1" customWidth="1"/>
    <col min="10752" max="10752" width="10.125" style="183" bestFit="1" customWidth="1"/>
    <col min="10753" max="10991" width="9" style="183"/>
    <col min="10992" max="10992" width="75.875" style="183" customWidth="1"/>
    <col min="10993" max="10994" width="7.625" style="183" customWidth="1"/>
    <col min="10995" max="10995" width="9.625" style="183" customWidth="1"/>
    <col min="10996" max="10996" width="7.625" style="183" customWidth="1"/>
    <col min="10997" max="11000" width="0" style="183" hidden="1" customWidth="1"/>
    <col min="11001" max="11001" width="14.375" style="183" customWidth="1"/>
    <col min="11002" max="11007" width="0" style="183" hidden="1" customWidth="1"/>
    <col min="11008" max="11008" width="10.125" style="183" bestFit="1" customWidth="1"/>
    <col min="11009" max="11247" width="9" style="183"/>
    <col min="11248" max="11248" width="75.875" style="183" customWidth="1"/>
    <col min="11249" max="11250" width="7.625" style="183" customWidth="1"/>
    <col min="11251" max="11251" width="9.625" style="183" customWidth="1"/>
    <col min="11252" max="11252" width="7.625" style="183" customWidth="1"/>
    <col min="11253" max="11256" width="0" style="183" hidden="1" customWidth="1"/>
    <col min="11257" max="11257" width="14.375" style="183" customWidth="1"/>
    <col min="11258" max="11263" width="0" style="183" hidden="1" customWidth="1"/>
    <col min="11264" max="11264" width="10.125" style="183" bestFit="1" customWidth="1"/>
    <col min="11265" max="11503" width="9" style="183"/>
    <col min="11504" max="11504" width="75.875" style="183" customWidth="1"/>
    <col min="11505" max="11506" width="7.625" style="183" customWidth="1"/>
    <col min="11507" max="11507" width="9.625" style="183" customWidth="1"/>
    <col min="11508" max="11508" width="7.625" style="183" customWidth="1"/>
    <col min="11509" max="11512" width="0" style="183" hidden="1" customWidth="1"/>
    <col min="11513" max="11513" width="14.375" style="183" customWidth="1"/>
    <col min="11514" max="11519" width="0" style="183" hidden="1" customWidth="1"/>
    <col min="11520" max="11520" width="10.125" style="183" bestFit="1" customWidth="1"/>
    <col min="11521" max="11759" width="9" style="183"/>
    <col min="11760" max="11760" width="75.875" style="183" customWidth="1"/>
    <col min="11761" max="11762" width="7.625" style="183" customWidth="1"/>
    <col min="11763" max="11763" width="9.625" style="183" customWidth="1"/>
    <col min="11764" max="11764" width="7.625" style="183" customWidth="1"/>
    <col min="11765" max="11768" width="0" style="183" hidden="1" customWidth="1"/>
    <col min="11769" max="11769" width="14.375" style="183" customWidth="1"/>
    <col min="11770" max="11775" width="0" style="183" hidden="1" customWidth="1"/>
    <col min="11776" max="11776" width="10.125" style="183" bestFit="1" customWidth="1"/>
    <col min="11777" max="12015" width="9" style="183"/>
    <col min="12016" max="12016" width="75.875" style="183" customWidth="1"/>
    <col min="12017" max="12018" width="7.625" style="183" customWidth="1"/>
    <col min="12019" max="12019" width="9.625" style="183" customWidth="1"/>
    <col min="12020" max="12020" width="7.625" style="183" customWidth="1"/>
    <col min="12021" max="12024" width="0" style="183" hidden="1" customWidth="1"/>
    <col min="12025" max="12025" width="14.375" style="183" customWidth="1"/>
    <col min="12026" max="12031" width="0" style="183" hidden="1" customWidth="1"/>
    <col min="12032" max="12032" width="10.125" style="183" bestFit="1" customWidth="1"/>
    <col min="12033" max="12271" width="9" style="183"/>
    <col min="12272" max="12272" width="75.875" style="183" customWidth="1"/>
    <col min="12273" max="12274" width="7.625" style="183" customWidth="1"/>
    <col min="12275" max="12275" width="9.625" style="183" customWidth="1"/>
    <col min="12276" max="12276" width="7.625" style="183" customWidth="1"/>
    <col min="12277" max="12280" width="0" style="183" hidden="1" customWidth="1"/>
    <col min="12281" max="12281" width="14.375" style="183" customWidth="1"/>
    <col min="12282" max="12287" width="0" style="183" hidden="1" customWidth="1"/>
    <col min="12288" max="12288" width="10.125" style="183" bestFit="1" customWidth="1"/>
    <col min="12289" max="12527" width="9" style="183"/>
    <col min="12528" max="12528" width="75.875" style="183" customWidth="1"/>
    <col min="12529" max="12530" width="7.625" style="183" customWidth="1"/>
    <col min="12531" max="12531" width="9.625" style="183" customWidth="1"/>
    <col min="12532" max="12532" width="7.625" style="183" customWidth="1"/>
    <col min="12533" max="12536" width="0" style="183" hidden="1" customWidth="1"/>
    <col min="12537" max="12537" width="14.375" style="183" customWidth="1"/>
    <col min="12538" max="12543" width="0" style="183" hidden="1" customWidth="1"/>
    <col min="12544" max="12544" width="10.125" style="183" bestFit="1" customWidth="1"/>
    <col min="12545" max="12783" width="9" style="183"/>
    <col min="12784" max="12784" width="75.875" style="183" customWidth="1"/>
    <col min="12785" max="12786" width="7.625" style="183" customWidth="1"/>
    <col min="12787" max="12787" width="9.625" style="183" customWidth="1"/>
    <col min="12788" max="12788" width="7.625" style="183" customWidth="1"/>
    <col min="12789" max="12792" width="0" style="183" hidden="1" customWidth="1"/>
    <col min="12793" max="12793" width="14.375" style="183" customWidth="1"/>
    <col min="12794" max="12799" width="0" style="183" hidden="1" customWidth="1"/>
    <col min="12800" max="12800" width="10.125" style="183" bestFit="1" customWidth="1"/>
    <col min="12801" max="13039" width="9" style="183"/>
    <col min="13040" max="13040" width="75.875" style="183" customWidth="1"/>
    <col min="13041" max="13042" width="7.625" style="183" customWidth="1"/>
    <col min="13043" max="13043" width="9.625" style="183" customWidth="1"/>
    <col min="13044" max="13044" width="7.625" style="183" customWidth="1"/>
    <col min="13045" max="13048" width="0" style="183" hidden="1" customWidth="1"/>
    <col min="13049" max="13049" width="14.375" style="183" customWidth="1"/>
    <col min="13050" max="13055" width="0" style="183" hidden="1" customWidth="1"/>
    <col min="13056" max="13056" width="10.125" style="183" bestFit="1" customWidth="1"/>
    <col min="13057" max="13295" width="9" style="183"/>
    <col min="13296" max="13296" width="75.875" style="183" customWidth="1"/>
    <col min="13297" max="13298" width="7.625" style="183" customWidth="1"/>
    <col min="13299" max="13299" width="9.625" style="183" customWidth="1"/>
    <col min="13300" max="13300" width="7.625" style="183" customWidth="1"/>
    <col min="13301" max="13304" width="0" style="183" hidden="1" customWidth="1"/>
    <col min="13305" max="13305" width="14.375" style="183" customWidth="1"/>
    <col min="13306" max="13311" width="0" style="183" hidden="1" customWidth="1"/>
    <col min="13312" max="13312" width="10.125" style="183" bestFit="1" customWidth="1"/>
    <col min="13313" max="13551" width="9" style="183"/>
    <col min="13552" max="13552" width="75.875" style="183" customWidth="1"/>
    <col min="13553" max="13554" width="7.625" style="183" customWidth="1"/>
    <col min="13555" max="13555" width="9.625" style="183" customWidth="1"/>
    <col min="13556" max="13556" width="7.625" style="183" customWidth="1"/>
    <col min="13557" max="13560" width="0" style="183" hidden="1" customWidth="1"/>
    <col min="13561" max="13561" width="14.375" style="183" customWidth="1"/>
    <col min="13562" max="13567" width="0" style="183" hidden="1" customWidth="1"/>
    <col min="13568" max="13568" width="10.125" style="183" bestFit="1" customWidth="1"/>
    <col min="13569" max="13807" width="9" style="183"/>
    <col min="13808" max="13808" width="75.875" style="183" customWidth="1"/>
    <col min="13809" max="13810" width="7.625" style="183" customWidth="1"/>
    <col min="13811" max="13811" width="9.625" style="183" customWidth="1"/>
    <col min="13812" max="13812" width="7.625" style="183" customWidth="1"/>
    <col min="13813" max="13816" width="0" style="183" hidden="1" customWidth="1"/>
    <col min="13817" max="13817" width="14.375" style="183" customWidth="1"/>
    <col min="13818" max="13823" width="0" style="183" hidden="1" customWidth="1"/>
    <col min="13824" max="13824" width="10.125" style="183" bestFit="1" customWidth="1"/>
    <col min="13825" max="14063" width="9" style="183"/>
    <col min="14064" max="14064" width="75.875" style="183" customWidth="1"/>
    <col min="14065" max="14066" width="7.625" style="183" customWidth="1"/>
    <col min="14067" max="14067" width="9.625" style="183" customWidth="1"/>
    <col min="14068" max="14068" width="7.625" style="183" customWidth="1"/>
    <col min="14069" max="14072" width="0" style="183" hidden="1" customWidth="1"/>
    <col min="14073" max="14073" width="14.375" style="183" customWidth="1"/>
    <col min="14074" max="14079" width="0" style="183" hidden="1" customWidth="1"/>
    <col min="14080" max="14080" width="10.125" style="183" bestFit="1" customWidth="1"/>
    <col min="14081" max="14319" width="9" style="183"/>
    <col min="14320" max="14320" width="75.875" style="183" customWidth="1"/>
    <col min="14321" max="14322" width="7.625" style="183" customWidth="1"/>
    <col min="14323" max="14323" width="9.625" style="183" customWidth="1"/>
    <col min="14324" max="14324" width="7.625" style="183" customWidth="1"/>
    <col min="14325" max="14328" width="0" style="183" hidden="1" customWidth="1"/>
    <col min="14329" max="14329" width="14.375" style="183" customWidth="1"/>
    <col min="14330" max="14335" width="0" style="183" hidden="1" customWidth="1"/>
    <col min="14336" max="14336" width="10.125" style="183" bestFit="1" customWidth="1"/>
    <col min="14337" max="14575" width="9" style="183"/>
    <col min="14576" max="14576" width="75.875" style="183" customWidth="1"/>
    <col min="14577" max="14578" width="7.625" style="183" customWidth="1"/>
    <col min="14579" max="14579" width="9.625" style="183" customWidth="1"/>
    <col min="14580" max="14580" width="7.625" style="183" customWidth="1"/>
    <col min="14581" max="14584" width="0" style="183" hidden="1" customWidth="1"/>
    <col min="14585" max="14585" width="14.375" style="183" customWidth="1"/>
    <col min="14586" max="14591" width="0" style="183" hidden="1" customWidth="1"/>
    <col min="14592" max="14592" width="10.125" style="183" bestFit="1" customWidth="1"/>
    <col min="14593" max="14831" width="9" style="183"/>
    <col min="14832" max="14832" width="75.875" style="183" customWidth="1"/>
    <col min="14833" max="14834" width="7.625" style="183" customWidth="1"/>
    <col min="14835" max="14835" width="9.625" style="183" customWidth="1"/>
    <col min="14836" max="14836" width="7.625" style="183" customWidth="1"/>
    <col min="14837" max="14840" width="0" style="183" hidden="1" customWidth="1"/>
    <col min="14841" max="14841" width="14.375" style="183" customWidth="1"/>
    <col min="14842" max="14847" width="0" style="183" hidden="1" customWidth="1"/>
    <col min="14848" max="14848" width="10.125" style="183" bestFit="1" customWidth="1"/>
    <col min="14849" max="15087" width="9" style="183"/>
    <col min="15088" max="15088" width="75.875" style="183" customWidth="1"/>
    <col min="15089" max="15090" width="7.625" style="183" customWidth="1"/>
    <col min="15091" max="15091" width="9.625" style="183" customWidth="1"/>
    <col min="15092" max="15092" width="7.625" style="183" customWidth="1"/>
    <col min="15093" max="15096" width="0" style="183" hidden="1" customWidth="1"/>
    <col min="15097" max="15097" width="14.375" style="183" customWidth="1"/>
    <col min="15098" max="15103" width="0" style="183" hidden="1" customWidth="1"/>
    <col min="15104" max="15104" width="10.125" style="183" bestFit="1" customWidth="1"/>
    <col min="15105" max="15343" width="9" style="183"/>
    <col min="15344" max="15344" width="75.875" style="183" customWidth="1"/>
    <col min="15345" max="15346" width="7.625" style="183" customWidth="1"/>
    <col min="15347" max="15347" width="9.625" style="183" customWidth="1"/>
    <col min="15348" max="15348" width="7.625" style="183" customWidth="1"/>
    <col min="15349" max="15352" width="0" style="183" hidden="1" customWidth="1"/>
    <col min="15353" max="15353" width="14.375" style="183" customWidth="1"/>
    <col min="15354" max="15359" width="0" style="183" hidden="1" customWidth="1"/>
    <col min="15360" max="15360" width="10.125" style="183" bestFit="1" customWidth="1"/>
    <col min="15361" max="15599" width="9" style="183"/>
    <col min="15600" max="15600" width="75.875" style="183" customWidth="1"/>
    <col min="15601" max="15602" width="7.625" style="183" customWidth="1"/>
    <col min="15603" max="15603" width="9.625" style="183" customWidth="1"/>
    <col min="15604" max="15604" width="7.625" style="183" customWidth="1"/>
    <col min="15605" max="15608" width="0" style="183" hidden="1" customWidth="1"/>
    <col min="15609" max="15609" width="14.375" style="183" customWidth="1"/>
    <col min="15610" max="15615" width="0" style="183" hidden="1" customWidth="1"/>
    <col min="15616" max="15616" width="10.125" style="183" bestFit="1" customWidth="1"/>
    <col min="15617" max="15855" width="9" style="183"/>
    <col min="15856" max="15856" width="75.875" style="183" customWidth="1"/>
    <col min="15857" max="15858" width="7.625" style="183" customWidth="1"/>
    <col min="15859" max="15859" width="9.625" style="183" customWidth="1"/>
    <col min="15860" max="15860" width="7.625" style="183" customWidth="1"/>
    <col min="15861" max="15864" width="0" style="183" hidden="1" customWidth="1"/>
    <col min="15865" max="15865" width="14.375" style="183" customWidth="1"/>
    <col min="15866" max="15871" width="0" style="183" hidden="1" customWidth="1"/>
    <col min="15872" max="15872" width="10.125" style="183" bestFit="1" customWidth="1"/>
    <col min="15873" max="16111" width="9" style="183"/>
    <col min="16112" max="16112" width="75.875" style="183" customWidth="1"/>
    <col min="16113" max="16114" width="7.625" style="183" customWidth="1"/>
    <col min="16115" max="16115" width="9.625" style="183" customWidth="1"/>
    <col min="16116" max="16116" width="7.625" style="183" customWidth="1"/>
    <col min="16117" max="16120" width="0" style="183" hidden="1" customWidth="1"/>
    <col min="16121" max="16121" width="14.375" style="183" customWidth="1"/>
    <col min="16122" max="16127" width="0" style="183" hidden="1" customWidth="1"/>
    <col min="16128" max="16128" width="10.125" style="183" bestFit="1" customWidth="1"/>
    <col min="16129" max="16384" width="9" style="183"/>
  </cols>
  <sheetData>
    <row r="1" spans="1:14" x14ac:dyDescent="0.3">
      <c r="G1" s="267"/>
      <c r="H1" s="195"/>
      <c r="I1" s="196"/>
      <c r="J1" s="267"/>
      <c r="L1" s="197"/>
    </row>
    <row r="2" spans="1:14" s="201" customFormat="1" x14ac:dyDescent="0.3">
      <c r="A2" s="667" t="s">
        <v>236</v>
      </c>
      <c r="B2" s="667"/>
      <c r="C2" s="667"/>
      <c r="D2" s="667"/>
      <c r="E2" s="667"/>
      <c r="F2" s="667"/>
      <c r="G2" s="667"/>
      <c r="H2" s="198"/>
      <c r="I2" s="199"/>
      <c r="J2" s="269"/>
      <c r="K2" s="327"/>
      <c r="M2" s="265"/>
    </row>
    <row r="3" spans="1:14" s="201" customFormat="1" x14ac:dyDescent="0.3">
      <c r="A3" s="654" t="s">
        <v>828</v>
      </c>
      <c r="B3" s="654"/>
      <c r="C3" s="654"/>
      <c r="D3" s="654"/>
      <c r="E3" s="654"/>
      <c r="F3" s="654"/>
      <c r="G3" s="654"/>
      <c r="H3" s="202"/>
      <c r="I3" s="203"/>
      <c r="J3" s="269"/>
      <c r="K3" s="327"/>
      <c r="M3" s="265"/>
    </row>
    <row r="4" spans="1:14" s="201" customFormat="1" x14ac:dyDescent="0.3">
      <c r="A4" s="654" t="s">
        <v>427</v>
      </c>
      <c r="B4" s="654"/>
      <c r="C4" s="654"/>
      <c r="D4" s="654"/>
      <c r="E4" s="654"/>
      <c r="F4" s="654"/>
      <c r="G4" s="654"/>
      <c r="H4" s="202"/>
      <c r="I4" s="203"/>
      <c r="J4" s="269"/>
      <c r="K4" s="327"/>
      <c r="M4" s="265"/>
    </row>
    <row r="5" spans="1:14" s="201" customFormat="1" x14ac:dyDescent="0.3">
      <c r="A5" s="203"/>
      <c r="B5" s="203"/>
      <c r="C5" s="203"/>
      <c r="D5" s="320"/>
      <c r="E5" s="320"/>
      <c r="F5" s="320"/>
      <c r="G5" s="269" t="s">
        <v>382</v>
      </c>
      <c r="H5" s="204"/>
      <c r="I5" s="200"/>
      <c r="J5" s="269"/>
      <c r="K5" s="327"/>
      <c r="M5" s="265"/>
    </row>
    <row r="6" spans="1:14" ht="50.95" x14ac:dyDescent="0.3">
      <c r="A6" s="205" t="s">
        <v>0</v>
      </c>
      <c r="B6" s="205" t="s">
        <v>1</v>
      </c>
      <c r="C6" s="205" t="s">
        <v>2</v>
      </c>
      <c r="D6" s="289" t="s">
        <v>3</v>
      </c>
      <c r="E6" s="289" t="s">
        <v>4</v>
      </c>
      <c r="F6" s="289" t="s">
        <v>837</v>
      </c>
      <c r="G6" s="290" t="s">
        <v>829</v>
      </c>
      <c r="H6" s="207" t="s">
        <v>841</v>
      </c>
      <c r="I6" s="206" t="s">
        <v>830</v>
      </c>
      <c r="J6" s="270" t="s">
        <v>826</v>
      </c>
      <c r="K6" s="328" t="s">
        <v>827</v>
      </c>
      <c r="L6" s="312" t="s">
        <v>866</v>
      </c>
      <c r="M6" s="311" t="s">
        <v>873</v>
      </c>
      <c r="N6" s="188" t="s">
        <v>874</v>
      </c>
    </row>
    <row r="7" spans="1:14" s="212" customFormat="1" ht="50.95" x14ac:dyDescent="0.3">
      <c r="A7" s="209" t="s">
        <v>448</v>
      </c>
      <c r="B7" s="210" t="s">
        <v>454</v>
      </c>
      <c r="C7" s="210" t="s">
        <v>5</v>
      </c>
      <c r="D7" s="291" t="s">
        <v>126</v>
      </c>
      <c r="E7" s="291" t="s">
        <v>6</v>
      </c>
      <c r="F7" s="292">
        <v>7431987.3099999996</v>
      </c>
      <c r="G7" s="271">
        <f>G8</f>
        <v>7668127.0300000003</v>
      </c>
      <c r="H7" s="167">
        <v>5396024.0800000001</v>
      </c>
      <c r="I7" s="211">
        <f>I8</f>
        <v>8050477.2300000004</v>
      </c>
      <c r="J7" s="271">
        <f>J8</f>
        <v>8752491</v>
      </c>
      <c r="K7" s="329">
        <f>K8</f>
        <v>8162491</v>
      </c>
      <c r="L7" s="313">
        <f>K7-J7</f>
        <v>-590000</v>
      </c>
      <c r="M7" s="314">
        <f>J7/G7%</f>
        <v>114.14118422605213</v>
      </c>
      <c r="N7" s="314">
        <f>K7/G7*100</f>
        <v>106.44699765752314</v>
      </c>
    </row>
    <row r="8" spans="1:14" outlineLevel="1" x14ac:dyDescent="0.3">
      <c r="A8" s="213" t="s">
        <v>7</v>
      </c>
      <c r="B8" s="214" t="s">
        <v>454</v>
      </c>
      <c r="C8" s="214" t="s">
        <v>8</v>
      </c>
      <c r="D8" s="293" t="s">
        <v>126</v>
      </c>
      <c r="E8" s="293" t="s">
        <v>6</v>
      </c>
      <c r="F8" s="294">
        <v>7431987.3099999996</v>
      </c>
      <c r="G8" s="237">
        <f>G9+G18</f>
        <v>7668127.0300000003</v>
      </c>
      <c r="H8" s="166">
        <v>5396024.0800000001</v>
      </c>
      <c r="I8" s="215">
        <f>I9+I18</f>
        <v>8050477.2300000004</v>
      </c>
      <c r="J8" s="237">
        <f>J9+J18</f>
        <v>8752491</v>
      </c>
      <c r="K8" s="330">
        <f>K9+K18</f>
        <v>8162491</v>
      </c>
      <c r="L8" s="313">
        <f t="shared" ref="L8:L71" si="0">K8-J8</f>
        <v>-590000</v>
      </c>
      <c r="M8" s="314">
        <f t="shared" ref="M8:M71" si="1">J8/G8%</f>
        <v>114.14118422605213</v>
      </c>
      <c r="N8" s="314">
        <f t="shared" ref="N8:N71" si="2">K8/G8*100</f>
        <v>106.44699765752314</v>
      </c>
    </row>
    <row r="9" spans="1:14" ht="39.25" customHeight="1" outlineLevel="2" x14ac:dyDescent="0.3">
      <c r="A9" s="213" t="s">
        <v>9</v>
      </c>
      <c r="B9" s="214" t="s">
        <v>454</v>
      </c>
      <c r="C9" s="214" t="s">
        <v>10</v>
      </c>
      <c r="D9" s="293" t="s">
        <v>126</v>
      </c>
      <c r="E9" s="293" t="s">
        <v>6</v>
      </c>
      <c r="F9" s="294">
        <v>6921278.3099999996</v>
      </c>
      <c r="G9" s="237">
        <f t="shared" ref="G9:K10" si="3">G10</f>
        <v>7132671.0300000003</v>
      </c>
      <c r="H9" s="166">
        <v>5352630.08</v>
      </c>
      <c r="I9" s="215">
        <f t="shared" si="3"/>
        <v>7515021.2300000004</v>
      </c>
      <c r="J9" s="237">
        <f t="shared" si="3"/>
        <v>7594704</v>
      </c>
      <c r="K9" s="330">
        <f t="shared" si="3"/>
        <v>7554704</v>
      </c>
      <c r="L9" s="313">
        <f t="shared" si="0"/>
        <v>-40000</v>
      </c>
      <c r="M9" s="314">
        <f t="shared" si="1"/>
        <v>106.47769914042986</v>
      </c>
      <c r="N9" s="314">
        <f t="shared" si="2"/>
        <v>105.91689940871983</v>
      </c>
    </row>
    <row r="10" spans="1:14" ht="34" outlineLevel="4" x14ac:dyDescent="0.3">
      <c r="A10" s="213" t="s">
        <v>132</v>
      </c>
      <c r="B10" s="214" t="s">
        <v>454</v>
      </c>
      <c r="C10" s="214" t="s">
        <v>10</v>
      </c>
      <c r="D10" s="293" t="s">
        <v>127</v>
      </c>
      <c r="E10" s="293" t="s">
        <v>6</v>
      </c>
      <c r="F10" s="294">
        <v>6921278.3099999996</v>
      </c>
      <c r="G10" s="237">
        <f t="shared" si="3"/>
        <v>7132671.0300000003</v>
      </c>
      <c r="H10" s="216">
        <f t="shared" si="3"/>
        <v>5352630.08</v>
      </c>
      <c r="I10" s="215">
        <f t="shared" si="3"/>
        <v>7515021.2300000004</v>
      </c>
      <c r="J10" s="237">
        <f t="shared" si="3"/>
        <v>7594704</v>
      </c>
      <c r="K10" s="330">
        <f t="shared" si="3"/>
        <v>7554704</v>
      </c>
      <c r="L10" s="313">
        <f t="shared" si="0"/>
        <v>-40000</v>
      </c>
      <c r="M10" s="314">
        <f t="shared" si="1"/>
        <v>106.47769914042986</v>
      </c>
      <c r="N10" s="314">
        <f t="shared" si="2"/>
        <v>105.91689940871983</v>
      </c>
    </row>
    <row r="11" spans="1:14" ht="40.75" customHeight="1" outlineLevel="5" x14ac:dyDescent="0.3">
      <c r="A11" s="213" t="s">
        <v>449</v>
      </c>
      <c r="B11" s="214" t="s">
        <v>454</v>
      </c>
      <c r="C11" s="214" t="s">
        <v>10</v>
      </c>
      <c r="D11" s="293" t="s">
        <v>450</v>
      </c>
      <c r="E11" s="293" t="s">
        <v>6</v>
      </c>
      <c r="F11" s="294">
        <v>6921278.3099999996</v>
      </c>
      <c r="G11" s="237">
        <f>G12+G14+G16</f>
        <v>7132671.0300000003</v>
      </c>
      <c r="H11" s="216">
        <f>H12+H14+H16</f>
        <v>5352630.08</v>
      </c>
      <c r="I11" s="215">
        <f>I12+I14+I16</f>
        <v>7515021.2300000004</v>
      </c>
      <c r="J11" s="237">
        <f>J12+J14+J16</f>
        <v>7594704</v>
      </c>
      <c r="K11" s="330">
        <f>K12+K14+K16</f>
        <v>7554704</v>
      </c>
      <c r="L11" s="313">
        <f t="shared" si="0"/>
        <v>-40000</v>
      </c>
      <c r="M11" s="314">
        <f t="shared" si="1"/>
        <v>106.47769914042986</v>
      </c>
      <c r="N11" s="314">
        <f t="shared" si="2"/>
        <v>105.91689940871983</v>
      </c>
    </row>
    <row r="12" spans="1:14" ht="76.75" customHeight="1" outlineLevel="6" x14ac:dyDescent="0.3">
      <c r="A12" s="213" t="s">
        <v>11</v>
      </c>
      <c r="B12" s="214" t="s">
        <v>454</v>
      </c>
      <c r="C12" s="214" t="s">
        <v>10</v>
      </c>
      <c r="D12" s="293" t="s">
        <v>450</v>
      </c>
      <c r="E12" s="293" t="s">
        <v>12</v>
      </c>
      <c r="F12" s="294">
        <v>6756822.3099999996</v>
      </c>
      <c r="G12" s="237">
        <f>G13</f>
        <v>6786101.0300000003</v>
      </c>
      <c r="H12" s="166">
        <v>5151988.76</v>
      </c>
      <c r="I12" s="215">
        <f>I13</f>
        <v>7264821.2300000004</v>
      </c>
      <c r="J12" s="238">
        <f>J13</f>
        <v>7311140</v>
      </c>
      <c r="K12" s="331">
        <f>K13</f>
        <v>7311140</v>
      </c>
      <c r="L12" s="313">
        <f t="shared" si="0"/>
        <v>0</v>
      </c>
      <c r="M12" s="314">
        <f t="shared" si="1"/>
        <v>107.7369754396362</v>
      </c>
      <c r="N12" s="314">
        <f t="shared" si="2"/>
        <v>107.73697543963621</v>
      </c>
    </row>
    <row r="13" spans="1:14" ht="34" outlineLevel="7" x14ac:dyDescent="0.3">
      <c r="A13" s="213" t="s">
        <v>13</v>
      </c>
      <c r="B13" s="214" t="s">
        <v>454</v>
      </c>
      <c r="C13" s="214" t="s">
        <v>10</v>
      </c>
      <c r="D13" s="293" t="s">
        <v>450</v>
      </c>
      <c r="E13" s="293" t="s">
        <v>14</v>
      </c>
      <c r="F13" s="294">
        <v>6756822.3099999996</v>
      </c>
      <c r="G13" s="238">
        <f>[2]потребность!I20-199304</f>
        <v>6786101.0300000003</v>
      </c>
      <c r="H13" s="166">
        <v>5151988.76</v>
      </c>
      <c r="I13" s="217">
        <f>'[2]прил 12'!F20</f>
        <v>7264821.2300000004</v>
      </c>
      <c r="J13" s="238">
        <f>7457647-146507</f>
        <v>7311140</v>
      </c>
      <c r="K13" s="331">
        <f>7457647-146507</f>
        <v>7311140</v>
      </c>
      <c r="L13" s="313">
        <f t="shared" si="0"/>
        <v>0</v>
      </c>
      <c r="M13" s="314">
        <f t="shared" si="1"/>
        <v>107.7369754396362</v>
      </c>
      <c r="N13" s="314">
        <f t="shared" si="2"/>
        <v>107.73697543963621</v>
      </c>
    </row>
    <row r="14" spans="1:14" ht="34" outlineLevel="6" x14ac:dyDescent="0.3">
      <c r="A14" s="213" t="s">
        <v>15</v>
      </c>
      <c r="B14" s="214" t="s">
        <v>454</v>
      </c>
      <c r="C14" s="214" t="s">
        <v>10</v>
      </c>
      <c r="D14" s="293" t="s">
        <v>450</v>
      </c>
      <c r="E14" s="293" t="s">
        <v>16</v>
      </c>
      <c r="F14" s="294">
        <v>164456</v>
      </c>
      <c r="G14" s="237">
        <f>G15</f>
        <v>346570</v>
      </c>
      <c r="H14" s="166">
        <v>200641.32</v>
      </c>
      <c r="I14" s="215">
        <f>I15</f>
        <v>250200</v>
      </c>
      <c r="J14" s="238">
        <f>J15</f>
        <v>282564</v>
      </c>
      <c r="K14" s="331">
        <f>K15</f>
        <v>242564</v>
      </c>
      <c r="L14" s="313">
        <f t="shared" si="0"/>
        <v>-40000</v>
      </c>
      <c r="M14" s="314">
        <f t="shared" si="1"/>
        <v>81.531580921603137</v>
      </c>
      <c r="N14" s="314">
        <f t="shared" si="2"/>
        <v>69.989901030094927</v>
      </c>
    </row>
    <row r="15" spans="1:14" ht="22.75" customHeight="1" outlineLevel="7" x14ac:dyDescent="0.3">
      <c r="A15" s="213" t="s">
        <v>17</v>
      </c>
      <c r="B15" s="214" t="s">
        <v>454</v>
      </c>
      <c r="C15" s="214" t="s">
        <v>10</v>
      </c>
      <c r="D15" s="293" t="s">
        <v>450</v>
      </c>
      <c r="E15" s="293" t="s">
        <v>18</v>
      </c>
      <c r="F15" s="294">
        <v>164456</v>
      </c>
      <c r="G15" s="238">
        <f>250200+53570+42800</f>
        <v>346570</v>
      </c>
      <c r="H15" s="166">
        <v>200641.32</v>
      </c>
      <c r="I15" s="217">
        <f>'[2]прил 12'!F22</f>
        <v>250200</v>
      </c>
      <c r="J15" s="238">
        <v>282564</v>
      </c>
      <c r="K15" s="331">
        <f>282564-40000</f>
        <v>242564</v>
      </c>
      <c r="L15" s="313">
        <f t="shared" si="0"/>
        <v>-40000</v>
      </c>
      <c r="M15" s="314">
        <f t="shared" si="1"/>
        <v>81.531580921603137</v>
      </c>
      <c r="N15" s="314">
        <f t="shared" si="2"/>
        <v>69.989901030094927</v>
      </c>
    </row>
    <row r="16" spans="1:14" outlineLevel="6" x14ac:dyDescent="0.3">
      <c r="A16" s="213" t="s">
        <v>19</v>
      </c>
      <c r="B16" s="214" t="s">
        <v>454</v>
      </c>
      <c r="C16" s="214" t="s">
        <v>10</v>
      </c>
      <c r="D16" s="293" t="s">
        <v>450</v>
      </c>
      <c r="E16" s="293" t="s">
        <v>20</v>
      </c>
      <c r="F16" s="293" t="s">
        <v>838</v>
      </c>
      <c r="G16" s="237">
        <f>G17</f>
        <v>0</v>
      </c>
      <c r="H16" s="216">
        <f>H17</f>
        <v>0</v>
      </c>
      <c r="I16" s="215">
        <v>0</v>
      </c>
      <c r="J16" s="238">
        <f>J17</f>
        <v>1000</v>
      </c>
      <c r="K16" s="331">
        <f>K17</f>
        <v>1000</v>
      </c>
      <c r="L16" s="313">
        <f t="shared" si="0"/>
        <v>0</v>
      </c>
      <c r="M16" s="314"/>
      <c r="N16" s="314"/>
    </row>
    <row r="17" spans="1:14" outlineLevel="7" x14ac:dyDescent="0.3">
      <c r="A17" s="213" t="s">
        <v>21</v>
      </c>
      <c r="B17" s="214" t="s">
        <v>454</v>
      </c>
      <c r="C17" s="214" t="s">
        <v>10</v>
      </c>
      <c r="D17" s="293" t="s">
        <v>450</v>
      </c>
      <c r="E17" s="293" t="s">
        <v>22</v>
      </c>
      <c r="F17" s="293" t="s">
        <v>838</v>
      </c>
      <c r="G17" s="238">
        <v>0</v>
      </c>
      <c r="H17" s="218">
        <v>0</v>
      </c>
      <c r="I17" s="217">
        <v>0</v>
      </c>
      <c r="J17" s="238">
        <v>1000</v>
      </c>
      <c r="K17" s="331">
        <v>1000</v>
      </c>
      <c r="L17" s="313">
        <f t="shared" si="0"/>
        <v>0</v>
      </c>
      <c r="M17" s="314"/>
      <c r="N17" s="314"/>
    </row>
    <row r="18" spans="1:14" outlineLevel="2" x14ac:dyDescent="0.3">
      <c r="A18" s="213" t="s">
        <v>23</v>
      </c>
      <c r="B18" s="214" t="s">
        <v>454</v>
      </c>
      <c r="C18" s="214" t="s">
        <v>24</v>
      </c>
      <c r="D18" s="293" t="s">
        <v>126</v>
      </c>
      <c r="E18" s="293" t="s">
        <v>6</v>
      </c>
      <c r="F18" s="294">
        <v>510709</v>
      </c>
      <c r="G18" s="237">
        <f>G19+G24</f>
        <v>535456</v>
      </c>
      <c r="H18" s="166">
        <v>43394</v>
      </c>
      <c r="I18" s="215">
        <f>I19+I24</f>
        <v>535456</v>
      </c>
      <c r="J18" s="237">
        <f>J19+J24</f>
        <v>1157787</v>
      </c>
      <c r="K18" s="330">
        <f>K19+K24</f>
        <v>607787</v>
      </c>
      <c r="L18" s="313">
        <f t="shared" si="0"/>
        <v>-550000</v>
      </c>
      <c r="M18" s="314">
        <f t="shared" si="1"/>
        <v>216.22448903364608</v>
      </c>
      <c r="N18" s="314">
        <f t="shared" si="2"/>
        <v>113.50829946811689</v>
      </c>
    </row>
    <row r="19" spans="1:14" s="224" customFormat="1" ht="39.75" customHeight="1" outlineLevel="3" x14ac:dyDescent="0.3">
      <c r="A19" s="219" t="s">
        <v>724</v>
      </c>
      <c r="B19" s="220" t="s">
        <v>454</v>
      </c>
      <c r="C19" s="220" t="s">
        <v>24</v>
      </c>
      <c r="D19" s="295" t="s">
        <v>128</v>
      </c>
      <c r="E19" s="295" t="s">
        <v>6</v>
      </c>
      <c r="F19" s="296">
        <v>37620</v>
      </c>
      <c r="G19" s="273">
        <f t="shared" ref="G19:K22" si="4">G20</f>
        <v>58240</v>
      </c>
      <c r="H19" s="222">
        <f t="shared" si="4"/>
        <v>850</v>
      </c>
      <c r="I19" s="221">
        <f t="shared" si="4"/>
        <v>58240</v>
      </c>
      <c r="J19" s="272">
        <f t="shared" si="4"/>
        <v>60571</v>
      </c>
      <c r="K19" s="332">
        <f t="shared" si="4"/>
        <v>60571</v>
      </c>
      <c r="L19" s="313">
        <f t="shared" si="0"/>
        <v>0</v>
      </c>
      <c r="M19" s="314">
        <f t="shared" si="1"/>
        <v>104.00240384615385</v>
      </c>
      <c r="N19" s="314">
        <f t="shared" si="2"/>
        <v>104.00240384615384</v>
      </c>
    </row>
    <row r="20" spans="1:14" ht="39.25" customHeight="1" outlineLevel="4" x14ac:dyDescent="0.3">
      <c r="A20" s="213" t="s">
        <v>748</v>
      </c>
      <c r="B20" s="214" t="s">
        <v>454</v>
      </c>
      <c r="C20" s="214" t="s">
        <v>24</v>
      </c>
      <c r="D20" s="293" t="s">
        <v>303</v>
      </c>
      <c r="E20" s="293" t="s">
        <v>6</v>
      </c>
      <c r="F20" s="294">
        <v>37620</v>
      </c>
      <c r="G20" s="237">
        <f t="shared" si="4"/>
        <v>58240</v>
      </c>
      <c r="H20" s="216">
        <f t="shared" si="4"/>
        <v>850</v>
      </c>
      <c r="I20" s="215">
        <f t="shared" si="4"/>
        <v>58240</v>
      </c>
      <c r="J20" s="238">
        <f t="shared" si="4"/>
        <v>60571</v>
      </c>
      <c r="K20" s="331">
        <f t="shared" si="4"/>
        <v>60571</v>
      </c>
      <c r="L20" s="313">
        <f t="shared" si="0"/>
        <v>0</v>
      </c>
      <c r="M20" s="314">
        <f t="shared" si="1"/>
        <v>104.00240384615385</v>
      </c>
      <c r="N20" s="314">
        <f t="shared" si="2"/>
        <v>104.00240384615384</v>
      </c>
    </row>
    <row r="21" spans="1:14" outlineLevel="5" x14ac:dyDescent="0.3">
      <c r="A21" s="225" t="s">
        <v>309</v>
      </c>
      <c r="B21" s="214" t="s">
        <v>454</v>
      </c>
      <c r="C21" s="214" t="s">
        <v>24</v>
      </c>
      <c r="D21" s="293" t="s">
        <v>304</v>
      </c>
      <c r="E21" s="293" t="s">
        <v>6</v>
      </c>
      <c r="F21" s="294">
        <v>37620</v>
      </c>
      <c r="G21" s="237">
        <f t="shared" si="4"/>
        <v>58240</v>
      </c>
      <c r="H21" s="216">
        <f t="shared" si="4"/>
        <v>850</v>
      </c>
      <c r="I21" s="215">
        <f t="shared" si="4"/>
        <v>58240</v>
      </c>
      <c r="J21" s="238">
        <f t="shared" si="4"/>
        <v>60571</v>
      </c>
      <c r="K21" s="331">
        <f t="shared" si="4"/>
        <v>60571</v>
      </c>
      <c r="L21" s="313">
        <f t="shared" si="0"/>
        <v>0</v>
      </c>
      <c r="M21" s="314">
        <f t="shared" si="1"/>
        <v>104.00240384615385</v>
      </c>
      <c r="N21" s="314">
        <f t="shared" si="2"/>
        <v>104.00240384615384</v>
      </c>
    </row>
    <row r="22" spans="1:14" ht="34" outlineLevel="6" x14ac:dyDescent="0.3">
      <c r="A22" s="213" t="s">
        <v>15</v>
      </c>
      <c r="B22" s="214" t="s">
        <v>454</v>
      </c>
      <c r="C22" s="214" t="s">
        <v>24</v>
      </c>
      <c r="D22" s="293" t="s">
        <v>304</v>
      </c>
      <c r="E22" s="293" t="s">
        <v>16</v>
      </c>
      <c r="F22" s="294">
        <v>37620</v>
      </c>
      <c r="G22" s="237">
        <f t="shared" si="4"/>
        <v>58240</v>
      </c>
      <c r="H22" s="216">
        <f t="shared" si="4"/>
        <v>850</v>
      </c>
      <c r="I22" s="215">
        <f t="shared" si="4"/>
        <v>58240</v>
      </c>
      <c r="J22" s="238">
        <f t="shared" si="4"/>
        <v>60571</v>
      </c>
      <c r="K22" s="331">
        <f t="shared" si="4"/>
        <v>60571</v>
      </c>
      <c r="L22" s="313">
        <f t="shared" si="0"/>
        <v>0</v>
      </c>
      <c r="M22" s="314">
        <f t="shared" si="1"/>
        <v>104.00240384615385</v>
      </c>
      <c r="N22" s="314">
        <f t="shared" si="2"/>
        <v>104.00240384615384</v>
      </c>
    </row>
    <row r="23" spans="1:14" ht="19.55" customHeight="1" outlineLevel="7" x14ac:dyDescent="0.3">
      <c r="A23" s="213" t="s">
        <v>17</v>
      </c>
      <c r="B23" s="214" t="s">
        <v>454</v>
      </c>
      <c r="C23" s="214" t="s">
        <v>24</v>
      </c>
      <c r="D23" s="293" t="s">
        <v>304</v>
      </c>
      <c r="E23" s="293" t="s">
        <v>18</v>
      </c>
      <c r="F23" s="294">
        <v>37620</v>
      </c>
      <c r="G23" s="238">
        <v>58240</v>
      </c>
      <c r="H23" s="166">
        <v>850</v>
      </c>
      <c r="I23" s="217">
        <f>'[2]прил 12'!F30</f>
        <v>58240</v>
      </c>
      <c r="J23" s="238">
        <v>60571</v>
      </c>
      <c r="K23" s="331">
        <v>60571</v>
      </c>
      <c r="L23" s="313">
        <f t="shared" si="0"/>
        <v>0</v>
      </c>
      <c r="M23" s="314">
        <f t="shared" si="1"/>
        <v>104.00240384615385</v>
      </c>
      <c r="N23" s="314">
        <f t="shared" si="2"/>
        <v>104.00240384615384</v>
      </c>
    </row>
    <row r="24" spans="1:14" s="224" customFormat="1" ht="36.700000000000003" customHeight="1" outlineLevel="7" x14ac:dyDescent="0.3">
      <c r="A24" s="226" t="s">
        <v>723</v>
      </c>
      <c r="B24" s="220" t="s">
        <v>454</v>
      </c>
      <c r="C24" s="214" t="s">
        <v>24</v>
      </c>
      <c r="D24" s="295" t="s">
        <v>305</v>
      </c>
      <c r="E24" s="295" t="s">
        <v>6</v>
      </c>
      <c r="F24" s="296">
        <v>473089</v>
      </c>
      <c r="G24" s="272">
        <f t="shared" ref="G24:K27" si="5">G25</f>
        <v>477216</v>
      </c>
      <c r="H24" s="227">
        <f t="shared" si="5"/>
        <v>42544</v>
      </c>
      <c r="I24" s="223">
        <f t="shared" si="5"/>
        <v>477216</v>
      </c>
      <c r="J24" s="272">
        <f t="shared" si="5"/>
        <v>1097216</v>
      </c>
      <c r="K24" s="332">
        <f t="shared" si="5"/>
        <v>547216</v>
      </c>
      <c r="L24" s="313">
        <f t="shared" si="0"/>
        <v>-550000</v>
      </c>
      <c r="M24" s="314">
        <f t="shared" si="1"/>
        <v>229.92020384899081</v>
      </c>
      <c r="N24" s="314">
        <f t="shared" si="2"/>
        <v>114.66841011198284</v>
      </c>
    </row>
    <row r="25" spans="1:14" ht="34" outlineLevel="7" x14ac:dyDescent="0.3">
      <c r="A25" s="225" t="s">
        <v>245</v>
      </c>
      <c r="B25" s="214" t="s">
        <v>454</v>
      </c>
      <c r="C25" s="214" t="s">
        <v>24</v>
      </c>
      <c r="D25" s="293" t="s">
        <v>306</v>
      </c>
      <c r="E25" s="293" t="s">
        <v>6</v>
      </c>
      <c r="F25" s="294">
        <v>473089</v>
      </c>
      <c r="G25" s="238">
        <f t="shared" si="5"/>
        <v>477216</v>
      </c>
      <c r="H25" s="218">
        <f t="shared" si="5"/>
        <v>42544</v>
      </c>
      <c r="I25" s="217">
        <f t="shared" si="5"/>
        <v>477216</v>
      </c>
      <c r="J25" s="238">
        <f t="shared" si="5"/>
        <v>1097216</v>
      </c>
      <c r="K25" s="331">
        <f t="shared" si="5"/>
        <v>547216</v>
      </c>
      <c r="L25" s="313">
        <f t="shared" si="0"/>
        <v>-550000</v>
      </c>
      <c r="M25" s="314">
        <f t="shared" si="1"/>
        <v>229.92020384899081</v>
      </c>
      <c r="N25" s="314">
        <f t="shared" si="2"/>
        <v>114.66841011198284</v>
      </c>
    </row>
    <row r="26" spans="1:14" ht="39.75" customHeight="1" outlineLevel="5" x14ac:dyDescent="0.3">
      <c r="A26" s="213" t="s">
        <v>25</v>
      </c>
      <c r="B26" s="214" t="s">
        <v>454</v>
      </c>
      <c r="C26" s="214" t="s">
        <v>24</v>
      </c>
      <c r="D26" s="293" t="s">
        <v>317</v>
      </c>
      <c r="E26" s="293" t="s">
        <v>6</v>
      </c>
      <c r="F26" s="294">
        <v>473089</v>
      </c>
      <c r="G26" s="237">
        <f t="shared" si="5"/>
        <v>477216</v>
      </c>
      <c r="H26" s="216">
        <f t="shared" si="5"/>
        <v>42544</v>
      </c>
      <c r="I26" s="215">
        <f t="shared" si="5"/>
        <v>477216</v>
      </c>
      <c r="J26" s="238">
        <f t="shared" si="5"/>
        <v>1097216</v>
      </c>
      <c r="K26" s="331">
        <f t="shared" si="5"/>
        <v>547216</v>
      </c>
      <c r="L26" s="313">
        <f t="shared" si="0"/>
        <v>-550000</v>
      </c>
      <c r="M26" s="314">
        <f t="shared" si="1"/>
        <v>229.92020384899081</v>
      </c>
      <c r="N26" s="314">
        <f t="shared" si="2"/>
        <v>114.66841011198284</v>
      </c>
    </row>
    <row r="27" spans="1:14" ht="34" outlineLevel="6" x14ac:dyDescent="0.3">
      <c r="A27" s="213" t="s">
        <v>15</v>
      </c>
      <c r="B27" s="214" t="s">
        <v>454</v>
      </c>
      <c r="C27" s="214" t="s">
        <v>24</v>
      </c>
      <c r="D27" s="293" t="s">
        <v>317</v>
      </c>
      <c r="E27" s="293" t="s">
        <v>16</v>
      </c>
      <c r="F27" s="294">
        <v>473089</v>
      </c>
      <c r="G27" s="237">
        <f t="shared" si="5"/>
        <v>477216</v>
      </c>
      <c r="H27" s="216">
        <f t="shared" si="5"/>
        <v>42544</v>
      </c>
      <c r="I27" s="215">
        <f t="shared" si="5"/>
        <v>477216</v>
      </c>
      <c r="J27" s="238">
        <f t="shared" si="5"/>
        <v>1097216</v>
      </c>
      <c r="K27" s="331">
        <f t="shared" si="5"/>
        <v>547216</v>
      </c>
      <c r="L27" s="313">
        <f t="shared" si="0"/>
        <v>-550000</v>
      </c>
      <c r="M27" s="314">
        <f t="shared" si="1"/>
        <v>229.92020384899081</v>
      </c>
      <c r="N27" s="314">
        <f t="shared" si="2"/>
        <v>114.66841011198284</v>
      </c>
    </row>
    <row r="28" spans="1:14" ht="21.25" customHeight="1" outlineLevel="7" x14ac:dyDescent="0.3">
      <c r="A28" s="213" t="s">
        <v>17</v>
      </c>
      <c r="B28" s="214" t="s">
        <v>454</v>
      </c>
      <c r="C28" s="214" t="s">
        <v>24</v>
      </c>
      <c r="D28" s="293" t="s">
        <v>317</v>
      </c>
      <c r="E28" s="293" t="s">
        <v>18</v>
      </c>
      <c r="F28" s="294">
        <v>473089</v>
      </c>
      <c r="G28" s="237">
        <v>477216</v>
      </c>
      <c r="H28" s="166">
        <v>42544</v>
      </c>
      <c r="I28" s="215">
        <f>'[2]прил 12'!F35</f>
        <v>477216</v>
      </c>
      <c r="J28" s="238">
        <v>1097216</v>
      </c>
      <c r="K28" s="331">
        <f>1097216-550000</f>
        <v>547216</v>
      </c>
      <c r="L28" s="313">
        <f t="shared" si="0"/>
        <v>-550000</v>
      </c>
      <c r="M28" s="314">
        <f t="shared" si="1"/>
        <v>229.92020384899081</v>
      </c>
      <c r="N28" s="314">
        <f t="shared" si="2"/>
        <v>114.66841011198284</v>
      </c>
    </row>
    <row r="29" spans="1:14" s="212" customFormat="1" ht="34" x14ac:dyDescent="0.3">
      <c r="A29" s="209" t="s">
        <v>27</v>
      </c>
      <c r="B29" s="210" t="s">
        <v>455</v>
      </c>
      <c r="C29" s="210" t="s">
        <v>5</v>
      </c>
      <c r="D29" s="291" t="s">
        <v>126</v>
      </c>
      <c r="E29" s="291" t="s">
        <v>6</v>
      </c>
      <c r="F29" s="292">
        <v>434475577.67000002</v>
      </c>
      <c r="G29" s="271">
        <f>G30+G162+G172+G228+G333+G349+G370+G421+G505+G457+G183</f>
        <v>397058855.15000004</v>
      </c>
      <c r="H29" s="167">
        <v>262532003.14999998</v>
      </c>
      <c r="I29" s="211">
        <f>I30+I162+I172+I228+I333+I349+I370+I421+I505+I457+I183</f>
        <v>297512184.63</v>
      </c>
      <c r="J29" s="271">
        <f>J30+J162+J172+J228+J333+J349+J370+J421+J505+J457+J183</f>
        <v>372952838.86000001</v>
      </c>
      <c r="K29" s="329">
        <f>K30+K162+K172+K228+K333+K349+K370+K421+K505+K457+K183</f>
        <v>359088350.92000002</v>
      </c>
      <c r="L29" s="313">
        <f t="shared" si="0"/>
        <v>-13864487.939999998</v>
      </c>
      <c r="M29" s="314">
        <f t="shared" si="1"/>
        <v>93.928855640080528</v>
      </c>
      <c r="N29" s="314">
        <f t="shared" si="2"/>
        <v>90.437058955490215</v>
      </c>
    </row>
    <row r="30" spans="1:14" s="224" customFormat="1" outlineLevel="1" x14ac:dyDescent="0.3">
      <c r="A30" s="219" t="s">
        <v>7</v>
      </c>
      <c r="B30" s="220" t="s">
        <v>455</v>
      </c>
      <c r="C30" s="220" t="s">
        <v>8</v>
      </c>
      <c r="D30" s="295" t="s">
        <v>126</v>
      </c>
      <c r="E30" s="295" t="s">
        <v>6</v>
      </c>
      <c r="F30" s="294">
        <v>94220120.439999998</v>
      </c>
      <c r="G30" s="273">
        <f>G31+G36+G43+G49+G59+G54</f>
        <v>109419536.78</v>
      </c>
      <c r="H30" s="166">
        <v>77521805.720000014</v>
      </c>
      <c r="I30" s="221">
        <f>I31+I36+I43+I49+I59+I54</f>
        <v>98730538.969999999</v>
      </c>
      <c r="J30" s="273">
        <f>J31+J36+J43+J49+J59+J54</f>
        <v>123081897</v>
      </c>
      <c r="K30" s="333">
        <f>K31+K36+K43+K49+K59+K54</f>
        <v>114949289</v>
      </c>
      <c r="L30" s="313">
        <f t="shared" si="0"/>
        <v>-8132608</v>
      </c>
      <c r="M30" s="314">
        <f t="shared" si="1"/>
        <v>112.48621646742086</v>
      </c>
      <c r="N30" s="314">
        <f t="shared" si="2"/>
        <v>105.05371561855372</v>
      </c>
    </row>
    <row r="31" spans="1:14" ht="38.9" customHeight="1" outlineLevel="2" x14ac:dyDescent="0.3">
      <c r="A31" s="213" t="s">
        <v>28</v>
      </c>
      <c r="B31" s="214" t="s">
        <v>455</v>
      </c>
      <c r="C31" s="214" t="s">
        <v>29</v>
      </c>
      <c r="D31" s="293" t="s">
        <v>126</v>
      </c>
      <c r="E31" s="293" t="s">
        <v>6</v>
      </c>
      <c r="F31" s="294">
        <v>2580816.7200000002</v>
      </c>
      <c r="G31" s="237">
        <f t="shared" ref="G31:K34" si="6">G32</f>
        <v>2681000</v>
      </c>
      <c r="H31" s="166">
        <v>2133514.06</v>
      </c>
      <c r="I31" s="215">
        <f t="shared" si="6"/>
        <v>2846266</v>
      </c>
      <c r="J31" s="237">
        <f t="shared" si="6"/>
        <v>3046120</v>
      </c>
      <c r="K31" s="330">
        <f t="shared" si="6"/>
        <v>3046120</v>
      </c>
      <c r="L31" s="313">
        <f t="shared" si="0"/>
        <v>0</v>
      </c>
      <c r="M31" s="314">
        <f t="shared" si="1"/>
        <v>113.61879895561357</v>
      </c>
      <c r="N31" s="314">
        <f t="shared" si="2"/>
        <v>113.61879895561357</v>
      </c>
    </row>
    <row r="32" spans="1:14" ht="34" outlineLevel="3" x14ac:dyDescent="0.3">
      <c r="A32" s="213" t="s">
        <v>132</v>
      </c>
      <c r="B32" s="214" t="s">
        <v>455</v>
      </c>
      <c r="C32" s="214" t="s">
        <v>29</v>
      </c>
      <c r="D32" s="293" t="s">
        <v>127</v>
      </c>
      <c r="E32" s="293" t="s">
        <v>6</v>
      </c>
      <c r="F32" s="294">
        <v>2580816.7200000002</v>
      </c>
      <c r="G32" s="237">
        <f t="shared" si="6"/>
        <v>2681000</v>
      </c>
      <c r="H32" s="216">
        <f t="shared" si="6"/>
        <v>2133514.06</v>
      </c>
      <c r="I32" s="215">
        <f t="shared" si="6"/>
        <v>2846266</v>
      </c>
      <c r="J32" s="237">
        <f t="shared" si="6"/>
        <v>3046120</v>
      </c>
      <c r="K32" s="330">
        <f t="shared" si="6"/>
        <v>3046120</v>
      </c>
      <c r="L32" s="313">
        <f t="shared" si="0"/>
        <v>0</v>
      </c>
      <c r="M32" s="314">
        <f t="shared" si="1"/>
        <v>113.61879895561357</v>
      </c>
      <c r="N32" s="314">
        <f t="shared" si="2"/>
        <v>113.61879895561357</v>
      </c>
    </row>
    <row r="33" spans="1:14" outlineLevel="5" x14ac:dyDescent="0.3">
      <c r="A33" s="213" t="s">
        <v>451</v>
      </c>
      <c r="B33" s="214" t="s">
        <v>455</v>
      </c>
      <c r="C33" s="214" t="s">
        <v>29</v>
      </c>
      <c r="D33" s="293" t="s">
        <v>452</v>
      </c>
      <c r="E33" s="293" t="s">
        <v>6</v>
      </c>
      <c r="F33" s="294">
        <v>2580816.7200000002</v>
      </c>
      <c r="G33" s="237">
        <f t="shared" si="6"/>
        <v>2681000</v>
      </c>
      <c r="H33" s="216">
        <f t="shared" si="6"/>
        <v>2133514.06</v>
      </c>
      <c r="I33" s="215">
        <f t="shared" si="6"/>
        <v>2846266</v>
      </c>
      <c r="J33" s="237">
        <f t="shared" si="6"/>
        <v>3046120</v>
      </c>
      <c r="K33" s="330">
        <f t="shared" si="6"/>
        <v>3046120</v>
      </c>
      <c r="L33" s="313">
        <f t="shared" si="0"/>
        <v>0</v>
      </c>
      <c r="M33" s="314">
        <f t="shared" si="1"/>
        <v>113.61879895561357</v>
      </c>
      <c r="N33" s="314">
        <f t="shared" si="2"/>
        <v>113.61879895561357</v>
      </c>
    </row>
    <row r="34" spans="1:14" ht="69.45" customHeight="1" outlineLevel="6" x14ac:dyDescent="0.3">
      <c r="A34" s="213" t="s">
        <v>11</v>
      </c>
      <c r="B34" s="214" t="s">
        <v>455</v>
      </c>
      <c r="C34" s="214" t="s">
        <v>29</v>
      </c>
      <c r="D34" s="293" t="s">
        <v>452</v>
      </c>
      <c r="E34" s="293" t="s">
        <v>12</v>
      </c>
      <c r="F34" s="294">
        <v>2580816.7200000002</v>
      </c>
      <c r="G34" s="237">
        <f t="shared" si="6"/>
        <v>2681000</v>
      </c>
      <c r="H34" s="166">
        <v>2133514.06</v>
      </c>
      <c r="I34" s="215">
        <f t="shared" si="6"/>
        <v>2846266</v>
      </c>
      <c r="J34" s="237">
        <f t="shared" si="6"/>
        <v>3046120</v>
      </c>
      <c r="K34" s="330">
        <f t="shared" si="6"/>
        <v>3046120</v>
      </c>
      <c r="L34" s="313">
        <f t="shared" si="0"/>
        <v>0</v>
      </c>
      <c r="M34" s="314">
        <f t="shared" si="1"/>
        <v>113.61879895561357</v>
      </c>
      <c r="N34" s="314">
        <f t="shared" si="2"/>
        <v>113.61879895561357</v>
      </c>
    </row>
    <row r="35" spans="1:14" ht="34" outlineLevel="7" x14ac:dyDescent="0.3">
      <c r="A35" s="213" t="s">
        <v>13</v>
      </c>
      <c r="B35" s="214" t="s">
        <v>455</v>
      </c>
      <c r="C35" s="214" t="s">
        <v>29</v>
      </c>
      <c r="D35" s="293" t="s">
        <v>452</v>
      </c>
      <c r="E35" s="293" t="s">
        <v>14</v>
      </c>
      <c r="F35" s="294">
        <v>2580816.7200000002</v>
      </c>
      <c r="G35" s="237">
        <f>2846266-165266</f>
        <v>2681000</v>
      </c>
      <c r="H35" s="166">
        <v>2133514.06</v>
      </c>
      <c r="I35" s="215">
        <f>'[2]прил 12'!F42</f>
        <v>2846266</v>
      </c>
      <c r="J35" s="238">
        <v>3046120</v>
      </c>
      <c r="K35" s="331">
        <v>3046120</v>
      </c>
      <c r="L35" s="313">
        <f t="shared" si="0"/>
        <v>0</v>
      </c>
      <c r="M35" s="314">
        <f t="shared" si="1"/>
        <v>113.61879895561357</v>
      </c>
      <c r="N35" s="314">
        <f t="shared" si="2"/>
        <v>113.61879895561357</v>
      </c>
    </row>
    <row r="36" spans="1:14" ht="57.75" customHeight="1" outlineLevel="2" x14ac:dyDescent="0.3">
      <c r="A36" s="213" t="s">
        <v>30</v>
      </c>
      <c r="B36" s="214" t="s">
        <v>455</v>
      </c>
      <c r="C36" s="214" t="s">
        <v>31</v>
      </c>
      <c r="D36" s="293" t="s">
        <v>126</v>
      </c>
      <c r="E36" s="293" t="s">
        <v>6</v>
      </c>
      <c r="F36" s="294">
        <v>20028152.170000002</v>
      </c>
      <c r="G36" s="237">
        <f t="shared" ref="G36:K37" si="7">G37</f>
        <v>21208806</v>
      </c>
      <c r="H36" s="166">
        <v>14506752.189999999</v>
      </c>
      <c r="I36" s="215">
        <f t="shared" si="7"/>
        <v>22524109.440000001</v>
      </c>
      <c r="J36" s="237">
        <f t="shared" si="7"/>
        <v>23294985</v>
      </c>
      <c r="K36" s="330">
        <f t="shared" si="7"/>
        <v>23294985</v>
      </c>
      <c r="L36" s="313">
        <f t="shared" si="0"/>
        <v>0</v>
      </c>
      <c r="M36" s="314">
        <f t="shared" si="1"/>
        <v>109.83638117110412</v>
      </c>
      <c r="N36" s="314">
        <f t="shared" si="2"/>
        <v>109.83638117110412</v>
      </c>
    </row>
    <row r="37" spans="1:14" ht="34" outlineLevel="3" x14ac:dyDescent="0.3">
      <c r="A37" s="213" t="s">
        <v>132</v>
      </c>
      <c r="B37" s="214" t="s">
        <v>455</v>
      </c>
      <c r="C37" s="214" t="s">
        <v>31</v>
      </c>
      <c r="D37" s="293" t="s">
        <v>127</v>
      </c>
      <c r="E37" s="293" t="s">
        <v>6</v>
      </c>
      <c r="F37" s="294">
        <v>20028152.170000002</v>
      </c>
      <c r="G37" s="237">
        <f t="shared" si="7"/>
        <v>21208806</v>
      </c>
      <c r="H37" s="166">
        <v>14506752.189999999</v>
      </c>
      <c r="I37" s="215">
        <f t="shared" si="7"/>
        <v>22524109.440000001</v>
      </c>
      <c r="J37" s="237">
        <f t="shared" si="7"/>
        <v>23294985</v>
      </c>
      <c r="K37" s="330">
        <f t="shared" si="7"/>
        <v>23294985</v>
      </c>
      <c r="L37" s="313">
        <f t="shared" si="0"/>
        <v>0</v>
      </c>
      <c r="M37" s="314">
        <f t="shared" si="1"/>
        <v>109.83638117110412</v>
      </c>
      <c r="N37" s="314">
        <f t="shared" si="2"/>
        <v>109.83638117110412</v>
      </c>
    </row>
    <row r="38" spans="1:14" ht="57.25" customHeight="1" outlineLevel="5" x14ac:dyDescent="0.3">
      <c r="A38" s="213" t="s">
        <v>449</v>
      </c>
      <c r="B38" s="214" t="s">
        <v>455</v>
      </c>
      <c r="C38" s="214" t="s">
        <v>31</v>
      </c>
      <c r="D38" s="293" t="s">
        <v>450</v>
      </c>
      <c r="E38" s="293" t="s">
        <v>6</v>
      </c>
      <c r="F38" s="294">
        <v>20028152.170000002</v>
      </c>
      <c r="G38" s="237">
        <f>G39+G41</f>
        <v>21208806</v>
      </c>
      <c r="H38" s="166">
        <v>14506752.189999999</v>
      </c>
      <c r="I38" s="215">
        <f>I39+I41</f>
        <v>22524109.440000001</v>
      </c>
      <c r="J38" s="237">
        <f>J39+J41</f>
        <v>23294985</v>
      </c>
      <c r="K38" s="330">
        <f>K39+K41</f>
        <v>23294985</v>
      </c>
      <c r="L38" s="313">
        <f t="shared" si="0"/>
        <v>0</v>
      </c>
      <c r="M38" s="314">
        <f t="shared" si="1"/>
        <v>109.83638117110412</v>
      </c>
      <c r="N38" s="314">
        <f t="shared" si="2"/>
        <v>109.83638117110412</v>
      </c>
    </row>
    <row r="39" spans="1:14" ht="76.099999999999994" customHeight="1" outlineLevel="6" x14ac:dyDescent="0.3">
      <c r="A39" s="213" t="s">
        <v>11</v>
      </c>
      <c r="B39" s="214" t="s">
        <v>455</v>
      </c>
      <c r="C39" s="214" t="s">
        <v>31</v>
      </c>
      <c r="D39" s="293" t="s">
        <v>450</v>
      </c>
      <c r="E39" s="293" t="s">
        <v>12</v>
      </c>
      <c r="F39" s="294">
        <v>19944570.670000002</v>
      </c>
      <c r="G39" s="237">
        <f>G40</f>
        <v>21116806</v>
      </c>
      <c r="H39" s="166">
        <v>14437454.199999999</v>
      </c>
      <c r="I39" s="215">
        <f>I40</f>
        <v>22432109.440000001</v>
      </c>
      <c r="J39" s="237">
        <f>J40</f>
        <v>23192985</v>
      </c>
      <c r="K39" s="330">
        <f>K40</f>
        <v>23192985</v>
      </c>
      <c r="L39" s="313">
        <f t="shared" si="0"/>
        <v>0</v>
      </c>
      <c r="M39" s="314">
        <f t="shared" si="1"/>
        <v>109.83187987804595</v>
      </c>
      <c r="N39" s="314">
        <f t="shared" si="2"/>
        <v>109.83187987804595</v>
      </c>
    </row>
    <row r="40" spans="1:14" ht="34" outlineLevel="7" x14ac:dyDescent="0.3">
      <c r="A40" s="213" t="s">
        <v>13</v>
      </c>
      <c r="B40" s="214" t="s">
        <v>455</v>
      </c>
      <c r="C40" s="214" t="s">
        <v>31</v>
      </c>
      <c r="D40" s="293" t="s">
        <v>450</v>
      </c>
      <c r="E40" s="293" t="s">
        <v>14</v>
      </c>
      <c r="F40" s="294">
        <v>19944570.670000002</v>
      </c>
      <c r="G40" s="238">
        <f>[2]потребность!I47+165266-617796</f>
        <v>21116806</v>
      </c>
      <c r="H40" s="166">
        <v>14437454.199999999</v>
      </c>
      <c r="I40" s="217">
        <f>'[2]прил 12'!F47</f>
        <v>22432109.440000001</v>
      </c>
      <c r="J40" s="238">
        <f>23192985</f>
        <v>23192985</v>
      </c>
      <c r="K40" s="331">
        <f>23192985+683511-683511</f>
        <v>23192985</v>
      </c>
      <c r="L40" s="313">
        <f t="shared" si="0"/>
        <v>0</v>
      </c>
      <c r="M40" s="314">
        <f t="shared" si="1"/>
        <v>109.83187987804595</v>
      </c>
      <c r="N40" s="314">
        <f t="shared" si="2"/>
        <v>109.83187987804595</v>
      </c>
    </row>
    <row r="41" spans="1:14" ht="34" outlineLevel="6" x14ac:dyDescent="0.3">
      <c r="A41" s="213" t="s">
        <v>15</v>
      </c>
      <c r="B41" s="214" t="s">
        <v>455</v>
      </c>
      <c r="C41" s="214" t="s">
        <v>31</v>
      </c>
      <c r="D41" s="293" t="s">
        <v>450</v>
      </c>
      <c r="E41" s="293" t="s">
        <v>16</v>
      </c>
      <c r="F41" s="294">
        <v>83581.5</v>
      </c>
      <c r="G41" s="237">
        <f>G42</f>
        <v>92000</v>
      </c>
      <c r="H41" s="166">
        <v>69297.990000000005</v>
      </c>
      <c r="I41" s="215">
        <f>I42</f>
        <v>92000</v>
      </c>
      <c r="J41" s="237">
        <f>J42</f>
        <v>102000</v>
      </c>
      <c r="K41" s="330">
        <f>K42</f>
        <v>102000</v>
      </c>
      <c r="L41" s="313">
        <f t="shared" si="0"/>
        <v>0</v>
      </c>
      <c r="M41" s="314">
        <f t="shared" si="1"/>
        <v>110.8695652173913</v>
      </c>
      <c r="N41" s="314">
        <f t="shared" si="2"/>
        <v>110.86956521739131</v>
      </c>
    </row>
    <row r="42" spans="1:14" ht="21.25" customHeight="1" outlineLevel="7" x14ac:dyDescent="0.3">
      <c r="A42" s="213" t="s">
        <v>17</v>
      </c>
      <c r="B42" s="214" t="s">
        <v>455</v>
      </c>
      <c r="C42" s="214" t="s">
        <v>31</v>
      </c>
      <c r="D42" s="293" t="s">
        <v>450</v>
      </c>
      <c r="E42" s="293" t="s">
        <v>18</v>
      </c>
      <c r="F42" s="294">
        <v>83581.5</v>
      </c>
      <c r="G42" s="238">
        <v>92000</v>
      </c>
      <c r="H42" s="166">
        <v>69297.990000000005</v>
      </c>
      <c r="I42" s="217">
        <f>'[2]прил 12'!F49</f>
        <v>92000</v>
      </c>
      <c r="J42" s="238">
        <v>102000</v>
      </c>
      <c r="K42" s="331">
        <v>102000</v>
      </c>
      <c r="L42" s="313">
        <f t="shared" si="0"/>
        <v>0</v>
      </c>
      <c r="M42" s="314">
        <f t="shared" si="1"/>
        <v>110.8695652173913</v>
      </c>
      <c r="N42" s="314">
        <f t="shared" si="2"/>
        <v>110.86956521739131</v>
      </c>
    </row>
    <row r="43" spans="1:14" outlineLevel="7" x14ac:dyDescent="0.3">
      <c r="A43" s="213" t="s">
        <v>254</v>
      </c>
      <c r="B43" s="214" t="s">
        <v>455</v>
      </c>
      <c r="C43" s="214" t="s">
        <v>255</v>
      </c>
      <c r="D43" s="293" t="s">
        <v>126</v>
      </c>
      <c r="E43" s="293" t="s">
        <v>6</v>
      </c>
      <c r="F43" s="294">
        <v>5100</v>
      </c>
      <c r="G43" s="238">
        <f>G44</f>
        <v>219244</v>
      </c>
      <c r="H43" s="166">
        <v>183414</v>
      </c>
      <c r="I43" s="217">
        <f>I44</f>
        <v>13010</v>
      </c>
      <c r="J43" s="238">
        <f>J44</f>
        <v>12402</v>
      </c>
      <c r="K43" s="331">
        <f>K44</f>
        <v>12402</v>
      </c>
      <c r="L43" s="313">
        <f t="shared" si="0"/>
        <v>0</v>
      </c>
      <c r="M43" s="314">
        <f t="shared" si="1"/>
        <v>5.6567112440933389</v>
      </c>
      <c r="N43" s="314">
        <f t="shared" si="2"/>
        <v>5.6567112440933389</v>
      </c>
    </row>
    <row r="44" spans="1:14" ht="34" outlineLevel="7" x14ac:dyDescent="0.3">
      <c r="A44" s="213" t="s">
        <v>132</v>
      </c>
      <c r="B44" s="214" t="s">
        <v>455</v>
      </c>
      <c r="C44" s="214" t="s">
        <v>255</v>
      </c>
      <c r="D44" s="293" t="s">
        <v>127</v>
      </c>
      <c r="E44" s="293" t="s">
        <v>6</v>
      </c>
      <c r="F44" s="294">
        <v>5100</v>
      </c>
      <c r="G44" s="238">
        <f>G46</f>
        <v>219244</v>
      </c>
      <c r="H44" s="166">
        <v>183414</v>
      </c>
      <c r="I44" s="217">
        <f t="shared" ref="I44:K47" si="8">I45</f>
        <v>13010</v>
      </c>
      <c r="J44" s="238">
        <f t="shared" si="8"/>
        <v>12402</v>
      </c>
      <c r="K44" s="331">
        <f t="shared" si="8"/>
        <v>12402</v>
      </c>
      <c r="L44" s="313">
        <f t="shared" si="0"/>
        <v>0</v>
      </c>
      <c r="M44" s="314">
        <f t="shared" si="1"/>
        <v>5.6567112440933389</v>
      </c>
      <c r="N44" s="314">
        <f t="shared" si="2"/>
        <v>5.6567112440933389</v>
      </c>
    </row>
    <row r="45" spans="1:14" outlineLevel="7" x14ac:dyDescent="0.3">
      <c r="A45" s="213" t="s">
        <v>269</v>
      </c>
      <c r="B45" s="214" t="s">
        <v>455</v>
      </c>
      <c r="C45" s="214" t="s">
        <v>255</v>
      </c>
      <c r="D45" s="293" t="s">
        <v>268</v>
      </c>
      <c r="E45" s="293" t="s">
        <v>6</v>
      </c>
      <c r="F45" s="294">
        <v>5100</v>
      </c>
      <c r="G45" s="238">
        <f>G46</f>
        <v>219244</v>
      </c>
      <c r="H45" s="166">
        <v>183414</v>
      </c>
      <c r="I45" s="217">
        <f t="shared" si="8"/>
        <v>13010</v>
      </c>
      <c r="J45" s="238">
        <f t="shared" si="8"/>
        <v>12402</v>
      </c>
      <c r="K45" s="331">
        <f t="shared" si="8"/>
        <v>12402</v>
      </c>
      <c r="L45" s="313">
        <f t="shared" si="0"/>
        <v>0</v>
      </c>
      <c r="M45" s="314">
        <f t="shared" si="1"/>
        <v>5.6567112440933389</v>
      </c>
      <c r="N45" s="314">
        <f t="shared" si="2"/>
        <v>5.6567112440933389</v>
      </c>
    </row>
    <row r="46" spans="1:14" ht="95.3" customHeight="1" outlineLevel="7" x14ac:dyDescent="0.3">
      <c r="A46" s="228" t="s">
        <v>384</v>
      </c>
      <c r="B46" s="214" t="s">
        <v>455</v>
      </c>
      <c r="C46" s="214" t="s">
        <v>255</v>
      </c>
      <c r="D46" s="293" t="s">
        <v>277</v>
      </c>
      <c r="E46" s="293" t="s">
        <v>6</v>
      </c>
      <c r="F46" s="294">
        <v>5100</v>
      </c>
      <c r="G46" s="238">
        <f>G47</f>
        <v>219244</v>
      </c>
      <c r="H46" s="166">
        <v>183414</v>
      </c>
      <c r="I46" s="217">
        <f t="shared" si="8"/>
        <v>13010</v>
      </c>
      <c r="J46" s="238">
        <f t="shared" si="8"/>
        <v>12402</v>
      </c>
      <c r="K46" s="331">
        <f t="shared" si="8"/>
        <v>12402</v>
      </c>
      <c r="L46" s="313">
        <f t="shared" si="0"/>
        <v>0</v>
      </c>
      <c r="M46" s="314">
        <f t="shared" si="1"/>
        <v>5.6567112440933389</v>
      </c>
      <c r="N46" s="314">
        <f t="shared" si="2"/>
        <v>5.6567112440933389</v>
      </c>
    </row>
    <row r="47" spans="1:14" ht="34" outlineLevel="7" x14ac:dyDescent="0.3">
      <c r="A47" s="213" t="s">
        <v>15</v>
      </c>
      <c r="B47" s="214" t="s">
        <v>455</v>
      </c>
      <c r="C47" s="214" t="s">
        <v>255</v>
      </c>
      <c r="D47" s="293" t="s">
        <v>277</v>
      </c>
      <c r="E47" s="293" t="s">
        <v>16</v>
      </c>
      <c r="F47" s="294">
        <v>5100</v>
      </c>
      <c r="G47" s="238">
        <f>G48</f>
        <v>219244</v>
      </c>
      <c r="H47" s="166">
        <v>183414</v>
      </c>
      <c r="I47" s="217">
        <f t="shared" si="8"/>
        <v>13010</v>
      </c>
      <c r="J47" s="238">
        <f t="shared" si="8"/>
        <v>12402</v>
      </c>
      <c r="K47" s="331">
        <f t="shared" si="8"/>
        <v>12402</v>
      </c>
      <c r="L47" s="313">
        <f t="shared" si="0"/>
        <v>0</v>
      </c>
      <c r="M47" s="314">
        <f t="shared" si="1"/>
        <v>5.6567112440933389</v>
      </c>
      <c r="N47" s="314">
        <f t="shared" si="2"/>
        <v>5.6567112440933389</v>
      </c>
    </row>
    <row r="48" spans="1:14" ht="19.55" customHeight="1" outlineLevel="7" x14ac:dyDescent="0.3">
      <c r="A48" s="213" t="s">
        <v>17</v>
      </c>
      <c r="B48" s="214" t="s">
        <v>455</v>
      </c>
      <c r="C48" s="214" t="s">
        <v>255</v>
      </c>
      <c r="D48" s="293" t="s">
        <v>277</v>
      </c>
      <c r="E48" s="293" t="s">
        <v>18</v>
      </c>
      <c r="F48" s="294">
        <v>5100</v>
      </c>
      <c r="G48" s="237">
        <v>219244</v>
      </c>
      <c r="H48" s="166">
        <v>183414</v>
      </c>
      <c r="I48" s="215">
        <v>13010</v>
      </c>
      <c r="J48" s="238">
        <v>12402</v>
      </c>
      <c r="K48" s="331">
        <v>12402</v>
      </c>
      <c r="L48" s="313">
        <f t="shared" si="0"/>
        <v>0</v>
      </c>
      <c r="M48" s="314">
        <f t="shared" si="1"/>
        <v>5.6567112440933389</v>
      </c>
      <c r="N48" s="314">
        <f t="shared" si="2"/>
        <v>5.6567112440933389</v>
      </c>
    </row>
    <row r="49" spans="1:14" ht="36.700000000000003" customHeight="1" outlineLevel="2" x14ac:dyDescent="0.3">
      <c r="A49" s="213" t="s">
        <v>9</v>
      </c>
      <c r="B49" s="214" t="s">
        <v>455</v>
      </c>
      <c r="C49" s="214" t="s">
        <v>10</v>
      </c>
      <c r="D49" s="293" t="s">
        <v>126</v>
      </c>
      <c r="E49" s="293" t="s">
        <v>6</v>
      </c>
      <c r="F49" s="294">
        <v>703771.03</v>
      </c>
      <c r="G49" s="237">
        <f t="shared" ref="G49:K52" si="9">G50</f>
        <v>799829</v>
      </c>
      <c r="H49" s="166">
        <v>493755.27</v>
      </c>
      <c r="I49" s="215">
        <f t="shared" si="9"/>
        <v>825175</v>
      </c>
      <c r="J49" s="237">
        <f t="shared" si="9"/>
        <v>845370</v>
      </c>
      <c r="K49" s="330">
        <f t="shared" si="9"/>
        <v>845370</v>
      </c>
      <c r="L49" s="313">
        <f t="shared" si="0"/>
        <v>0</v>
      </c>
      <c r="M49" s="314">
        <f t="shared" si="1"/>
        <v>105.69384205874006</v>
      </c>
      <c r="N49" s="314">
        <f t="shared" si="2"/>
        <v>105.69384205874006</v>
      </c>
    </row>
    <row r="50" spans="1:14" ht="34" outlineLevel="4" x14ac:dyDescent="0.3">
      <c r="A50" s="213" t="s">
        <v>132</v>
      </c>
      <c r="B50" s="214" t="s">
        <v>455</v>
      </c>
      <c r="C50" s="214" t="s">
        <v>10</v>
      </c>
      <c r="D50" s="293" t="s">
        <v>127</v>
      </c>
      <c r="E50" s="293" t="s">
        <v>6</v>
      </c>
      <c r="F50" s="294">
        <v>703771.03</v>
      </c>
      <c r="G50" s="237">
        <f t="shared" si="9"/>
        <v>799829</v>
      </c>
      <c r="H50" s="166">
        <v>493755.27</v>
      </c>
      <c r="I50" s="215">
        <f t="shared" si="9"/>
        <v>825175</v>
      </c>
      <c r="J50" s="237">
        <f t="shared" si="9"/>
        <v>845370</v>
      </c>
      <c r="K50" s="330">
        <f t="shared" si="9"/>
        <v>845370</v>
      </c>
      <c r="L50" s="313">
        <f t="shared" si="0"/>
        <v>0</v>
      </c>
      <c r="M50" s="314">
        <f t="shared" si="1"/>
        <v>105.69384205874006</v>
      </c>
      <c r="N50" s="314">
        <f t="shared" si="2"/>
        <v>105.69384205874006</v>
      </c>
    </row>
    <row r="51" spans="1:14" ht="34" outlineLevel="5" x14ac:dyDescent="0.3">
      <c r="A51" s="213" t="s">
        <v>453</v>
      </c>
      <c r="B51" s="214" t="s">
        <v>455</v>
      </c>
      <c r="C51" s="214" t="s">
        <v>10</v>
      </c>
      <c r="D51" s="293" t="s">
        <v>491</v>
      </c>
      <c r="E51" s="293" t="s">
        <v>6</v>
      </c>
      <c r="F51" s="294">
        <v>703771.03</v>
      </c>
      <c r="G51" s="237">
        <f t="shared" si="9"/>
        <v>799829</v>
      </c>
      <c r="H51" s="166">
        <v>493755.27</v>
      </c>
      <c r="I51" s="215">
        <f t="shared" si="9"/>
        <v>825175</v>
      </c>
      <c r="J51" s="237">
        <f t="shared" si="9"/>
        <v>845370</v>
      </c>
      <c r="K51" s="330">
        <f t="shared" si="9"/>
        <v>845370</v>
      </c>
      <c r="L51" s="313">
        <f t="shared" si="0"/>
        <v>0</v>
      </c>
      <c r="M51" s="314">
        <f t="shared" si="1"/>
        <v>105.69384205874006</v>
      </c>
      <c r="N51" s="314">
        <f t="shared" si="2"/>
        <v>105.69384205874006</v>
      </c>
    </row>
    <row r="52" spans="1:14" ht="84.9" outlineLevel="6" x14ac:dyDescent="0.3">
      <c r="A52" s="213" t="s">
        <v>11</v>
      </c>
      <c r="B52" s="214" t="s">
        <v>455</v>
      </c>
      <c r="C52" s="214" t="s">
        <v>10</v>
      </c>
      <c r="D52" s="293" t="s">
        <v>491</v>
      </c>
      <c r="E52" s="293" t="s">
        <v>12</v>
      </c>
      <c r="F52" s="294">
        <v>703771.03</v>
      </c>
      <c r="G52" s="237">
        <f t="shared" si="9"/>
        <v>799829</v>
      </c>
      <c r="H52" s="166">
        <v>493755.27</v>
      </c>
      <c r="I52" s="215">
        <f t="shared" si="9"/>
        <v>825175</v>
      </c>
      <c r="J52" s="237">
        <f t="shared" si="9"/>
        <v>845370</v>
      </c>
      <c r="K52" s="330">
        <f t="shared" si="9"/>
        <v>845370</v>
      </c>
      <c r="L52" s="313">
        <f t="shared" si="0"/>
        <v>0</v>
      </c>
      <c r="M52" s="314">
        <f t="shared" si="1"/>
        <v>105.69384205874006</v>
      </c>
      <c r="N52" s="314">
        <f t="shared" si="2"/>
        <v>105.69384205874006</v>
      </c>
    </row>
    <row r="53" spans="1:14" ht="34" outlineLevel="7" x14ac:dyDescent="0.3">
      <c r="A53" s="213" t="s">
        <v>13</v>
      </c>
      <c r="B53" s="214" t="s">
        <v>455</v>
      </c>
      <c r="C53" s="214" t="s">
        <v>10</v>
      </c>
      <c r="D53" s="293" t="s">
        <v>491</v>
      </c>
      <c r="E53" s="293" t="s">
        <v>14</v>
      </c>
      <c r="F53" s="294">
        <v>703771.03</v>
      </c>
      <c r="G53" s="237">
        <f>825175-25346</f>
        <v>799829</v>
      </c>
      <c r="H53" s="166">
        <v>493755.27</v>
      </c>
      <c r="I53" s="215">
        <f>'[2]прил 12'!F60</f>
        <v>825175</v>
      </c>
      <c r="J53" s="238">
        <v>845370</v>
      </c>
      <c r="K53" s="331">
        <v>845370</v>
      </c>
      <c r="L53" s="313">
        <f t="shared" si="0"/>
        <v>0</v>
      </c>
      <c r="M53" s="314">
        <f t="shared" si="1"/>
        <v>105.69384205874006</v>
      </c>
      <c r="N53" s="314">
        <f t="shared" si="2"/>
        <v>105.69384205874006</v>
      </c>
    </row>
    <row r="54" spans="1:14" outlineLevel="7" x14ac:dyDescent="0.3">
      <c r="A54" s="213" t="s">
        <v>630</v>
      </c>
      <c r="B54" s="214" t="s">
        <v>455</v>
      </c>
      <c r="C54" s="214" t="s">
        <v>627</v>
      </c>
      <c r="D54" s="293" t="s">
        <v>126</v>
      </c>
      <c r="E54" s="293" t="s">
        <v>6</v>
      </c>
      <c r="F54" s="294">
        <v>0</v>
      </c>
      <c r="G54" s="237">
        <f t="shared" ref="G54:K57" si="10">G55</f>
        <v>2187954.4500000002</v>
      </c>
      <c r="H54" s="166"/>
      <c r="I54" s="215">
        <f t="shared" si="10"/>
        <v>0</v>
      </c>
      <c r="J54" s="237">
        <f t="shared" si="10"/>
        <v>12000000</v>
      </c>
      <c r="K54" s="330">
        <f t="shared" si="10"/>
        <v>12000000</v>
      </c>
      <c r="L54" s="313">
        <f t="shared" si="0"/>
        <v>0</v>
      </c>
      <c r="M54" s="314">
        <f t="shared" si="1"/>
        <v>548.4574873119501</v>
      </c>
      <c r="N54" s="314">
        <f t="shared" si="2"/>
        <v>548.4574873119501</v>
      </c>
    </row>
    <row r="55" spans="1:14" ht="34" outlineLevel="7" x14ac:dyDescent="0.3">
      <c r="A55" s="213" t="s">
        <v>132</v>
      </c>
      <c r="B55" s="214" t="s">
        <v>455</v>
      </c>
      <c r="C55" s="214" t="s">
        <v>627</v>
      </c>
      <c r="D55" s="293" t="s">
        <v>127</v>
      </c>
      <c r="E55" s="293" t="s">
        <v>6</v>
      </c>
      <c r="F55" s="294">
        <v>0</v>
      </c>
      <c r="G55" s="237">
        <f t="shared" si="10"/>
        <v>2187954.4500000002</v>
      </c>
      <c r="H55" s="216"/>
      <c r="I55" s="215">
        <f t="shared" si="10"/>
        <v>0</v>
      </c>
      <c r="J55" s="237">
        <f t="shared" si="10"/>
        <v>12000000</v>
      </c>
      <c r="K55" s="330">
        <f t="shared" si="10"/>
        <v>12000000</v>
      </c>
      <c r="L55" s="313">
        <f t="shared" si="0"/>
        <v>0</v>
      </c>
      <c r="M55" s="314">
        <f t="shared" si="1"/>
        <v>548.4574873119501</v>
      </c>
      <c r="N55" s="314">
        <f t="shared" si="2"/>
        <v>548.4574873119501</v>
      </c>
    </row>
    <row r="56" spans="1:14" ht="34" outlineLevel="7" x14ac:dyDescent="0.3">
      <c r="A56" s="213" t="s">
        <v>480</v>
      </c>
      <c r="B56" s="214" t="s">
        <v>455</v>
      </c>
      <c r="C56" s="214" t="s">
        <v>627</v>
      </c>
      <c r="D56" s="293" t="s">
        <v>493</v>
      </c>
      <c r="E56" s="293" t="s">
        <v>6</v>
      </c>
      <c r="F56" s="294">
        <v>0</v>
      </c>
      <c r="G56" s="237">
        <f t="shared" si="10"/>
        <v>2187954.4500000002</v>
      </c>
      <c r="H56" s="216"/>
      <c r="I56" s="215">
        <f t="shared" si="10"/>
        <v>0</v>
      </c>
      <c r="J56" s="237">
        <f t="shared" si="10"/>
        <v>12000000</v>
      </c>
      <c r="K56" s="330">
        <f t="shared" si="10"/>
        <v>12000000</v>
      </c>
      <c r="L56" s="313">
        <f t="shared" si="0"/>
        <v>0</v>
      </c>
      <c r="M56" s="314">
        <f t="shared" si="1"/>
        <v>548.4574873119501</v>
      </c>
      <c r="N56" s="314">
        <f t="shared" si="2"/>
        <v>548.4574873119501</v>
      </c>
    </row>
    <row r="57" spans="1:14" outlineLevel="7" x14ac:dyDescent="0.3">
      <c r="A57" s="213" t="s">
        <v>19</v>
      </c>
      <c r="B57" s="214" t="s">
        <v>455</v>
      </c>
      <c r="C57" s="214" t="s">
        <v>627</v>
      </c>
      <c r="D57" s="293" t="s">
        <v>493</v>
      </c>
      <c r="E57" s="293" t="s">
        <v>20</v>
      </c>
      <c r="F57" s="294">
        <v>0</v>
      </c>
      <c r="G57" s="237">
        <f t="shared" si="10"/>
        <v>2187954.4500000002</v>
      </c>
      <c r="H57" s="216"/>
      <c r="I57" s="215">
        <f t="shared" si="10"/>
        <v>0</v>
      </c>
      <c r="J57" s="237">
        <f t="shared" si="10"/>
        <v>12000000</v>
      </c>
      <c r="K57" s="330">
        <f t="shared" si="10"/>
        <v>12000000</v>
      </c>
      <c r="L57" s="313">
        <f t="shared" si="0"/>
        <v>0</v>
      </c>
      <c r="M57" s="314">
        <f t="shared" si="1"/>
        <v>548.4574873119501</v>
      </c>
      <c r="N57" s="314">
        <f t="shared" si="2"/>
        <v>548.4574873119501</v>
      </c>
    </row>
    <row r="58" spans="1:14" outlineLevel="7" x14ac:dyDescent="0.3">
      <c r="A58" s="213" t="s">
        <v>628</v>
      </c>
      <c r="B58" s="214" t="s">
        <v>455</v>
      </c>
      <c r="C58" s="214" t="s">
        <v>627</v>
      </c>
      <c r="D58" s="293" t="s">
        <v>493</v>
      </c>
      <c r="E58" s="293" t="s">
        <v>626</v>
      </c>
      <c r="F58" s="294">
        <v>0</v>
      </c>
      <c r="G58" s="237">
        <v>2187954.4500000002</v>
      </c>
      <c r="H58" s="216"/>
      <c r="I58" s="215">
        <v>0</v>
      </c>
      <c r="J58" s="237">
        <v>12000000</v>
      </c>
      <c r="K58" s="330">
        <v>12000000</v>
      </c>
      <c r="L58" s="313">
        <f t="shared" si="0"/>
        <v>0</v>
      </c>
      <c r="M58" s="314">
        <f t="shared" si="1"/>
        <v>548.4574873119501</v>
      </c>
      <c r="N58" s="314">
        <f t="shared" si="2"/>
        <v>548.4574873119501</v>
      </c>
    </row>
    <row r="59" spans="1:14" outlineLevel="2" x14ac:dyDescent="0.3">
      <c r="A59" s="213" t="s">
        <v>23</v>
      </c>
      <c r="B59" s="214" t="s">
        <v>455</v>
      </c>
      <c r="C59" s="214" t="s">
        <v>24</v>
      </c>
      <c r="D59" s="293" t="s">
        <v>126</v>
      </c>
      <c r="E59" s="293" t="s">
        <v>6</v>
      </c>
      <c r="F59" s="294">
        <v>70902280.519999996</v>
      </c>
      <c r="G59" s="237">
        <f>G60+G85+G98+G90+G110+G105</f>
        <v>82322703.329999998</v>
      </c>
      <c r="H59" s="168">
        <v>60204370.20000001</v>
      </c>
      <c r="I59" s="215">
        <f>I60+I85+I98+I90+I110+I105</f>
        <v>72521978.530000001</v>
      </c>
      <c r="J59" s="237">
        <f>J60+J85+J98+J90+J110+J105</f>
        <v>83883020</v>
      </c>
      <c r="K59" s="330">
        <f>K60+K85+K98+K90+K110+K105</f>
        <v>75750412</v>
      </c>
      <c r="L59" s="313">
        <f t="shared" si="0"/>
        <v>-8132608</v>
      </c>
      <c r="M59" s="314">
        <f t="shared" si="1"/>
        <v>101.89536617103704</v>
      </c>
      <c r="N59" s="314">
        <f t="shared" si="2"/>
        <v>92.016429169418529</v>
      </c>
    </row>
    <row r="60" spans="1:14" s="224" customFormat="1" ht="37.549999999999997" customHeight="1" outlineLevel="3" x14ac:dyDescent="0.3">
      <c r="A60" s="219" t="s">
        <v>747</v>
      </c>
      <c r="B60" s="220" t="s">
        <v>455</v>
      </c>
      <c r="C60" s="220" t="s">
        <v>24</v>
      </c>
      <c r="D60" s="295" t="s">
        <v>128</v>
      </c>
      <c r="E60" s="295" t="s">
        <v>6</v>
      </c>
      <c r="F60" s="296">
        <v>22886854.309999999</v>
      </c>
      <c r="G60" s="273">
        <f>G61+G68+G76</f>
        <v>23474335</v>
      </c>
      <c r="H60" s="222">
        <f>H61+H68+H76</f>
        <v>14784021.529999999</v>
      </c>
      <c r="I60" s="221">
        <f>I61+I68+I76</f>
        <v>25030881.030000001</v>
      </c>
      <c r="J60" s="273">
        <f>J61+J68+J76</f>
        <v>26583813</v>
      </c>
      <c r="K60" s="333">
        <f>K61+K68+K76</f>
        <v>24712813</v>
      </c>
      <c r="L60" s="313">
        <f t="shared" si="0"/>
        <v>-1871000</v>
      </c>
      <c r="M60" s="314">
        <f t="shared" si="1"/>
        <v>113.24628791401332</v>
      </c>
      <c r="N60" s="314">
        <f t="shared" si="2"/>
        <v>105.27588108459729</v>
      </c>
    </row>
    <row r="61" spans="1:14" ht="39.25" customHeight="1" outlineLevel="7" x14ac:dyDescent="0.3">
      <c r="A61" s="213" t="s">
        <v>729</v>
      </c>
      <c r="B61" s="214" t="s">
        <v>455</v>
      </c>
      <c r="C61" s="214" t="s">
        <v>24</v>
      </c>
      <c r="D61" s="293" t="s">
        <v>303</v>
      </c>
      <c r="E61" s="293" t="s">
        <v>6</v>
      </c>
      <c r="F61" s="294">
        <v>796387</v>
      </c>
      <c r="G61" s="238">
        <f>G62+G65</f>
        <v>845385</v>
      </c>
      <c r="H61" s="217">
        <f>H62+H65</f>
        <v>20900</v>
      </c>
      <c r="I61" s="217">
        <f>I62+I65</f>
        <v>795385</v>
      </c>
      <c r="J61" s="238">
        <f>J62+J65</f>
        <v>845385</v>
      </c>
      <c r="K61" s="331">
        <f>K62+K65</f>
        <v>845385</v>
      </c>
      <c r="L61" s="313">
        <f t="shared" si="0"/>
        <v>0</v>
      </c>
      <c r="M61" s="314">
        <f t="shared" si="1"/>
        <v>100</v>
      </c>
      <c r="N61" s="314">
        <f t="shared" si="2"/>
        <v>100</v>
      </c>
    </row>
    <row r="62" spans="1:14" outlineLevel="7" x14ac:dyDescent="0.3">
      <c r="A62" s="213" t="s">
        <v>309</v>
      </c>
      <c r="B62" s="214" t="s">
        <v>455</v>
      </c>
      <c r="C62" s="214" t="s">
        <v>24</v>
      </c>
      <c r="D62" s="293" t="s">
        <v>304</v>
      </c>
      <c r="E62" s="293" t="s">
        <v>6</v>
      </c>
      <c r="F62" s="294">
        <v>628897</v>
      </c>
      <c r="G62" s="238">
        <f t="shared" ref="G62:K63" si="11">G63</f>
        <v>745385</v>
      </c>
      <c r="H62" s="217">
        <v>5100</v>
      </c>
      <c r="I62" s="217">
        <f t="shared" si="11"/>
        <v>745385</v>
      </c>
      <c r="J62" s="238">
        <f t="shared" si="11"/>
        <v>745385</v>
      </c>
      <c r="K62" s="331">
        <f t="shared" si="11"/>
        <v>745385</v>
      </c>
      <c r="L62" s="313">
        <f t="shared" si="0"/>
        <v>0</v>
      </c>
      <c r="M62" s="314">
        <f t="shared" si="1"/>
        <v>100</v>
      </c>
      <c r="N62" s="314">
        <f t="shared" si="2"/>
        <v>100</v>
      </c>
    </row>
    <row r="63" spans="1:14" ht="34" outlineLevel="7" x14ac:dyDescent="0.3">
      <c r="A63" s="213" t="s">
        <v>15</v>
      </c>
      <c r="B63" s="214" t="s">
        <v>455</v>
      </c>
      <c r="C63" s="214" t="s">
        <v>24</v>
      </c>
      <c r="D63" s="293" t="s">
        <v>304</v>
      </c>
      <c r="E63" s="293" t="s">
        <v>16</v>
      </c>
      <c r="F63" s="294">
        <v>628897</v>
      </c>
      <c r="G63" s="237">
        <f t="shared" si="11"/>
        <v>745385</v>
      </c>
      <c r="H63" s="169">
        <v>5100</v>
      </c>
      <c r="I63" s="215">
        <f t="shared" si="11"/>
        <v>745385</v>
      </c>
      <c r="J63" s="237">
        <f t="shared" si="11"/>
        <v>745385</v>
      </c>
      <c r="K63" s="330">
        <f t="shared" si="11"/>
        <v>745385</v>
      </c>
      <c r="L63" s="313">
        <f t="shared" si="0"/>
        <v>0</v>
      </c>
      <c r="M63" s="314">
        <f t="shared" si="1"/>
        <v>100</v>
      </c>
      <c r="N63" s="314">
        <f t="shared" si="2"/>
        <v>100</v>
      </c>
    </row>
    <row r="64" spans="1:14" ht="21.25" customHeight="1" outlineLevel="7" x14ac:dyDescent="0.3">
      <c r="A64" s="213" t="s">
        <v>17</v>
      </c>
      <c r="B64" s="214" t="s">
        <v>455</v>
      </c>
      <c r="C64" s="214" t="s">
        <v>24</v>
      </c>
      <c r="D64" s="293" t="s">
        <v>304</v>
      </c>
      <c r="E64" s="293" t="s">
        <v>18</v>
      </c>
      <c r="F64" s="294">
        <v>628897</v>
      </c>
      <c r="G64" s="238">
        <v>745385</v>
      </c>
      <c r="H64" s="169">
        <v>5100</v>
      </c>
      <c r="I64" s="217">
        <f>'[2]прил 12'!F71</f>
        <v>745385</v>
      </c>
      <c r="J64" s="238">
        <v>745385</v>
      </c>
      <c r="K64" s="331">
        <v>745385</v>
      </c>
      <c r="L64" s="313">
        <f t="shared" si="0"/>
        <v>0</v>
      </c>
      <c r="M64" s="314">
        <f t="shared" si="1"/>
        <v>100</v>
      </c>
      <c r="N64" s="314">
        <f t="shared" si="2"/>
        <v>100</v>
      </c>
    </row>
    <row r="65" spans="1:14" outlineLevel="7" x14ac:dyDescent="0.3">
      <c r="A65" s="213" t="s">
        <v>310</v>
      </c>
      <c r="B65" s="214" t="s">
        <v>455</v>
      </c>
      <c r="C65" s="214" t="s">
        <v>24</v>
      </c>
      <c r="D65" s="293" t="s">
        <v>311</v>
      </c>
      <c r="E65" s="293" t="s">
        <v>6</v>
      </c>
      <c r="F65" s="294">
        <v>167490</v>
      </c>
      <c r="G65" s="238">
        <f t="shared" ref="G65:K66" si="12">G66</f>
        <v>100000</v>
      </c>
      <c r="H65" s="169">
        <v>15800</v>
      </c>
      <c r="I65" s="217">
        <f t="shared" si="12"/>
        <v>50000</v>
      </c>
      <c r="J65" s="238">
        <f t="shared" si="12"/>
        <v>100000</v>
      </c>
      <c r="K65" s="331">
        <f t="shared" si="12"/>
        <v>100000</v>
      </c>
      <c r="L65" s="313">
        <f t="shared" si="0"/>
        <v>0</v>
      </c>
      <c r="M65" s="314">
        <f t="shared" si="1"/>
        <v>100</v>
      </c>
      <c r="N65" s="314">
        <f t="shared" si="2"/>
        <v>100</v>
      </c>
    </row>
    <row r="66" spans="1:14" ht="34" outlineLevel="7" x14ac:dyDescent="0.3">
      <c r="A66" s="213" t="s">
        <v>15</v>
      </c>
      <c r="B66" s="214" t="s">
        <v>455</v>
      </c>
      <c r="C66" s="214" t="s">
        <v>24</v>
      </c>
      <c r="D66" s="293" t="s">
        <v>311</v>
      </c>
      <c r="E66" s="293" t="s">
        <v>16</v>
      </c>
      <c r="F66" s="294">
        <v>167490</v>
      </c>
      <c r="G66" s="237">
        <f t="shared" si="12"/>
        <v>100000</v>
      </c>
      <c r="H66" s="169">
        <v>15800</v>
      </c>
      <c r="I66" s="215">
        <f t="shared" si="12"/>
        <v>50000</v>
      </c>
      <c r="J66" s="237">
        <f t="shared" si="12"/>
        <v>100000</v>
      </c>
      <c r="K66" s="330">
        <f t="shared" si="12"/>
        <v>100000</v>
      </c>
      <c r="L66" s="313">
        <f t="shared" si="0"/>
        <v>0</v>
      </c>
      <c r="M66" s="314">
        <f t="shared" si="1"/>
        <v>100</v>
      </c>
      <c r="N66" s="314">
        <f t="shared" si="2"/>
        <v>100</v>
      </c>
    </row>
    <row r="67" spans="1:14" ht="19.55" customHeight="1" outlineLevel="7" x14ac:dyDescent="0.3">
      <c r="A67" s="213" t="s">
        <v>17</v>
      </c>
      <c r="B67" s="214" t="s">
        <v>455</v>
      </c>
      <c r="C67" s="214" t="s">
        <v>24</v>
      </c>
      <c r="D67" s="293" t="s">
        <v>311</v>
      </c>
      <c r="E67" s="293" t="s">
        <v>18</v>
      </c>
      <c r="F67" s="294">
        <v>167490</v>
      </c>
      <c r="G67" s="237">
        <f>50000+50000</f>
        <v>100000</v>
      </c>
      <c r="H67" s="215">
        <v>15800</v>
      </c>
      <c r="I67" s="215">
        <f>'[2]прил 12'!F74</f>
        <v>50000</v>
      </c>
      <c r="J67" s="237">
        <f>50000+50000</f>
        <v>100000</v>
      </c>
      <c r="K67" s="330">
        <f>50000+50000</f>
        <v>100000</v>
      </c>
      <c r="L67" s="313">
        <f t="shared" si="0"/>
        <v>0</v>
      </c>
      <c r="M67" s="314">
        <f t="shared" si="1"/>
        <v>100</v>
      </c>
      <c r="N67" s="314">
        <f t="shared" si="2"/>
        <v>100</v>
      </c>
    </row>
    <row r="68" spans="1:14" ht="42.45" customHeight="1" outlineLevel="7" x14ac:dyDescent="0.3">
      <c r="A68" s="213" t="s">
        <v>213</v>
      </c>
      <c r="B68" s="214" t="s">
        <v>455</v>
      </c>
      <c r="C68" s="214" t="s">
        <v>24</v>
      </c>
      <c r="D68" s="293" t="s">
        <v>228</v>
      </c>
      <c r="E68" s="293" t="s">
        <v>6</v>
      </c>
      <c r="F68" s="294">
        <v>19431974.879999999</v>
      </c>
      <c r="G68" s="238">
        <f>G69</f>
        <v>21177850</v>
      </c>
      <c r="H68" s="218">
        <f>H69</f>
        <v>13917675.359999999</v>
      </c>
      <c r="I68" s="217">
        <f>I69</f>
        <v>22135496.030000001</v>
      </c>
      <c r="J68" s="238">
        <f>J69</f>
        <v>24287328</v>
      </c>
      <c r="K68" s="331">
        <f>K69</f>
        <v>22416328</v>
      </c>
      <c r="L68" s="313">
        <f t="shared" si="0"/>
        <v>-1871000</v>
      </c>
      <c r="M68" s="314">
        <f t="shared" si="1"/>
        <v>114.68268969701835</v>
      </c>
      <c r="N68" s="314">
        <f t="shared" si="2"/>
        <v>105.84798740193173</v>
      </c>
    </row>
    <row r="69" spans="1:14" ht="34" outlineLevel="5" x14ac:dyDescent="0.3">
      <c r="A69" s="213" t="s">
        <v>33</v>
      </c>
      <c r="B69" s="214" t="s">
        <v>455</v>
      </c>
      <c r="C69" s="214" t="s">
        <v>24</v>
      </c>
      <c r="D69" s="293" t="s">
        <v>130</v>
      </c>
      <c r="E69" s="293" t="s">
        <v>6</v>
      </c>
      <c r="F69" s="294">
        <v>19431974.879999999</v>
      </c>
      <c r="G69" s="237">
        <f>G70+G72+G74</f>
        <v>21177850</v>
      </c>
      <c r="H69" s="216">
        <f>H70+H72+H74</f>
        <v>13917675.359999999</v>
      </c>
      <c r="I69" s="215">
        <f>I70+I72+I74</f>
        <v>22135496.030000001</v>
      </c>
      <c r="J69" s="237">
        <f>J70+J72+J74</f>
        <v>24287328</v>
      </c>
      <c r="K69" s="330">
        <f>K70+K72+K74</f>
        <v>22416328</v>
      </c>
      <c r="L69" s="313">
        <f t="shared" si="0"/>
        <v>-1871000</v>
      </c>
      <c r="M69" s="314">
        <f t="shared" si="1"/>
        <v>114.68268969701835</v>
      </c>
      <c r="N69" s="314">
        <f t="shared" si="2"/>
        <v>105.84798740193173</v>
      </c>
    </row>
    <row r="70" spans="1:14" ht="72.7" customHeight="1" outlineLevel="6" x14ac:dyDescent="0.3">
      <c r="A70" s="213" t="s">
        <v>11</v>
      </c>
      <c r="B70" s="214" t="s">
        <v>455</v>
      </c>
      <c r="C70" s="214" t="s">
        <v>24</v>
      </c>
      <c r="D70" s="293" t="s">
        <v>130</v>
      </c>
      <c r="E70" s="293" t="s">
        <v>12</v>
      </c>
      <c r="F70" s="294">
        <v>9763033.2200000007</v>
      </c>
      <c r="G70" s="237">
        <f>G71</f>
        <v>11340000</v>
      </c>
      <c r="H70" s="169">
        <v>8110814.9500000002</v>
      </c>
      <c r="I70" s="215">
        <f>I71</f>
        <v>11334046.030000001</v>
      </c>
      <c r="J70" s="237">
        <f>J71</f>
        <v>11899000</v>
      </c>
      <c r="K70" s="330">
        <f>K71</f>
        <v>11899000</v>
      </c>
      <c r="L70" s="313">
        <f t="shared" si="0"/>
        <v>0</v>
      </c>
      <c r="M70" s="314">
        <f t="shared" si="1"/>
        <v>104.92945326278659</v>
      </c>
      <c r="N70" s="314">
        <f t="shared" si="2"/>
        <v>104.92945326278659</v>
      </c>
    </row>
    <row r="71" spans="1:14" outlineLevel="7" x14ac:dyDescent="0.3">
      <c r="A71" s="213" t="s">
        <v>34</v>
      </c>
      <c r="B71" s="214" t="s">
        <v>455</v>
      </c>
      <c r="C71" s="214" t="s">
        <v>24</v>
      </c>
      <c r="D71" s="293" t="s">
        <v>130</v>
      </c>
      <c r="E71" s="293" t="s">
        <v>35</v>
      </c>
      <c r="F71" s="294">
        <v>9763033.2200000007</v>
      </c>
      <c r="G71" s="238">
        <f>[2]потребность!I78+340000</f>
        <v>11340000</v>
      </c>
      <c r="H71" s="169">
        <v>8110814.9500000002</v>
      </c>
      <c r="I71" s="217">
        <f>'[2]прил 12'!F78</f>
        <v>11334046.030000001</v>
      </c>
      <c r="J71" s="238">
        <v>11899000</v>
      </c>
      <c r="K71" s="331">
        <v>11899000</v>
      </c>
      <c r="L71" s="313">
        <f t="shared" si="0"/>
        <v>0</v>
      </c>
      <c r="M71" s="314">
        <f t="shared" si="1"/>
        <v>104.92945326278659</v>
      </c>
      <c r="N71" s="314">
        <f t="shared" si="2"/>
        <v>104.92945326278659</v>
      </c>
    </row>
    <row r="72" spans="1:14" ht="34" outlineLevel="6" x14ac:dyDescent="0.3">
      <c r="A72" s="213" t="s">
        <v>15</v>
      </c>
      <c r="B72" s="214" t="s">
        <v>455</v>
      </c>
      <c r="C72" s="214" t="s">
        <v>24</v>
      </c>
      <c r="D72" s="293" t="s">
        <v>130</v>
      </c>
      <c r="E72" s="293" t="s">
        <v>16</v>
      </c>
      <c r="F72" s="294">
        <v>8912074.9000000004</v>
      </c>
      <c r="G72" s="237">
        <f>G73</f>
        <v>9036400</v>
      </c>
      <c r="H72" s="169">
        <v>5501055.75</v>
      </c>
      <c r="I72" s="215">
        <f>I73</f>
        <v>10000000</v>
      </c>
      <c r="J72" s="237">
        <f>J73</f>
        <v>11619820</v>
      </c>
      <c r="K72" s="330">
        <f>K73</f>
        <v>9748820</v>
      </c>
      <c r="L72" s="313">
        <f t="shared" ref="L72:L135" si="13">K72-J72</f>
        <v>-1871000</v>
      </c>
      <c r="M72" s="314">
        <f t="shared" ref="M72:M135" si="14">J72/G72%</f>
        <v>128.58903988313929</v>
      </c>
      <c r="N72" s="314">
        <f t="shared" ref="N72:N135" si="15">K72/G72*100</f>
        <v>107.88389181532469</v>
      </c>
    </row>
    <row r="73" spans="1:14" ht="21.25" customHeight="1" outlineLevel="7" x14ac:dyDescent="0.3">
      <c r="A73" s="213" t="s">
        <v>17</v>
      </c>
      <c r="B73" s="214" t="s">
        <v>455</v>
      </c>
      <c r="C73" s="214" t="s">
        <v>24</v>
      </c>
      <c r="D73" s="293" t="s">
        <v>130</v>
      </c>
      <c r="E73" s="293" t="s">
        <v>18</v>
      </c>
      <c r="F73" s="294">
        <v>8912074.9000000004</v>
      </c>
      <c r="G73" s="238">
        <f>[2]потребность!I80+36400</f>
        <v>9036400</v>
      </c>
      <c r="H73" s="169">
        <v>5501055.75</v>
      </c>
      <c r="I73" s="217">
        <f>'[2]прил 12'!F80</f>
        <v>10000000</v>
      </c>
      <c r="J73" s="237">
        <v>11619820</v>
      </c>
      <c r="K73" s="330">
        <f>J73-1871000</f>
        <v>9748820</v>
      </c>
      <c r="L73" s="313">
        <f t="shared" si="13"/>
        <v>-1871000</v>
      </c>
      <c r="M73" s="314">
        <f t="shared" si="14"/>
        <v>128.58903988313929</v>
      </c>
      <c r="N73" s="314">
        <f t="shared" si="15"/>
        <v>107.88389181532469</v>
      </c>
    </row>
    <row r="74" spans="1:14" outlineLevel="6" x14ac:dyDescent="0.3">
      <c r="A74" s="213" t="s">
        <v>19</v>
      </c>
      <c r="B74" s="214" t="s">
        <v>455</v>
      </c>
      <c r="C74" s="214" t="s">
        <v>24</v>
      </c>
      <c r="D74" s="293" t="s">
        <v>130</v>
      </c>
      <c r="E74" s="293" t="s">
        <v>20</v>
      </c>
      <c r="F74" s="294">
        <v>756866.76</v>
      </c>
      <c r="G74" s="237">
        <f>G75</f>
        <v>801450</v>
      </c>
      <c r="H74" s="169">
        <v>305804.65999999997</v>
      </c>
      <c r="I74" s="215">
        <f>I75</f>
        <v>801450</v>
      </c>
      <c r="J74" s="238">
        <v>768508</v>
      </c>
      <c r="K74" s="331">
        <v>768508</v>
      </c>
      <c r="L74" s="313">
        <f t="shared" si="13"/>
        <v>0</v>
      </c>
      <c r="M74" s="314">
        <f t="shared" si="14"/>
        <v>95.889699918896994</v>
      </c>
      <c r="N74" s="314">
        <f t="shared" si="15"/>
        <v>95.889699918896994</v>
      </c>
    </row>
    <row r="75" spans="1:14" outlineLevel="7" x14ac:dyDescent="0.3">
      <c r="A75" s="213" t="s">
        <v>21</v>
      </c>
      <c r="B75" s="214" t="s">
        <v>455</v>
      </c>
      <c r="C75" s="214" t="s">
        <v>24</v>
      </c>
      <c r="D75" s="293" t="s">
        <v>130</v>
      </c>
      <c r="E75" s="293" t="s">
        <v>22</v>
      </c>
      <c r="F75" s="297">
        <v>756866.76</v>
      </c>
      <c r="G75" s="238">
        <v>801450</v>
      </c>
      <c r="H75" s="169">
        <v>305804.65999999997</v>
      </c>
      <c r="I75" s="217">
        <f>'[2]прил 12'!F82</f>
        <v>801450</v>
      </c>
      <c r="J75" s="238">
        <v>768508</v>
      </c>
      <c r="K75" s="331">
        <v>768508</v>
      </c>
      <c r="L75" s="313">
        <f t="shared" si="13"/>
        <v>0</v>
      </c>
      <c r="M75" s="314">
        <f t="shared" si="14"/>
        <v>95.889699918896994</v>
      </c>
      <c r="N75" s="314">
        <f t="shared" si="15"/>
        <v>95.889699918896994</v>
      </c>
    </row>
    <row r="76" spans="1:14" ht="17.5" customHeight="1" outlineLevel="7" x14ac:dyDescent="0.3">
      <c r="A76" s="213" t="s">
        <v>670</v>
      </c>
      <c r="B76" s="214" t="s">
        <v>455</v>
      </c>
      <c r="C76" s="214" t="s">
        <v>24</v>
      </c>
      <c r="D76" s="293" t="s">
        <v>624</v>
      </c>
      <c r="E76" s="293" t="s">
        <v>6</v>
      </c>
      <c r="F76" s="294">
        <v>2692560</v>
      </c>
      <c r="G76" s="237">
        <f>G77+G80</f>
        <v>1451100</v>
      </c>
      <c r="H76" s="216">
        <f>H77+H80</f>
        <v>845446.17</v>
      </c>
      <c r="I76" s="215">
        <f>I77+I80</f>
        <v>2100000</v>
      </c>
      <c r="J76" s="237">
        <f>J77+J80</f>
        <v>1451100</v>
      </c>
      <c r="K76" s="330">
        <f>K77+K80</f>
        <v>1451100</v>
      </c>
      <c r="L76" s="313">
        <f t="shared" si="13"/>
        <v>0</v>
      </c>
      <c r="M76" s="314">
        <f t="shared" si="14"/>
        <v>100</v>
      </c>
      <c r="N76" s="314">
        <f t="shared" si="15"/>
        <v>100</v>
      </c>
    </row>
    <row r="77" spans="1:14" ht="34" outlineLevel="7" x14ac:dyDescent="0.3">
      <c r="A77" s="189" t="s">
        <v>648</v>
      </c>
      <c r="B77" s="214" t="s">
        <v>455</v>
      </c>
      <c r="C77" s="214" t="s">
        <v>24</v>
      </c>
      <c r="D77" s="293" t="s">
        <v>623</v>
      </c>
      <c r="E77" s="293" t="s">
        <v>6</v>
      </c>
      <c r="F77" s="294">
        <v>1601460</v>
      </c>
      <c r="G77" s="237">
        <f t="shared" ref="G77:K78" si="16">G78</f>
        <v>0</v>
      </c>
      <c r="H77" s="216">
        <f t="shared" si="16"/>
        <v>0</v>
      </c>
      <c r="I77" s="215">
        <f t="shared" si="16"/>
        <v>500000</v>
      </c>
      <c r="J77" s="237">
        <f t="shared" si="16"/>
        <v>0</v>
      </c>
      <c r="K77" s="330">
        <f t="shared" si="16"/>
        <v>0</v>
      </c>
      <c r="L77" s="313">
        <f t="shared" si="13"/>
        <v>0</v>
      </c>
      <c r="M77" s="314"/>
      <c r="N77" s="314"/>
    </row>
    <row r="78" spans="1:14" ht="34" outlineLevel="7" x14ac:dyDescent="0.3">
      <c r="A78" s="213" t="s">
        <v>15</v>
      </c>
      <c r="B78" s="214" t="s">
        <v>455</v>
      </c>
      <c r="C78" s="214" t="s">
        <v>24</v>
      </c>
      <c r="D78" s="293" t="s">
        <v>623</v>
      </c>
      <c r="E78" s="293" t="s">
        <v>16</v>
      </c>
      <c r="F78" s="294">
        <v>1601460</v>
      </c>
      <c r="G78" s="237">
        <f t="shared" si="16"/>
        <v>0</v>
      </c>
      <c r="H78" s="216">
        <f t="shared" si="16"/>
        <v>0</v>
      </c>
      <c r="I78" s="215">
        <f t="shared" si="16"/>
        <v>500000</v>
      </c>
      <c r="J78" s="237">
        <f t="shared" si="16"/>
        <v>0</v>
      </c>
      <c r="K78" s="330">
        <f t="shared" si="16"/>
        <v>0</v>
      </c>
      <c r="L78" s="313">
        <f t="shared" si="13"/>
        <v>0</v>
      </c>
      <c r="M78" s="314"/>
      <c r="N78" s="314"/>
    </row>
    <row r="79" spans="1:14" ht="34" outlineLevel="7" x14ac:dyDescent="0.3">
      <c r="A79" s="213" t="s">
        <v>17</v>
      </c>
      <c r="B79" s="214" t="s">
        <v>455</v>
      </c>
      <c r="C79" s="214" t="s">
        <v>24</v>
      </c>
      <c r="D79" s="293" t="s">
        <v>623</v>
      </c>
      <c r="E79" s="293" t="s">
        <v>18</v>
      </c>
      <c r="F79" s="294">
        <v>1601460</v>
      </c>
      <c r="G79" s="238">
        <v>0</v>
      </c>
      <c r="H79" s="218">
        <v>0</v>
      </c>
      <c r="I79" s="217">
        <f>'[2]прил 12'!F86</f>
        <v>500000</v>
      </c>
      <c r="J79" s="238">
        <v>0</v>
      </c>
      <c r="K79" s="331">
        <v>0</v>
      </c>
      <c r="L79" s="313">
        <f t="shared" si="13"/>
        <v>0</v>
      </c>
      <c r="M79" s="314"/>
      <c r="N79" s="314"/>
    </row>
    <row r="80" spans="1:14" ht="34" outlineLevel="7" x14ac:dyDescent="0.3">
      <c r="A80" s="213" t="s">
        <v>622</v>
      </c>
      <c r="B80" s="214" t="s">
        <v>455</v>
      </c>
      <c r="C80" s="214" t="s">
        <v>24</v>
      </c>
      <c r="D80" s="293" t="s">
        <v>621</v>
      </c>
      <c r="E80" s="293" t="s">
        <v>6</v>
      </c>
      <c r="F80" s="294">
        <v>1091100</v>
      </c>
      <c r="G80" s="237">
        <f>G83+G81</f>
        <v>1451100</v>
      </c>
      <c r="H80" s="216">
        <f>H83+H81</f>
        <v>845446.17</v>
      </c>
      <c r="I80" s="215">
        <f>I83+I81</f>
        <v>1600000</v>
      </c>
      <c r="J80" s="237">
        <f>J83+J81</f>
        <v>1451100</v>
      </c>
      <c r="K80" s="330">
        <f>K83+K81</f>
        <v>1451100</v>
      </c>
      <c r="L80" s="313">
        <f t="shared" si="13"/>
        <v>0</v>
      </c>
      <c r="M80" s="314">
        <f t="shared" si="14"/>
        <v>100</v>
      </c>
      <c r="N80" s="314">
        <f t="shared" si="15"/>
        <v>100</v>
      </c>
    </row>
    <row r="81" spans="1:14" ht="75.400000000000006" customHeight="1" outlineLevel="7" x14ac:dyDescent="0.3">
      <c r="A81" s="213" t="s">
        <v>11</v>
      </c>
      <c r="B81" s="214" t="s">
        <v>455</v>
      </c>
      <c r="C81" s="214" t="s">
        <v>24</v>
      </c>
      <c r="D81" s="293" t="s">
        <v>621</v>
      </c>
      <c r="E81" s="293" t="s">
        <v>12</v>
      </c>
      <c r="F81" s="294">
        <v>29000</v>
      </c>
      <c r="G81" s="237">
        <f>G82</f>
        <v>116000</v>
      </c>
      <c r="H81" s="169">
        <v>58000</v>
      </c>
      <c r="I81" s="215">
        <v>0</v>
      </c>
      <c r="J81" s="237">
        <f>J82</f>
        <v>116000</v>
      </c>
      <c r="K81" s="330">
        <f>K82</f>
        <v>116000</v>
      </c>
      <c r="L81" s="313">
        <f t="shared" si="13"/>
        <v>0</v>
      </c>
      <c r="M81" s="314">
        <f t="shared" si="14"/>
        <v>100</v>
      </c>
      <c r="N81" s="314">
        <f t="shared" si="15"/>
        <v>100</v>
      </c>
    </row>
    <row r="82" spans="1:14" ht="34" outlineLevel="7" x14ac:dyDescent="0.3">
      <c r="A82" s="213" t="s">
        <v>13</v>
      </c>
      <c r="B82" s="214" t="s">
        <v>455</v>
      </c>
      <c r="C82" s="214" t="s">
        <v>24</v>
      </c>
      <c r="D82" s="293" t="s">
        <v>621</v>
      </c>
      <c r="E82" s="293" t="s">
        <v>14</v>
      </c>
      <c r="F82" s="294">
        <v>29000</v>
      </c>
      <c r="G82" s="237">
        <v>116000</v>
      </c>
      <c r="H82" s="169">
        <v>58000</v>
      </c>
      <c r="I82" s="215">
        <v>0</v>
      </c>
      <c r="J82" s="237">
        <v>116000</v>
      </c>
      <c r="K82" s="330">
        <v>116000</v>
      </c>
      <c r="L82" s="313">
        <f t="shared" si="13"/>
        <v>0</v>
      </c>
      <c r="M82" s="314">
        <f t="shared" si="14"/>
        <v>100</v>
      </c>
      <c r="N82" s="314">
        <f t="shared" si="15"/>
        <v>100</v>
      </c>
    </row>
    <row r="83" spans="1:14" ht="34" outlineLevel="7" x14ac:dyDescent="0.3">
      <c r="A83" s="213" t="s">
        <v>15</v>
      </c>
      <c r="B83" s="214" t="s">
        <v>455</v>
      </c>
      <c r="C83" s="214" t="s">
        <v>24</v>
      </c>
      <c r="D83" s="293" t="s">
        <v>621</v>
      </c>
      <c r="E83" s="293" t="s">
        <v>16</v>
      </c>
      <c r="F83" s="294">
        <v>1062100</v>
      </c>
      <c r="G83" s="237">
        <f>G84</f>
        <v>1335100</v>
      </c>
      <c r="H83" s="169">
        <v>787446.17</v>
      </c>
      <c r="I83" s="215">
        <f>I84</f>
        <v>1600000</v>
      </c>
      <c r="J83" s="237">
        <f>J84</f>
        <v>1335100</v>
      </c>
      <c r="K83" s="330">
        <f>K84</f>
        <v>1335100</v>
      </c>
      <c r="L83" s="313">
        <f t="shared" si="13"/>
        <v>0</v>
      </c>
      <c r="M83" s="314">
        <f t="shared" si="14"/>
        <v>100</v>
      </c>
      <c r="N83" s="314">
        <f t="shared" si="15"/>
        <v>100</v>
      </c>
    </row>
    <row r="84" spans="1:14" ht="34" outlineLevel="7" x14ac:dyDescent="0.3">
      <c r="A84" s="213" t="s">
        <v>17</v>
      </c>
      <c r="B84" s="214" t="s">
        <v>455</v>
      </c>
      <c r="C84" s="214" t="s">
        <v>24</v>
      </c>
      <c r="D84" s="293" t="s">
        <v>621</v>
      </c>
      <c r="E84" s="293" t="s">
        <v>18</v>
      </c>
      <c r="F84" s="294">
        <v>1062100</v>
      </c>
      <c r="G84" s="238">
        <f>1451100-116000</f>
        <v>1335100</v>
      </c>
      <c r="H84" s="169">
        <v>787446.17</v>
      </c>
      <c r="I84" s="217">
        <f>'[2]прил 12'!F89</f>
        <v>1600000</v>
      </c>
      <c r="J84" s="238">
        <v>1335100</v>
      </c>
      <c r="K84" s="331">
        <v>1335100</v>
      </c>
      <c r="L84" s="313">
        <f t="shared" si="13"/>
        <v>0</v>
      </c>
      <c r="M84" s="314">
        <f t="shared" si="14"/>
        <v>100</v>
      </c>
      <c r="N84" s="314">
        <f t="shared" si="15"/>
        <v>100</v>
      </c>
    </row>
    <row r="85" spans="1:14" s="224" customFormat="1" ht="34" outlineLevel="7" x14ac:dyDescent="0.3">
      <c r="A85" s="219" t="s">
        <v>746</v>
      </c>
      <c r="B85" s="220" t="s">
        <v>455</v>
      </c>
      <c r="C85" s="220" t="s">
        <v>24</v>
      </c>
      <c r="D85" s="295" t="s">
        <v>131</v>
      </c>
      <c r="E85" s="295" t="s">
        <v>6</v>
      </c>
      <c r="F85" s="296">
        <v>64753.57</v>
      </c>
      <c r="G85" s="273">
        <f t="shared" ref="G85:K88" si="17">G86</f>
        <v>50000</v>
      </c>
      <c r="H85" s="221">
        <f t="shared" si="17"/>
        <v>49993.440000000002</v>
      </c>
      <c r="I85" s="221">
        <f t="shared" si="17"/>
        <v>50000</v>
      </c>
      <c r="J85" s="273">
        <f t="shared" si="17"/>
        <v>50000</v>
      </c>
      <c r="K85" s="333">
        <f t="shared" si="17"/>
        <v>50000</v>
      </c>
      <c r="L85" s="313">
        <f t="shared" si="13"/>
        <v>0</v>
      </c>
      <c r="M85" s="314">
        <f t="shared" si="14"/>
        <v>100</v>
      </c>
      <c r="N85" s="314">
        <f t="shared" si="15"/>
        <v>100</v>
      </c>
    </row>
    <row r="86" spans="1:14" outlineLevel="7" x14ac:dyDescent="0.3">
      <c r="A86" s="213" t="s">
        <v>312</v>
      </c>
      <c r="B86" s="214" t="s">
        <v>455</v>
      </c>
      <c r="C86" s="214" t="s">
        <v>24</v>
      </c>
      <c r="D86" s="293" t="s">
        <v>230</v>
      </c>
      <c r="E86" s="293" t="s">
        <v>6</v>
      </c>
      <c r="F86" s="294">
        <v>64753.57</v>
      </c>
      <c r="G86" s="237">
        <f t="shared" si="17"/>
        <v>50000</v>
      </c>
      <c r="H86" s="215">
        <f t="shared" si="17"/>
        <v>49993.440000000002</v>
      </c>
      <c r="I86" s="215">
        <f t="shared" si="17"/>
        <v>50000</v>
      </c>
      <c r="J86" s="237">
        <f t="shared" si="17"/>
        <v>50000</v>
      </c>
      <c r="K86" s="330">
        <f t="shared" si="17"/>
        <v>50000</v>
      </c>
      <c r="L86" s="313">
        <f t="shared" si="13"/>
        <v>0</v>
      </c>
      <c r="M86" s="314">
        <f t="shared" si="14"/>
        <v>100</v>
      </c>
      <c r="N86" s="314">
        <f t="shared" si="15"/>
        <v>100</v>
      </c>
    </row>
    <row r="87" spans="1:14" ht="34" outlineLevel="7" x14ac:dyDescent="0.3">
      <c r="A87" s="213" t="s">
        <v>313</v>
      </c>
      <c r="B87" s="214" t="s">
        <v>455</v>
      </c>
      <c r="C87" s="214" t="s">
        <v>24</v>
      </c>
      <c r="D87" s="293" t="s">
        <v>314</v>
      </c>
      <c r="E87" s="293" t="s">
        <v>6</v>
      </c>
      <c r="F87" s="294">
        <v>64753.57</v>
      </c>
      <c r="G87" s="237">
        <f t="shared" si="17"/>
        <v>50000</v>
      </c>
      <c r="H87" s="215">
        <f t="shared" si="17"/>
        <v>49993.440000000002</v>
      </c>
      <c r="I87" s="215">
        <f t="shared" si="17"/>
        <v>50000</v>
      </c>
      <c r="J87" s="237">
        <f t="shared" si="17"/>
        <v>50000</v>
      </c>
      <c r="K87" s="330">
        <f t="shared" si="17"/>
        <v>50000</v>
      </c>
      <c r="L87" s="313">
        <f t="shared" si="13"/>
        <v>0</v>
      </c>
      <c r="M87" s="314">
        <f t="shared" si="14"/>
        <v>100</v>
      </c>
      <c r="N87" s="314">
        <f t="shared" si="15"/>
        <v>100</v>
      </c>
    </row>
    <row r="88" spans="1:14" ht="34" outlineLevel="7" x14ac:dyDescent="0.3">
      <c r="A88" s="213" t="s">
        <v>15</v>
      </c>
      <c r="B88" s="214" t="s">
        <v>455</v>
      </c>
      <c r="C88" s="214" t="s">
        <v>24</v>
      </c>
      <c r="D88" s="293" t="s">
        <v>314</v>
      </c>
      <c r="E88" s="293" t="s">
        <v>16</v>
      </c>
      <c r="F88" s="294">
        <v>64753.57</v>
      </c>
      <c r="G88" s="237">
        <f t="shared" si="17"/>
        <v>50000</v>
      </c>
      <c r="H88" s="169">
        <v>49993.440000000002</v>
      </c>
      <c r="I88" s="215">
        <f t="shared" si="17"/>
        <v>50000</v>
      </c>
      <c r="J88" s="237">
        <f t="shared" si="17"/>
        <v>50000</v>
      </c>
      <c r="K88" s="330">
        <f t="shared" si="17"/>
        <v>50000</v>
      </c>
      <c r="L88" s="313">
        <f t="shared" si="13"/>
        <v>0</v>
      </c>
      <c r="M88" s="314">
        <f t="shared" si="14"/>
        <v>100</v>
      </c>
      <c r="N88" s="314">
        <f t="shared" si="15"/>
        <v>100</v>
      </c>
    </row>
    <row r="89" spans="1:14" ht="21.25" customHeight="1" outlineLevel="7" x14ac:dyDescent="0.3">
      <c r="A89" s="213" t="s">
        <v>17</v>
      </c>
      <c r="B89" s="214" t="s">
        <v>455</v>
      </c>
      <c r="C89" s="214" t="s">
        <v>24</v>
      </c>
      <c r="D89" s="293" t="s">
        <v>314</v>
      </c>
      <c r="E89" s="293" t="s">
        <v>18</v>
      </c>
      <c r="F89" s="294">
        <v>64753.57</v>
      </c>
      <c r="G89" s="238">
        <v>50000</v>
      </c>
      <c r="H89" s="169">
        <v>49993.440000000002</v>
      </c>
      <c r="I89" s="217">
        <f>'[2]прил 12'!F94</f>
        <v>50000</v>
      </c>
      <c r="J89" s="238">
        <f>'[2]прил 12'!G94</f>
        <v>50000</v>
      </c>
      <c r="K89" s="331">
        <v>50000</v>
      </c>
      <c r="L89" s="313">
        <f t="shared" si="13"/>
        <v>0</v>
      </c>
      <c r="M89" s="314">
        <f t="shared" si="14"/>
        <v>100</v>
      </c>
      <c r="N89" s="314">
        <f t="shared" si="15"/>
        <v>100</v>
      </c>
    </row>
    <row r="90" spans="1:14" s="224" customFormat="1" ht="38.25" customHeight="1" outlineLevel="7" x14ac:dyDescent="0.3">
      <c r="A90" s="219" t="s">
        <v>723</v>
      </c>
      <c r="B90" s="220" t="s">
        <v>455</v>
      </c>
      <c r="C90" s="220" t="s">
        <v>24</v>
      </c>
      <c r="D90" s="295" t="s">
        <v>305</v>
      </c>
      <c r="E90" s="295" t="s">
        <v>6</v>
      </c>
      <c r="F90" s="296">
        <v>1741444.5</v>
      </c>
      <c r="G90" s="273">
        <f>G91</f>
        <v>2144838</v>
      </c>
      <c r="H90" s="222">
        <f>H91</f>
        <v>1516751.94</v>
      </c>
      <c r="I90" s="221">
        <f>I91</f>
        <v>1544157.5</v>
      </c>
      <c r="J90" s="273">
        <f>J91</f>
        <v>6596010</v>
      </c>
      <c r="K90" s="333">
        <f>K91</f>
        <v>1291402</v>
      </c>
      <c r="L90" s="313">
        <f t="shared" si="13"/>
        <v>-5304608</v>
      </c>
      <c r="M90" s="314">
        <f t="shared" si="14"/>
        <v>307.52951971197825</v>
      </c>
      <c r="N90" s="314">
        <f t="shared" si="15"/>
        <v>60.209768756428225</v>
      </c>
    </row>
    <row r="91" spans="1:14" ht="21.25" customHeight="1" outlineLevel="7" x14ac:dyDescent="0.3">
      <c r="A91" s="225" t="s">
        <v>315</v>
      </c>
      <c r="B91" s="214" t="s">
        <v>455</v>
      </c>
      <c r="C91" s="214" t="s">
        <v>24</v>
      </c>
      <c r="D91" s="293" t="s">
        <v>306</v>
      </c>
      <c r="E91" s="293" t="s">
        <v>6</v>
      </c>
      <c r="F91" s="294">
        <v>1741444.5</v>
      </c>
      <c r="G91" s="237">
        <f>G92+G95</f>
        <v>2144838</v>
      </c>
      <c r="H91" s="216">
        <f>H92+H95</f>
        <v>1516751.94</v>
      </c>
      <c r="I91" s="215">
        <f>I92+I95</f>
        <v>1544157.5</v>
      </c>
      <c r="J91" s="237">
        <f>J92+J95</f>
        <v>6596010</v>
      </c>
      <c r="K91" s="330">
        <f>K92+K95</f>
        <v>1291402</v>
      </c>
      <c r="L91" s="313">
        <f t="shared" si="13"/>
        <v>-5304608</v>
      </c>
      <c r="M91" s="314">
        <f t="shared" si="14"/>
        <v>307.52951971197825</v>
      </c>
      <c r="N91" s="314">
        <f t="shared" si="15"/>
        <v>60.209768756428225</v>
      </c>
    </row>
    <row r="92" spans="1:14" ht="37.549999999999997" customHeight="1" outlineLevel="7" x14ac:dyDescent="0.3">
      <c r="A92" s="225" t="s">
        <v>316</v>
      </c>
      <c r="B92" s="214" t="s">
        <v>455</v>
      </c>
      <c r="C92" s="214" t="s">
        <v>24</v>
      </c>
      <c r="D92" s="293" t="s">
        <v>317</v>
      </c>
      <c r="E92" s="293" t="s">
        <v>6</v>
      </c>
      <c r="F92" s="294">
        <v>1700874.5</v>
      </c>
      <c r="G92" s="237">
        <f t="shared" ref="G92:K93" si="18">G93</f>
        <v>2100680.5</v>
      </c>
      <c r="H92" s="216">
        <f t="shared" si="18"/>
        <v>1496951.94</v>
      </c>
      <c r="I92" s="215">
        <f t="shared" si="18"/>
        <v>1500000</v>
      </c>
      <c r="J92" s="237">
        <f t="shared" si="18"/>
        <v>6550080</v>
      </c>
      <c r="K92" s="330">
        <f t="shared" si="18"/>
        <v>1245472</v>
      </c>
      <c r="L92" s="313">
        <f t="shared" si="13"/>
        <v>-5304608</v>
      </c>
      <c r="M92" s="314">
        <f t="shared" si="14"/>
        <v>311.80753094056899</v>
      </c>
      <c r="N92" s="314">
        <f t="shared" si="15"/>
        <v>59.288978024026029</v>
      </c>
    </row>
    <row r="93" spans="1:14" ht="34" outlineLevel="7" x14ac:dyDescent="0.3">
      <c r="A93" s="213" t="s">
        <v>15</v>
      </c>
      <c r="B93" s="214" t="s">
        <v>455</v>
      </c>
      <c r="C93" s="214" t="s">
        <v>24</v>
      </c>
      <c r="D93" s="293" t="s">
        <v>317</v>
      </c>
      <c r="E93" s="293" t="s">
        <v>16</v>
      </c>
      <c r="F93" s="294">
        <v>1700874.5</v>
      </c>
      <c r="G93" s="237">
        <f t="shared" si="18"/>
        <v>2100680.5</v>
      </c>
      <c r="H93" s="169">
        <v>1496951.94</v>
      </c>
      <c r="I93" s="215">
        <f t="shared" si="18"/>
        <v>1500000</v>
      </c>
      <c r="J93" s="237">
        <f t="shared" si="18"/>
        <v>6550080</v>
      </c>
      <c r="K93" s="330">
        <f t="shared" si="18"/>
        <v>1245472</v>
      </c>
      <c r="L93" s="313">
        <f t="shared" si="13"/>
        <v>-5304608</v>
      </c>
      <c r="M93" s="314">
        <f t="shared" si="14"/>
        <v>311.80753094056899</v>
      </c>
      <c r="N93" s="314">
        <f t="shared" si="15"/>
        <v>59.288978024026029</v>
      </c>
    </row>
    <row r="94" spans="1:14" ht="18.7" customHeight="1" outlineLevel="7" x14ac:dyDescent="0.3">
      <c r="A94" s="213" t="s">
        <v>17</v>
      </c>
      <c r="B94" s="214" t="s">
        <v>455</v>
      </c>
      <c r="C94" s="214" t="s">
        <v>24</v>
      </c>
      <c r="D94" s="293" t="s">
        <v>317</v>
      </c>
      <c r="E94" s="293" t="s">
        <v>18</v>
      </c>
      <c r="F94" s="294">
        <v>1700874.5</v>
      </c>
      <c r="G94" s="238">
        <f>[2]потребность!I99+659300+149040</f>
        <v>2100680.5</v>
      </c>
      <c r="H94" s="169">
        <v>1496951.94</v>
      </c>
      <c r="I94" s="217">
        <f>'[2]прил 12'!F99</f>
        <v>1500000</v>
      </c>
      <c r="J94" s="238">
        <v>6550080</v>
      </c>
      <c r="K94" s="331">
        <f>J94-5304608</f>
        <v>1245472</v>
      </c>
      <c r="L94" s="313">
        <f t="shared" si="13"/>
        <v>-5304608</v>
      </c>
      <c r="M94" s="314">
        <f t="shared" si="14"/>
        <v>311.80753094056899</v>
      </c>
      <c r="N94" s="314">
        <f t="shared" si="15"/>
        <v>59.288978024026029</v>
      </c>
    </row>
    <row r="95" spans="1:14" ht="34" outlineLevel="7" x14ac:dyDescent="0.3">
      <c r="A95" s="225" t="s">
        <v>318</v>
      </c>
      <c r="B95" s="214" t="s">
        <v>455</v>
      </c>
      <c r="C95" s="214" t="s">
        <v>24</v>
      </c>
      <c r="D95" s="293" t="s">
        <v>307</v>
      </c>
      <c r="E95" s="293" t="s">
        <v>6</v>
      </c>
      <c r="F95" s="294">
        <v>40570</v>
      </c>
      <c r="G95" s="237">
        <f t="shared" ref="G95:K96" si="19">G96</f>
        <v>44157.5</v>
      </c>
      <c r="H95" s="215">
        <f t="shared" si="19"/>
        <v>19800</v>
      </c>
      <c r="I95" s="215">
        <f t="shared" si="19"/>
        <v>44157.5</v>
      </c>
      <c r="J95" s="237">
        <f t="shared" si="19"/>
        <v>45930</v>
      </c>
      <c r="K95" s="330">
        <f t="shared" si="19"/>
        <v>45930</v>
      </c>
      <c r="L95" s="313">
        <f t="shared" si="13"/>
        <v>0</v>
      </c>
      <c r="M95" s="314">
        <f t="shared" si="14"/>
        <v>104.01404064994622</v>
      </c>
      <c r="N95" s="314">
        <f t="shared" si="15"/>
        <v>104.01404064994621</v>
      </c>
    </row>
    <row r="96" spans="1:14" ht="34" outlineLevel="7" x14ac:dyDescent="0.3">
      <c r="A96" s="213" t="s">
        <v>15</v>
      </c>
      <c r="B96" s="214" t="s">
        <v>455</v>
      </c>
      <c r="C96" s="214" t="s">
        <v>24</v>
      </c>
      <c r="D96" s="293" t="s">
        <v>307</v>
      </c>
      <c r="E96" s="293" t="s">
        <v>16</v>
      </c>
      <c r="F96" s="294">
        <v>40570</v>
      </c>
      <c r="G96" s="237">
        <f t="shared" si="19"/>
        <v>44157.5</v>
      </c>
      <c r="H96" s="169">
        <v>19800</v>
      </c>
      <c r="I96" s="215">
        <f t="shared" si="19"/>
        <v>44157.5</v>
      </c>
      <c r="J96" s="237">
        <f t="shared" si="19"/>
        <v>45930</v>
      </c>
      <c r="K96" s="330">
        <f t="shared" si="19"/>
        <v>45930</v>
      </c>
      <c r="L96" s="313">
        <f t="shared" si="13"/>
        <v>0</v>
      </c>
      <c r="M96" s="314">
        <f t="shared" si="14"/>
        <v>104.01404064994622</v>
      </c>
      <c r="N96" s="314">
        <f t="shared" si="15"/>
        <v>104.01404064994621</v>
      </c>
    </row>
    <row r="97" spans="1:14" ht="19.55" customHeight="1" outlineLevel="7" x14ac:dyDescent="0.3">
      <c r="A97" s="213" t="s">
        <v>17</v>
      </c>
      <c r="B97" s="214" t="s">
        <v>455</v>
      </c>
      <c r="C97" s="214" t="s">
        <v>24</v>
      </c>
      <c r="D97" s="293" t="s">
        <v>307</v>
      </c>
      <c r="E97" s="293" t="s">
        <v>18</v>
      </c>
      <c r="F97" s="294">
        <v>40570</v>
      </c>
      <c r="G97" s="237">
        <v>44157.5</v>
      </c>
      <c r="H97" s="169">
        <v>19800</v>
      </c>
      <c r="I97" s="215">
        <f>'[2]прил 12'!F102</f>
        <v>44157.5</v>
      </c>
      <c r="J97" s="238">
        <v>45930</v>
      </c>
      <c r="K97" s="331">
        <v>45930</v>
      </c>
      <c r="L97" s="313">
        <f t="shared" si="13"/>
        <v>0</v>
      </c>
      <c r="M97" s="314">
        <f t="shared" si="14"/>
        <v>104.01404064994622</v>
      </c>
      <c r="N97" s="314">
        <f t="shared" si="15"/>
        <v>104.01404064994621</v>
      </c>
    </row>
    <row r="98" spans="1:14" s="224" customFormat="1" ht="50.95" outlineLevel="7" x14ac:dyDescent="0.3">
      <c r="A98" s="219" t="s">
        <v>745</v>
      </c>
      <c r="B98" s="220" t="s">
        <v>455</v>
      </c>
      <c r="C98" s="220" t="s">
        <v>24</v>
      </c>
      <c r="D98" s="295" t="s">
        <v>319</v>
      </c>
      <c r="E98" s="295" t="s">
        <v>6</v>
      </c>
      <c r="F98" s="296">
        <v>4246490.3</v>
      </c>
      <c r="G98" s="273">
        <f t="shared" ref="G98:K99" si="20">G99</f>
        <v>3440000</v>
      </c>
      <c r="H98" s="222">
        <f t="shared" si="20"/>
        <v>2212084.09</v>
      </c>
      <c r="I98" s="221">
        <f t="shared" si="20"/>
        <v>1600000</v>
      </c>
      <c r="J98" s="273">
        <f t="shared" si="20"/>
        <v>3717000</v>
      </c>
      <c r="K98" s="333">
        <f t="shared" si="20"/>
        <v>2760000</v>
      </c>
      <c r="L98" s="313">
        <f t="shared" si="13"/>
        <v>-957000</v>
      </c>
      <c r="M98" s="314">
        <f t="shared" si="14"/>
        <v>108.05232558139535</v>
      </c>
      <c r="N98" s="314">
        <f t="shared" si="15"/>
        <v>80.232558139534888</v>
      </c>
    </row>
    <row r="99" spans="1:14" ht="34" outlineLevel="7" x14ac:dyDescent="0.3">
      <c r="A99" s="213" t="s">
        <v>212</v>
      </c>
      <c r="B99" s="214" t="s">
        <v>455</v>
      </c>
      <c r="C99" s="214" t="s">
        <v>24</v>
      </c>
      <c r="D99" s="293" t="s">
        <v>320</v>
      </c>
      <c r="E99" s="293" t="s">
        <v>6</v>
      </c>
      <c r="F99" s="294">
        <v>4246490.3</v>
      </c>
      <c r="G99" s="237">
        <f t="shared" si="20"/>
        <v>3440000</v>
      </c>
      <c r="H99" s="216">
        <f t="shared" si="20"/>
        <v>2212084.09</v>
      </c>
      <c r="I99" s="215">
        <f t="shared" si="20"/>
        <v>1600000</v>
      </c>
      <c r="J99" s="237">
        <f t="shared" si="20"/>
        <v>3717000</v>
      </c>
      <c r="K99" s="330">
        <f t="shared" si="20"/>
        <v>2760000</v>
      </c>
      <c r="L99" s="313">
        <f t="shared" si="13"/>
        <v>-957000</v>
      </c>
      <c r="M99" s="314">
        <f t="shared" si="14"/>
        <v>108.05232558139535</v>
      </c>
      <c r="N99" s="314">
        <f t="shared" si="15"/>
        <v>80.232558139534888</v>
      </c>
    </row>
    <row r="100" spans="1:14" ht="50.95" outlineLevel="5" x14ac:dyDescent="0.3">
      <c r="A100" s="213" t="s">
        <v>32</v>
      </c>
      <c r="B100" s="214" t="s">
        <v>455</v>
      </c>
      <c r="C100" s="214" t="s">
        <v>24</v>
      </c>
      <c r="D100" s="293" t="s">
        <v>321</v>
      </c>
      <c r="E100" s="293" t="s">
        <v>6</v>
      </c>
      <c r="F100" s="294">
        <v>4246490.3</v>
      </c>
      <c r="G100" s="237">
        <f>G101+G103</f>
        <v>3440000</v>
      </c>
      <c r="H100" s="216">
        <f>H101+H103</f>
        <v>2212084.09</v>
      </c>
      <c r="I100" s="215">
        <f>I101+I103</f>
        <v>1600000</v>
      </c>
      <c r="J100" s="237">
        <f>J101+J103</f>
        <v>3717000</v>
      </c>
      <c r="K100" s="330">
        <f>K101+K103</f>
        <v>2760000</v>
      </c>
      <c r="L100" s="313">
        <f t="shared" si="13"/>
        <v>-957000</v>
      </c>
      <c r="M100" s="314">
        <f t="shared" si="14"/>
        <v>108.05232558139535</v>
      </c>
      <c r="N100" s="314">
        <f t="shared" si="15"/>
        <v>80.232558139534888</v>
      </c>
    </row>
    <row r="101" spans="1:14" ht="34" outlineLevel="6" x14ac:dyDescent="0.3">
      <c r="A101" s="213" t="s">
        <v>15</v>
      </c>
      <c r="B101" s="214" t="s">
        <v>455</v>
      </c>
      <c r="C101" s="214" t="s">
        <v>24</v>
      </c>
      <c r="D101" s="293" t="s">
        <v>321</v>
      </c>
      <c r="E101" s="293" t="s">
        <v>16</v>
      </c>
      <c r="F101" s="294">
        <v>4146490.3</v>
      </c>
      <c r="G101" s="237">
        <f>G102</f>
        <v>3300000</v>
      </c>
      <c r="H101" s="166">
        <v>2212084.09</v>
      </c>
      <c r="I101" s="215">
        <f>I102</f>
        <v>1460000</v>
      </c>
      <c r="J101" s="237">
        <f>J102</f>
        <v>3577000</v>
      </c>
      <c r="K101" s="330">
        <f>K102</f>
        <v>2620000</v>
      </c>
      <c r="L101" s="313">
        <f t="shared" si="13"/>
        <v>-957000</v>
      </c>
      <c r="M101" s="314">
        <f t="shared" si="14"/>
        <v>108.39393939393939</v>
      </c>
      <c r="N101" s="314">
        <f t="shared" si="15"/>
        <v>79.393939393939391</v>
      </c>
    </row>
    <row r="102" spans="1:14" ht="20.25" customHeight="1" outlineLevel="7" x14ac:dyDescent="0.3">
      <c r="A102" s="213" t="s">
        <v>17</v>
      </c>
      <c r="B102" s="214" t="s">
        <v>455</v>
      </c>
      <c r="C102" s="214" t="s">
        <v>24</v>
      </c>
      <c r="D102" s="293" t="s">
        <v>321</v>
      </c>
      <c r="E102" s="293" t="s">
        <v>18</v>
      </c>
      <c r="F102" s="294">
        <v>4146490.3</v>
      </c>
      <c r="G102" s="237">
        <f>2460000+315000+220000+305000</f>
        <v>3300000</v>
      </c>
      <c r="H102" s="166">
        <v>2212084.09</v>
      </c>
      <c r="I102" s="215">
        <f>'[2]прил 12'!F107</f>
        <v>1460000</v>
      </c>
      <c r="J102" s="238">
        <v>3577000</v>
      </c>
      <c r="K102" s="331">
        <f>3577000-532000-425000</f>
        <v>2620000</v>
      </c>
      <c r="L102" s="313">
        <f t="shared" si="13"/>
        <v>-957000</v>
      </c>
      <c r="M102" s="314">
        <f t="shared" si="14"/>
        <v>108.39393939393939</v>
      </c>
      <c r="N102" s="314">
        <f t="shared" si="15"/>
        <v>79.393939393939391</v>
      </c>
    </row>
    <row r="103" spans="1:14" outlineLevel="6" x14ac:dyDescent="0.3">
      <c r="A103" s="213" t="s">
        <v>19</v>
      </c>
      <c r="B103" s="214" t="s">
        <v>455</v>
      </c>
      <c r="C103" s="214" t="s">
        <v>24</v>
      </c>
      <c r="D103" s="293" t="s">
        <v>321</v>
      </c>
      <c r="E103" s="293" t="s">
        <v>20</v>
      </c>
      <c r="F103" s="294">
        <v>100000</v>
      </c>
      <c r="G103" s="237">
        <f>G104</f>
        <v>140000</v>
      </c>
      <c r="H103" s="216">
        <v>0</v>
      </c>
      <c r="I103" s="215">
        <f>I104</f>
        <v>140000</v>
      </c>
      <c r="J103" s="237">
        <f>J104</f>
        <v>140000</v>
      </c>
      <c r="K103" s="330">
        <f>K104</f>
        <v>140000</v>
      </c>
      <c r="L103" s="313">
        <f t="shared" si="13"/>
        <v>0</v>
      </c>
      <c r="M103" s="314">
        <f t="shared" si="14"/>
        <v>100</v>
      </c>
      <c r="N103" s="314">
        <f t="shared" si="15"/>
        <v>100</v>
      </c>
    </row>
    <row r="104" spans="1:14" outlineLevel="7" x14ac:dyDescent="0.3">
      <c r="A104" s="213" t="s">
        <v>21</v>
      </c>
      <c r="B104" s="214" t="s">
        <v>455</v>
      </c>
      <c r="C104" s="214" t="s">
        <v>24</v>
      </c>
      <c r="D104" s="293" t="s">
        <v>321</v>
      </c>
      <c r="E104" s="293" t="s">
        <v>22</v>
      </c>
      <c r="F104" s="294">
        <v>100000</v>
      </c>
      <c r="G104" s="238">
        <v>140000</v>
      </c>
      <c r="H104" s="218">
        <v>0</v>
      </c>
      <c r="I104" s="217">
        <f>'[2]прил 12'!F109</f>
        <v>140000</v>
      </c>
      <c r="J104" s="238">
        <f>'[2]прил 12'!G109</f>
        <v>140000</v>
      </c>
      <c r="K104" s="331">
        <v>140000</v>
      </c>
      <c r="L104" s="313">
        <f t="shared" si="13"/>
        <v>0</v>
      </c>
      <c r="M104" s="314">
        <f t="shared" si="14"/>
        <v>100</v>
      </c>
      <c r="N104" s="314">
        <f t="shared" si="15"/>
        <v>100</v>
      </c>
    </row>
    <row r="105" spans="1:14" ht="50.95" outlineLevel="7" x14ac:dyDescent="0.3">
      <c r="A105" s="219" t="s">
        <v>817</v>
      </c>
      <c r="B105" s="220" t="s">
        <v>455</v>
      </c>
      <c r="C105" s="220" t="s">
        <v>24</v>
      </c>
      <c r="D105" s="295" t="s">
        <v>819</v>
      </c>
      <c r="E105" s="295" t="s">
        <v>6</v>
      </c>
      <c r="F105" s="295" t="s">
        <v>838</v>
      </c>
      <c r="G105" s="238">
        <f t="shared" ref="G105:K108" si="21">G106</f>
        <v>50000</v>
      </c>
      <c r="H105" s="218"/>
      <c r="I105" s="217">
        <f t="shared" si="21"/>
        <v>0</v>
      </c>
      <c r="J105" s="238">
        <f t="shared" si="21"/>
        <v>100000</v>
      </c>
      <c r="K105" s="331">
        <f t="shared" si="21"/>
        <v>100000</v>
      </c>
      <c r="L105" s="313">
        <f t="shared" si="13"/>
        <v>0</v>
      </c>
      <c r="M105" s="314">
        <f t="shared" si="14"/>
        <v>200</v>
      </c>
      <c r="N105" s="314">
        <f t="shared" si="15"/>
        <v>200</v>
      </c>
    </row>
    <row r="106" spans="1:14" ht="34" outlineLevel="7" x14ac:dyDescent="0.3">
      <c r="A106" s="213" t="s">
        <v>818</v>
      </c>
      <c r="B106" s="214" t="s">
        <v>455</v>
      </c>
      <c r="C106" s="214" t="s">
        <v>24</v>
      </c>
      <c r="D106" s="293" t="s">
        <v>820</v>
      </c>
      <c r="E106" s="293" t="s">
        <v>6</v>
      </c>
      <c r="F106" s="293" t="s">
        <v>838</v>
      </c>
      <c r="G106" s="238">
        <f t="shared" si="21"/>
        <v>50000</v>
      </c>
      <c r="H106" s="218"/>
      <c r="I106" s="217">
        <f t="shared" si="21"/>
        <v>0</v>
      </c>
      <c r="J106" s="238">
        <f t="shared" si="21"/>
        <v>100000</v>
      </c>
      <c r="K106" s="331">
        <f t="shared" si="21"/>
        <v>100000</v>
      </c>
      <c r="L106" s="313">
        <f t="shared" si="13"/>
        <v>0</v>
      </c>
      <c r="M106" s="314">
        <f t="shared" si="14"/>
        <v>200</v>
      </c>
      <c r="N106" s="314">
        <f t="shared" si="15"/>
        <v>200</v>
      </c>
    </row>
    <row r="107" spans="1:14" outlineLevel="7" x14ac:dyDescent="0.3">
      <c r="A107" s="213" t="s">
        <v>310</v>
      </c>
      <c r="B107" s="214" t="s">
        <v>455</v>
      </c>
      <c r="C107" s="214" t="s">
        <v>24</v>
      </c>
      <c r="D107" s="293" t="s">
        <v>821</v>
      </c>
      <c r="E107" s="293" t="s">
        <v>6</v>
      </c>
      <c r="F107" s="293" t="s">
        <v>838</v>
      </c>
      <c r="G107" s="238">
        <f t="shared" si="21"/>
        <v>50000</v>
      </c>
      <c r="H107" s="218"/>
      <c r="I107" s="217">
        <f t="shared" si="21"/>
        <v>0</v>
      </c>
      <c r="J107" s="238">
        <v>100000</v>
      </c>
      <c r="K107" s="331">
        <f>100000</f>
        <v>100000</v>
      </c>
      <c r="L107" s="313">
        <f t="shared" si="13"/>
        <v>0</v>
      </c>
      <c r="M107" s="314">
        <f t="shared" si="14"/>
        <v>200</v>
      </c>
      <c r="N107" s="314">
        <f t="shared" si="15"/>
        <v>200</v>
      </c>
    </row>
    <row r="108" spans="1:14" ht="34" outlineLevel="7" x14ac:dyDescent="0.3">
      <c r="A108" s="213" t="s">
        <v>15</v>
      </c>
      <c r="B108" s="214" t="s">
        <v>455</v>
      </c>
      <c r="C108" s="214" t="s">
        <v>24</v>
      </c>
      <c r="D108" s="293" t="s">
        <v>821</v>
      </c>
      <c r="E108" s="293" t="s">
        <v>16</v>
      </c>
      <c r="F108" s="293" t="s">
        <v>838</v>
      </c>
      <c r="G108" s="238">
        <f t="shared" si="21"/>
        <v>50000</v>
      </c>
      <c r="H108" s="218"/>
      <c r="I108" s="217">
        <f t="shared" si="21"/>
        <v>0</v>
      </c>
      <c r="J108" s="238">
        <f t="shared" si="21"/>
        <v>100000</v>
      </c>
      <c r="K108" s="331">
        <f t="shared" si="21"/>
        <v>100000</v>
      </c>
      <c r="L108" s="313">
        <f t="shared" si="13"/>
        <v>0</v>
      </c>
      <c r="M108" s="314">
        <f t="shared" si="14"/>
        <v>200</v>
      </c>
      <c r="N108" s="314">
        <f t="shared" si="15"/>
        <v>200</v>
      </c>
    </row>
    <row r="109" spans="1:14" ht="34" outlineLevel="7" x14ac:dyDescent="0.3">
      <c r="A109" s="213" t="s">
        <v>17</v>
      </c>
      <c r="B109" s="214" t="s">
        <v>455</v>
      </c>
      <c r="C109" s="214" t="s">
        <v>24</v>
      </c>
      <c r="D109" s="293" t="s">
        <v>821</v>
      </c>
      <c r="E109" s="293" t="s">
        <v>18</v>
      </c>
      <c r="F109" s="293" t="s">
        <v>838</v>
      </c>
      <c r="G109" s="238">
        <v>50000</v>
      </c>
      <c r="H109" s="218"/>
      <c r="I109" s="217">
        <v>0</v>
      </c>
      <c r="J109" s="238">
        <v>100000</v>
      </c>
      <c r="K109" s="331">
        <v>100000</v>
      </c>
      <c r="L109" s="313">
        <f t="shared" si="13"/>
        <v>0</v>
      </c>
      <c r="M109" s="314">
        <f t="shared" si="14"/>
        <v>200</v>
      </c>
      <c r="N109" s="314">
        <f t="shared" si="15"/>
        <v>200</v>
      </c>
    </row>
    <row r="110" spans="1:14" ht="34" outlineLevel="3" x14ac:dyDescent="0.3">
      <c r="A110" s="213" t="s">
        <v>132</v>
      </c>
      <c r="B110" s="214" t="s">
        <v>455</v>
      </c>
      <c r="C110" s="214" t="s">
        <v>24</v>
      </c>
      <c r="D110" s="293" t="s">
        <v>127</v>
      </c>
      <c r="E110" s="293" t="s">
        <v>6</v>
      </c>
      <c r="F110" s="294">
        <v>41962737.840000004</v>
      </c>
      <c r="G110" s="237">
        <f>G133+G114+G130+G119+G112</f>
        <v>53163530.329999998</v>
      </c>
      <c r="H110" s="216">
        <f>H133+H114+H130+H119+H112</f>
        <v>41641519.200000003</v>
      </c>
      <c r="I110" s="215">
        <f>I133+I114+I130+I119+I112</f>
        <v>44296940</v>
      </c>
      <c r="J110" s="237">
        <f>J133+J114+J130+J119+J112</f>
        <v>46836197</v>
      </c>
      <c r="K110" s="330">
        <f>K133+K114+K130+K119+K112</f>
        <v>46836197</v>
      </c>
      <c r="L110" s="313">
        <f t="shared" si="13"/>
        <v>0</v>
      </c>
      <c r="M110" s="314">
        <f t="shared" si="14"/>
        <v>88.098357481671016</v>
      </c>
      <c r="N110" s="314">
        <f t="shared" si="15"/>
        <v>88.09835748167103</v>
      </c>
    </row>
    <row r="111" spans="1:14" ht="82.9" customHeight="1" outlineLevel="3" x14ac:dyDescent="0.3">
      <c r="A111" s="229" t="s">
        <v>872</v>
      </c>
      <c r="B111" s="214" t="s">
        <v>455</v>
      </c>
      <c r="C111" s="214" t="s">
        <v>24</v>
      </c>
      <c r="D111" s="293" t="s">
        <v>809</v>
      </c>
      <c r="E111" s="293" t="s">
        <v>6</v>
      </c>
      <c r="F111" s="293" t="s">
        <v>838</v>
      </c>
      <c r="G111" s="237">
        <f>G112</f>
        <v>570000</v>
      </c>
      <c r="H111" s="215">
        <f>H112</f>
        <v>298793.59999999998</v>
      </c>
      <c r="I111" s="215">
        <v>0</v>
      </c>
      <c r="J111" s="237">
        <f>J112</f>
        <v>1600000</v>
      </c>
      <c r="K111" s="330">
        <f>K112</f>
        <v>1600000</v>
      </c>
      <c r="L111" s="313">
        <f t="shared" si="13"/>
        <v>0</v>
      </c>
      <c r="M111" s="314">
        <f t="shared" si="14"/>
        <v>280.70175438596493</v>
      </c>
      <c r="N111" s="314">
        <f t="shared" si="15"/>
        <v>280.70175438596488</v>
      </c>
    </row>
    <row r="112" spans="1:14" ht="40.1" customHeight="1" outlineLevel="3" x14ac:dyDescent="0.3">
      <c r="A112" s="213" t="s">
        <v>15</v>
      </c>
      <c r="B112" s="214" t="s">
        <v>455</v>
      </c>
      <c r="C112" s="214" t="s">
        <v>24</v>
      </c>
      <c r="D112" s="293" t="s">
        <v>809</v>
      </c>
      <c r="E112" s="293" t="s">
        <v>16</v>
      </c>
      <c r="F112" s="293" t="s">
        <v>838</v>
      </c>
      <c r="G112" s="237">
        <f>G113</f>
        <v>570000</v>
      </c>
      <c r="H112" s="169">
        <v>298793.59999999998</v>
      </c>
      <c r="I112" s="215">
        <v>0</v>
      </c>
      <c r="J112" s="237">
        <v>1600000</v>
      </c>
      <c r="K112" s="330">
        <f>K113</f>
        <v>1600000</v>
      </c>
      <c r="L112" s="313">
        <f t="shared" si="13"/>
        <v>0</v>
      </c>
      <c r="M112" s="314">
        <f t="shared" si="14"/>
        <v>280.70175438596493</v>
      </c>
      <c r="N112" s="314">
        <f t="shared" si="15"/>
        <v>280.70175438596488</v>
      </c>
    </row>
    <row r="113" spans="1:14" ht="45.7" customHeight="1" outlineLevel="3" x14ac:dyDescent="0.3">
      <c r="A113" s="213" t="s">
        <v>17</v>
      </c>
      <c r="B113" s="214" t="s">
        <v>455</v>
      </c>
      <c r="C113" s="214" t="s">
        <v>24</v>
      </c>
      <c r="D113" s="293" t="s">
        <v>809</v>
      </c>
      <c r="E113" s="293" t="s">
        <v>18</v>
      </c>
      <c r="F113" s="293" t="s">
        <v>838</v>
      </c>
      <c r="G113" s="237">
        <v>570000</v>
      </c>
      <c r="H113" s="169">
        <v>298793.59999999998</v>
      </c>
      <c r="I113" s="215">
        <v>0</v>
      </c>
      <c r="J113" s="237">
        <f>1000000+600000</f>
        <v>1600000</v>
      </c>
      <c r="K113" s="330">
        <f>1000000+600000</f>
        <v>1600000</v>
      </c>
      <c r="L113" s="313">
        <f t="shared" si="13"/>
        <v>0</v>
      </c>
      <c r="M113" s="314">
        <f t="shared" si="14"/>
        <v>280.70175438596493</v>
      </c>
      <c r="N113" s="314">
        <f t="shared" si="15"/>
        <v>280.70175438596488</v>
      </c>
    </row>
    <row r="114" spans="1:14" ht="58.75" customHeight="1" outlineLevel="5" x14ac:dyDescent="0.3">
      <c r="A114" s="213" t="s">
        <v>449</v>
      </c>
      <c r="B114" s="214" t="s">
        <v>455</v>
      </c>
      <c r="C114" s="214" t="s">
        <v>24</v>
      </c>
      <c r="D114" s="293" t="s">
        <v>450</v>
      </c>
      <c r="E114" s="293" t="s">
        <v>6</v>
      </c>
      <c r="F114" s="294">
        <v>33020267.399999999</v>
      </c>
      <c r="G114" s="237">
        <f>G115+G117</f>
        <v>33848058.490000002</v>
      </c>
      <c r="H114" s="216">
        <f>H115+H117</f>
        <v>25868402.309999999</v>
      </c>
      <c r="I114" s="215">
        <f>I115+I117</f>
        <v>36378471</v>
      </c>
      <c r="J114" s="237">
        <f>J115+J117</f>
        <v>37225780</v>
      </c>
      <c r="K114" s="330">
        <f>K115+K117</f>
        <v>37225780</v>
      </c>
      <c r="L114" s="313">
        <f t="shared" si="13"/>
        <v>0</v>
      </c>
      <c r="M114" s="314">
        <f t="shared" si="14"/>
        <v>109.97907017620496</v>
      </c>
      <c r="N114" s="314">
        <f t="shared" si="15"/>
        <v>109.97907017620494</v>
      </c>
    </row>
    <row r="115" spans="1:14" ht="53.15" customHeight="1" outlineLevel="6" x14ac:dyDescent="0.3">
      <c r="A115" s="213" t="s">
        <v>11</v>
      </c>
      <c r="B115" s="214" t="s">
        <v>455</v>
      </c>
      <c r="C115" s="214" t="s">
        <v>24</v>
      </c>
      <c r="D115" s="293" t="s">
        <v>450</v>
      </c>
      <c r="E115" s="293" t="s">
        <v>12</v>
      </c>
      <c r="F115" s="294">
        <v>33020267.399999999</v>
      </c>
      <c r="G115" s="237">
        <f>G116</f>
        <v>33828058.490000002</v>
      </c>
      <c r="H115" s="166">
        <v>25860302.309999999</v>
      </c>
      <c r="I115" s="215">
        <f>I116</f>
        <v>36358471</v>
      </c>
      <c r="J115" s="237">
        <f>J116</f>
        <v>37205780</v>
      </c>
      <c r="K115" s="330">
        <f>K116</f>
        <v>37205780</v>
      </c>
      <c r="L115" s="313">
        <f t="shared" si="13"/>
        <v>0</v>
      </c>
      <c r="M115" s="314">
        <f t="shared" si="14"/>
        <v>109.98497005377502</v>
      </c>
      <c r="N115" s="314">
        <f t="shared" si="15"/>
        <v>109.98497005377502</v>
      </c>
    </row>
    <row r="116" spans="1:14" ht="39.4" customHeight="1" outlineLevel="7" x14ac:dyDescent="0.3">
      <c r="A116" s="213" t="s">
        <v>13</v>
      </c>
      <c r="B116" s="214" t="s">
        <v>455</v>
      </c>
      <c r="C116" s="214" t="s">
        <v>24</v>
      </c>
      <c r="D116" s="293" t="s">
        <v>450</v>
      </c>
      <c r="E116" s="293" t="s">
        <v>14</v>
      </c>
      <c r="F116" s="294">
        <v>33020267.399999999</v>
      </c>
      <c r="G116" s="237">
        <f>[2]потребность!I113-1157082</f>
        <v>33828058.490000002</v>
      </c>
      <c r="H116" s="169">
        <v>25860302.309999999</v>
      </c>
      <c r="I116" s="215">
        <f>'[2]прил 12'!F113</f>
        <v>36358471</v>
      </c>
      <c r="J116" s="238">
        <f>37205780+1200670-1200670</f>
        <v>37205780</v>
      </c>
      <c r="K116" s="331">
        <f>37205780+1200670-1200670</f>
        <v>37205780</v>
      </c>
      <c r="L116" s="313">
        <f t="shared" si="13"/>
        <v>0</v>
      </c>
      <c r="M116" s="314">
        <f t="shared" si="14"/>
        <v>109.98497005377502</v>
      </c>
      <c r="N116" s="314">
        <f t="shared" si="15"/>
        <v>109.98497005377502</v>
      </c>
    </row>
    <row r="117" spans="1:14" ht="42.8" customHeight="1" outlineLevel="7" x14ac:dyDescent="0.3">
      <c r="A117" s="213" t="s">
        <v>15</v>
      </c>
      <c r="B117" s="214" t="s">
        <v>455</v>
      </c>
      <c r="C117" s="214" t="s">
        <v>24</v>
      </c>
      <c r="D117" s="293" t="s">
        <v>450</v>
      </c>
      <c r="E117" s="293" t="s">
        <v>16</v>
      </c>
      <c r="F117" s="294">
        <v>0</v>
      </c>
      <c r="G117" s="238">
        <f>G118</f>
        <v>20000</v>
      </c>
      <c r="H117" s="169">
        <v>8100</v>
      </c>
      <c r="I117" s="217">
        <f>I118</f>
        <v>20000</v>
      </c>
      <c r="J117" s="238">
        <f>J118</f>
        <v>20000</v>
      </c>
      <c r="K117" s="331">
        <f>K118</f>
        <v>20000</v>
      </c>
      <c r="L117" s="313">
        <f t="shared" si="13"/>
        <v>0</v>
      </c>
      <c r="M117" s="314">
        <f t="shared" si="14"/>
        <v>100</v>
      </c>
      <c r="N117" s="314">
        <f t="shared" si="15"/>
        <v>100</v>
      </c>
    </row>
    <row r="118" spans="1:14" ht="53.15" customHeight="1" outlineLevel="7" x14ac:dyDescent="0.3">
      <c r="A118" s="213" t="s">
        <v>17</v>
      </c>
      <c r="B118" s="214" t="s">
        <v>455</v>
      </c>
      <c r="C118" s="214" t="s">
        <v>24</v>
      </c>
      <c r="D118" s="293" t="s">
        <v>450</v>
      </c>
      <c r="E118" s="293" t="s">
        <v>18</v>
      </c>
      <c r="F118" s="294">
        <v>0</v>
      </c>
      <c r="G118" s="237">
        <v>20000</v>
      </c>
      <c r="H118" s="169">
        <v>8100</v>
      </c>
      <c r="I118" s="215">
        <f>'[2]прил 12'!F115</f>
        <v>20000</v>
      </c>
      <c r="J118" s="237">
        <f>'[2]прил 12'!G115</f>
        <v>20000</v>
      </c>
      <c r="K118" s="330">
        <v>20000</v>
      </c>
      <c r="L118" s="313">
        <f t="shared" si="13"/>
        <v>0</v>
      </c>
      <c r="M118" s="314">
        <f t="shared" si="14"/>
        <v>100</v>
      </c>
      <c r="N118" s="314">
        <f t="shared" si="15"/>
        <v>100</v>
      </c>
    </row>
    <row r="119" spans="1:14" ht="33.450000000000003" customHeight="1" outlineLevel="7" x14ac:dyDescent="0.3">
      <c r="A119" s="213" t="s">
        <v>620</v>
      </c>
      <c r="B119" s="214" t="s">
        <v>455</v>
      </c>
      <c r="C119" s="214" t="s">
        <v>24</v>
      </c>
      <c r="D119" s="293" t="s">
        <v>618</v>
      </c>
      <c r="E119" s="293" t="s">
        <v>6</v>
      </c>
      <c r="F119" s="294">
        <v>454002.59</v>
      </c>
      <c r="G119" s="237">
        <f>G122+G120</f>
        <v>9824855.6199999992</v>
      </c>
      <c r="H119" s="215">
        <f>H122+H120</f>
        <v>9442891.7400000002</v>
      </c>
      <c r="I119" s="215">
        <f>I120+I122</f>
        <v>150000</v>
      </c>
      <c r="J119" s="237">
        <f>J120+J122</f>
        <v>0</v>
      </c>
      <c r="K119" s="330">
        <f>K120+K122</f>
        <v>0</v>
      </c>
      <c r="L119" s="313">
        <f t="shared" si="13"/>
        <v>0</v>
      </c>
      <c r="M119" s="314">
        <f t="shared" si="14"/>
        <v>0</v>
      </c>
      <c r="N119" s="314">
        <f t="shared" si="15"/>
        <v>0</v>
      </c>
    </row>
    <row r="120" spans="1:14" ht="55.7" customHeight="1" outlineLevel="7" x14ac:dyDescent="0.3">
      <c r="A120" s="213" t="s">
        <v>15</v>
      </c>
      <c r="B120" s="214" t="s">
        <v>455</v>
      </c>
      <c r="C120" s="214" t="s">
        <v>24</v>
      </c>
      <c r="D120" s="293" t="s">
        <v>618</v>
      </c>
      <c r="E120" s="293" t="s">
        <v>16</v>
      </c>
      <c r="F120" s="293" t="s">
        <v>838</v>
      </c>
      <c r="G120" s="237">
        <f>G121</f>
        <v>7162347.4199999999</v>
      </c>
      <c r="H120" s="169">
        <v>6805031.04</v>
      </c>
      <c r="I120" s="215">
        <f>I121</f>
        <v>0</v>
      </c>
      <c r="J120" s="237">
        <f>J121</f>
        <v>0</v>
      </c>
      <c r="K120" s="330">
        <f>K121</f>
        <v>0</v>
      </c>
      <c r="L120" s="313">
        <f t="shared" si="13"/>
        <v>0</v>
      </c>
      <c r="M120" s="314">
        <f t="shared" si="14"/>
        <v>0</v>
      </c>
      <c r="N120" s="314">
        <f t="shared" si="15"/>
        <v>0</v>
      </c>
    </row>
    <row r="121" spans="1:14" ht="44.85" customHeight="1" outlineLevel="7" x14ac:dyDescent="0.3">
      <c r="A121" s="213" t="s">
        <v>17</v>
      </c>
      <c r="B121" s="214" t="s">
        <v>455</v>
      </c>
      <c r="C121" s="214" t="s">
        <v>24</v>
      </c>
      <c r="D121" s="293" t="s">
        <v>618</v>
      </c>
      <c r="E121" s="293" t="s">
        <v>18</v>
      </c>
      <c r="F121" s="293" t="s">
        <v>838</v>
      </c>
      <c r="G121" s="237">
        <f>6135390+465000+392879.31+169078.11</f>
        <v>7162347.4199999999</v>
      </c>
      <c r="H121" s="169">
        <v>6805031.04</v>
      </c>
      <c r="I121" s="215">
        <v>0</v>
      </c>
      <c r="J121" s="237">
        <v>0</v>
      </c>
      <c r="K121" s="330">
        <v>0</v>
      </c>
      <c r="L121" s="313">
        <f t="shared" si="13"/>
        <v>0</v>
      </c>
      <c r="M121" s="314">
        <f t="shared" si="14"/>
        <v>0</v>
      </c>
      <c r="N121" s="314">
        <f t="shared" si="15"/>
        <v>0</v>
      </c>
    </row>
    <row r="122" spans="1:14" ht="47.9" customHeight="1" outlineLevel="7" x14ac:dyDescent="0.3">
      <c r="A122" s="213" t="s">
        <v>19</v>
      </c>
      <c r="B122" s="214" t="s">
        <v>455</v>
      </c>
      <c r="C122" s="214" t="s">
        <v>24</v>
      </c>
      <c r="D122" s="293" t="s">
        <v>618</v>
      </c>
      <c r="E122" s="293" t="s">
        <v>20</v>
      </c>
      <c r="F122" s="294">
        <v>454002.59</v>
      </c>
      <c r="G122" s="237">
        <f>G123+G124</f>
        <v>2662508.1999999997</v>
      </c>
      <c r="H122" s="169">
        <v>2637860.7000000002</v>
      </c>
      <c r="I122" s="215">
        <f>I123+I124</f>
        <v>150000</v>
      </c>
      <c r="J122" s="237">
        <f>J123+J124</f>
        <v>0</v>
      </c>
      <c r="K122" s="330">
        <f>K123+K124</f>
        <v>0</v>
      </c>
      <c r="L122" s="313">
        <f t="shared" si="13"/>
        <v>0</v>
      </c>
      <c r="M122" s="314">
        <f t="shared" si="14"/>
        <v>0</v>
      </c>
      <c r="N122" s="314">
        <f t="shared" si="15"/>
        <v>0</v>
      </c>
    </row>
    <row r="123" spans="1:14" ht="52.3" customHeight="1" outlineLevel="7" x14ac:dyDescent="0.3">
      <c r="A123" s="213" t="s">
        <v>646</v>
      </c>
      <c r="B123" s="214" t="s">
        <v>455</v>
      </c>
      <c r="C123" s="214" t="s">
        <v>24</v>
      </c>
      <c r="D123" s="293" t="s">
        <v>618</v>
      </c>
      <c r="E123" s="298" t="s">
        <v>647</v>
      </c>
      <c r="F123" s="294">
        <v>61000</v>
      </c>
      <c r="G123" s="237">
        <f>2463068.53+60000+61951.78+77487.89</f>
        <v>2662508.1999999997</v>
      </c>
      <c r="H123" s="169">
        <v>2637860.7000000002</v>
      </c>
      <c r="I123" s="215">
        <f>'[2]прил 12'!F118</f>
        <v>0</v>
      </c>
      <c r="J123" s="237">
        <f>'[2]прил 12'!G118</f>
        <v>0</v>
      </c>
      <c r="K123" s="330">
        <f>'[2]прил 12'!H118</f>
        <v>0</v>
      </c>
      <c r="L123" s="313">
        <f t="shared" si="13"/>
        <v>0</v>
      </c>
      <c r="M123" s="314">
        <f t="shared" si="14"/>
        <v>0</v>
      </c>
      <c r="N123" s="314">
        <f t="shared" si="15"/>
        <v>0</v>
      </c>
    </row>
    <row r="124" spans="1:14" ht="57.75" customHeight="1" outlineLevel="7" x14ac:dyDescent="0.3">
      <c r="A124" s="213" t="s">
        <v>619</v>
      </c>
      <c r="B124" s="214" t="s">
        <v>455</v>
      </c>
      <c r="C124" s="214" t="s">
        <v>24</v>
      </c>
      <c r="D124" s="293" t="s">
        <v>618</v>
      </c>
      <c r="E124" s="293" t="s">
        <v>22</v>
      </c>
      <c r="F124" s="294">
        <v>393002.59</v>
      </c>
      <c r="G124" s="237">
        <f>795959.09-525000-270959.09</f>
        <v>0</v>
      </c>
      <c r="H124" s="215">
        <v>0</v>
      </c>
      <c r="I124" s="215">
        <f>'[2]прил 12'!F119</f>
        <v>150000</v>
      </c>
      <c r="J124" s="238">
        <v>0</v>
      </c>
      <c r="K124" s="331">
        <v>0</v>
      </c>
      <c r="L124" s="313">
        <f t="shared" si="13"/>
        <v>0</v>
      </c>
      <c r="M124" s="314"/>
      <c r="N124" s="314"/>
    </row>
    <row r="125" spans="1:14" ht="36" customHeight="1" outlineLevel="7" x14ac:dyDescent="0.3">
      <c r="A125" s="189" t="s">
        <v>544</v>
      </c>
      <c r="B125" s="214" t="s">
        <v>455</v>
      </c>
      <c r="C125" s="214" t="s">
        <v>24</v>
      </c>
      <c r="D125" s="293" t="s">
        <v>545</v>
      </c>
      <c r="E125" s="293" t="s">
        <v>6</v>
      </c>
      <c r="F125" s="294">
        <v>1317671.32</v>
      </c>
      <c r="G125" s="237">
        <f>G126</f>
        <v>0</v>
      </c>
      <c r="H125" s="215">
        <f>H126</f>
        <v>0</v>
      </c>
      <c r="I125" s="215">
        <v>0</v>
      </c>
      <c r="J125" s="237">
        <v>0</v>
      </c>
      <c r="K125" s="330">
        <v>0</v>
      </c>
      <c r="L125" s="313">
        <f t="shared" si="13"/>
        <v>0</v>
      </c>
      <c r="M125" s="314"/>
      <c r="N125" s="314"/>
    </row>
    <row r="126" spans="1:14" ht="18.7" customHeight="1" outlineLevel="7" x14ac:dyDescent="0.3">
      <c r="A126" s="213" t="s">
        <v>15</v>
      </c>
      <c r="B126" s="214" t="s">
        <v>455</v>
      </c>
      <c r="C126" s="214" t="s">
        <v>24</v>
      </c>
      <c r="D126" s="293" t="s">
        <v>545</v>
      </c>
      <c r="E126" s="293" t="s">
        <v>16</v>
      </c>
      <c r="F126" s="294">
        <v>134942.99</v>
      </c>
      <c r="G126" s="237">
        <f>G127</f>
        <v>0</v>
      </c>
      <c r="H126" s="215">
        <f>H127</f>
        <v>0</v>
      </c>
      <c r="I126" s="215">
        <v>0</v>
      </c>
      <c r="J126" s="237">
        <v>0</v>
      </c>
      <c r="K126" s="330">
        <v>0</v>
      </c>
      <c r="L126" s="313">
        <f t="shared" si="13"/>
        <v>0</v>
      </c>
      <c r="M126" s="314"/>
      <c r="N126" s="314"/>
    </row>
    <row r="127" spans="1:14" ht="18.7" customHeight="1" outlineLevel="7" x14ac:dyDescent="0.3">
      <c r="A127" s="213" t="s">
        <v>17</v>
      </c>
      <c r="B127" s="214" t="s">
        <v>455</v>
      </c>
      <c r="C127" s="214" t="s">
        <v>24</v>
      </c>
      <c r="D127" s="293" t="s">
        <v>545</v>
      </c>
      <c r="E127" s="293" t="s">
        <v>18</v>
      </c>
      <c r="F127" s="294">
        <v>134942.99</v>
      </c>
      <c r="G127" s="237">
        <v>0</v>
      </c>
      <c r="H127" s="215">
        <v>0</v>
      </c>
      <c r="I127" s="215">
        <v>0</v>
      </c>
      <c r="J127" s="237">
        <v>0</v>
      </c>
      <c r="K127" s="330">
        <v>0</v>
      </c>
      <c r="L127" s="313">
        <f t="shared" si="13"/>
        <v>0</v>
      </c>
      <c r="M127" s="314"/>
      <c r="N127" s="314"/>
    </row>
    <row r="128" spans="1:14" ht="18.7" customHeight="1" outlineLevel="7" x14ac:dyDescent="0.3">
      <c r="A128" s="213" t="s">
        <v>90</v>
      </c>
      <c r="B128" s="214" t="s">
        <v>455</v>
      </c>
      <c r="C128" s="214" t="s">
        <v>24</v>
      </c>
      <c r="D128" s="293" t="s">
        <v>545</v>
      </c>
      <c r="E128" s="293" t="s">
        <v>91</v>
      </c>
      <c r="F128" s="294">
        <v>1182728.33</v>
      </c>
      <c r="G128" s="237">
        <f>G129</f>
        <v>0</v>
      </c>
      <c r="H128" s="215">
        <f>H129</f>
        <v>0</v>
      </c>
      <c r="I128" s="215">
        <v>0</v>
      </c>
      <c r="J128" s="237">
        <v>0</v>
      </c>
      <c r="K128" s="330">
        <v>0</v>
      </c>
      <c r="L128" s="313">
        <f t="shared" si="13"/>
        <v>0</v>
      </c>
      <c r="M128" s="314"/>
      <c r="N128" s="314"/>
    </row>
    <row r="129" spans="1:14" ht="20.25" customHeight="1" outlineLevel="7" x14ac:dyDescent="0.3">
      <c r="A129" s="213" t="s">
        <v>97</v>
      </c>
      <c r="B129" s="214" t="s">
        <v>455</v>
      </c>
      <c r="C129" s="214" t="s">
        <v>24</v>
      </c>
      <c r="D129" s="293" t="s">
        <v>545</v>
      </c>
      <c r="E129" s="293" t="s">
        <v>98</v>
      </c>
      <c r="F129" s="294">
        <v>1182728.33</v>
      </c>
      <c r="G129" s="237">
        <v>0</v>
      </c>
      <c r="H129" s="215">
        <v>0</v>
      </c>
      <c r="I129" s="215">
        <v>0</v>
      </c>
      <c r="J129" s="237">
        <v>0</v>
      </c>
      <c r="K129" s="330">
        <v>0</v>
      </c>
      <c r="L129" s="313">
        <f t="shared" si="13"/>
        <v>0</v>
      </c>
      <c r="M129" s="314"/>
      <c r="N129" s="314"/>
    </row>
    <row r="130" spans="1:14" ht="19.55" customHeight="1" outlineLevel="7" x14ac:dyDescent="0.3">
      <c r="A130" s="213" t="s">
        <v>458</v>
      </c>
      <c r="B130" s="214" t="s">
        <v>455</v>
      </c>
      <c r="C130" s="214" t="s">
        <v>24</v>
      </c>
      <c r="D130" s="293" t="s">
        <v>457</v>
      </c>
      <c r="E130" s="293" t="s">
        <v>6</v>
      </c>
      <c r="F130" s="294">
        <v>86999</v>
      </c>
      <c r="G130" s="238">
        <f t="shared" ref="G130:K131" si="22">G131</f>
        <v>200000</v>
      </c>
      <c r="H130" s="217">
        <f t="shared" si="22"/>
        <v>138434.92000000001</v>
      </c>
      <c r="I130" s="217">
        <f t="shared" si="22"/>
        <v>200000</v>
      </c>
      <c r="J130" s="238">
        <f t="shared" si="22"/>
        <v>200000</v>
      </c>
      <c r="K130" s="331">
        <f t="shared" si="22"/>
        <v>200000</v>
      </c>
      <c r="L130" s="313">
        <f t="shared" si="13"/>
        <v>0</v>
      </c>
      <c r="M130" s="314">
        <f t="shared" si="14"/>
        <v>100</v>
      </c>
      <c r="N130" s="314">
        <f t="shared" si="15"/>
        <v>100</v>
      </c>
    </row>
    <row r="131" spans="1:14" ht="34" outlineLevel="7" x14ac:dyDescent="0.3">
      <c r="A131" s="213" t="s">
        <v>15</v>
      </c>
      <c r="B131" s="214" t="s">
        <v>455</v>
      </c>
      <c r="C131" s="214" t="s">
        <v>24</v>
      </c>
      <c r="D131" s="293" t="s">
        <v>457</v>
      </c>
      <c r="E131" s="293" t="s">
        <v>16</v>
      </c>
      <c r="F131" s="294">
        <v>86999</v>
      </c>
      <c r="G131" s="238">
        <f t="shared" si="22"/>
        <v>200000</v>
      </c>
      <c r="H131" s="169">
        <v>138434.92000000001</v>
      </c>
      <c r="I131" s="217">
        <f t="shared" si="22"/>
        <v>200000</v>
      </c>
      <c r="J131" s="238">
        <f t="shared" si="22"/>
        <v>200000</v>
      </c>
      <c r="K131" s="331">
        <f t="shared" si="22"/>
        <v>200000</v>
      </c>
      <c r="L131" s="313">
        <f t="shared" si="13"/>
        <v>0</v>
      </c>
      <c r="M131" s="314">
        <f t="shared" si="14"/>
        <v>100</v>
      </c>
      <c r="N131" s="314">
        <f t="shared" si="15"/>
        <v>100</v>
      </c>
    </row>
    <row r="132" spans="1:14" ht="20.25" customHeight="1" outlineLevel="7" x14ac:dyDescent="0.3">
      <c r="A132" s="213" t="s">
        <v>17</v>
      </c>
      <c r="B132" s="214" t="s">
        <v>455</v>
      </c>
      <c r="C132" s="214" t="s">
        <v>24</v>
      </c>
      <c r="D132" s="293" t="s">
        <v>457</v>
      </c>
      <c r="E132" s="293" t="s">
        <v>18</v>
      </c>
      <c r="F132" s="294">
        <v>86999</v>
      </c>
      <c r="G132" s="237">
        <v>200000</v>
      </c>
      <c r="H132" s="169">
        <v>138434.92000000001</v>
      </c>
      <c r="I132" s="215">
        <f>'[2]прил 12'!G127</f>
        <v>200000</v>
      </c>
      <c r="J132" s="237">
        <v>200000</v>
      </c>
      <c r="K132" s="330">
        <v>200000</v>
      </c>
      <c r="L132" s="313">
        <f t="shared" si="13"/>
        <v>0</v>
      </c>
      <c r="M132" s="314">
        <f t="shared" si="14"/>
        <v>100</v>
      </c>
      <c r="N132" s="314">
        <f t="shared" si="15"/>
        <v>100</v>
      </c>
    </row>
    <row r="133" spans="1:14" outlineLevel="3" x14ac:dyDescent="0.3">
      <c r="A133" s="213" t="s">
        <v>269</v>
      </c>
      <c r="B133" s="214" t="s">
        <v>455</v>
      </c>
      <c r="C133" s="214" t="s">
        <v>24</v>
      </c>
      <c r="D133" s="293" t="s">
        <v>268</v>
      </c>
      <c r="E133" s="293" t="s">
        <v>6</v>
      </c>
      <c r="F133" s="294">
        <v>7083797.5300000003</v>
      </c>
      <c r="G133" s="237">
        <f>G157+G134+G142+G147+G152+G139</f>
        <v>8720616.2199999988</v>
      </c>
      <c r="H133" s="215">
        <f>H157+H134+H142+H147+H152+H139</f>
        <v>5892996.6299999999</v>
      </c>
      <c r="I133" s="215">
        <f>I157+I134+I142+I147+I152+I139</f>
        <v>7568469</v>
      </c>
      <c r="J133" s="237">
        <f>J157+J134+J142+J147+J152+J139</f>
        <v>7810417</v>
      </c>
      <c r="K133" s="330">
        <f>K157+K134+K142+K147+K152+K139</f>
        <v>7810417</v>
      </c>
      <c r="L133" s="313">
        <f t="shared" si="13"/>
        <v>0</v>
      </c>
      <c r="M133" s="314">
        <f t="shared" si="14"/>
        <v>89.562673129537174</v>
      </c>
      <c r="N133" s="314">
        <f t="shared" si="15"/>
        <v>89.562673129537188</v>
      </c>
    </row>
    <row r="134" spans="1:14" ht="77.45" customHeight="1" outlineLevel="3" x14ac:dyDescent="0.3">
      <c r="A134" s="185" t="s">
        <v>402</v>
      </c>
      <c r="B134" s="214" t="s">
        <v>455</v>
      </c>
      <c r="C134" s="214" t="s">
        <v>24</v>
      </c>
      <c r="D134" s="293" t="s">
        <v>270</v>
      </c>
      <c r="E134" s="293" t="s">
        <v>6</v>
      </c>
      <c r="F134" s="294">
        <v>1395192</v>
      </c>
      <c r="G134" s="237">
        <f>G135+G137</f>
        <v>1503968</v>
      </c>
      <c r="H134" s="215">
        <f>H135+H137</f>
        <v>1197590.32</v>
      </c>
      <c r="I134" s="215">
        <f>I135+I137</f>
        <v>1442603</v>
      </c>
      <c r="J134" s="237">
        <f>J135+J137</f>
        <v>1490622</v>
      </c>
      <c r="K134" s="330">
        <f>K135+K137</f>
        <v>1490622</v>
      </c>
      <c r="L134" s="313">
        <f t="shared" si="13"/>
        <v>0</v>
      </c>
      <c r="M134" s="314">
        <f t="shared" si="14"/>
        <v>99.112614098172301</v>
      </c>
      <c r="N134" s="314">
        <f t="shared" si="15"/>
        <v>99.112614098172301</v>
      </c>
    </row>
    <row r="135" spans="1:14" ht="84.9" outlineLevel="3" x14ac:dyDescent="0.3">
      <c r="A135" s="213" t="s">
        <v>11</v>
      </c>
      <c r="B135" s="214" t="s">
        <v>455</v>
      </c>
      <c r="C135" s="214" t="s">
        <v>24</v>
      </c>
      <c r="D135" s="293" t="s">
        <v>270</v>
      </c>
      <c r="E135" s="293" t="s">
        <v>12</v>
      </c>
      <c r="F135" s="294">
        <v>1380328.42</v>
      </c>
      <c r="G135" s="237">
        <f>G136</f>
        <v>1487018</v>
      </c>
      <c r="H135" s="169">
        <v>1187789.1000000001</v>
      </c>
      <c r="I135" s="215">
        <f>I136</f>
        <v>1427603</v>
      </c>
      <c r="J135" s="237">
        <f>J136</f>
        <v>1475622</v>
      </c>
      <c r="K135" s="330">
        <f>K136</f>
        <v>1475622</v>
      </c>
      <c r="L135" s="313">
        <f t="shared" si="13"/>
        <v>0</v>
      </c>
      <c r="M135" s="314">
        <f t="shared" si="14"/>
        <v>99.233634024604939</v>
      </c>
      <c r="N135" s="314">
        <f t="shared" si="15"/>
        <v>99.233634024604939</v>
      </c>
    </row>
    <row r="136" spans="1:14" ht="34" outlineLevel="3" x14ac:dyDescent="0.3">
      <c r="A136" s="213" t="s">
        <v>13</v>
      </c>
      <c r="B136" s="214" t="s">
        <v>455</v>
      </c>
      <c r="C136" s="214" t="s">
        <v>24</v>
      </c>
      <c r="D136" s="293" t="s">
        <v>270</v>
      </c>
      <c r="E136" s="293" t="s">
        <v>14</v>
      </c>
      <c r="F136" s="294">
        <v>1380328.42</v>
      </c>
      <c r="G136" s="237">
        <f>1399316+28287-1950+61365</f>
        <v>1487018</v>
      </c>
      <c r="H136" s="169">
        <v>1187789.1000000001</v>
      </c>
      <c r="I136" s="215">
        <f>'[2]прил 12'!F131</f>
        <v>1427603</v>
      </c>
      <c r="J136" s="238">
        <f>1490622-15000</f>
        <v>1475622</v>
      </c>
      <c r="K136" s="331">
        <f>1490622-15000</f>
        <v>1475622</v>
      </c>
      <c r="L136" s="313">
        <f t="shared" ref="L136:L199" si="23">K136-J136</f>
        <v>0</v>
      </c>
      <c r="M136" s="314">
        <f t="shared" ref="M136:M199" si="24">J136/G136%</f>
        <v>99.233634024604939</v>
      </c>
      <c r="N136" s="314">
        <f t="shared" ref="N136:N199" si="25">K136/G136*100</f>
        <v>99.233634024604939</v>
      </c>
    </row>
    <row r="137" spans="1:14" ht="41.3" customHeight="1" outlineLevel="7" x14ac:dyDescent="0.3">
      <c r="A137" s="213" t="s">
        <v>15</v>
      </c>
      <c r="B137" s="214" t="s">
        <v>455</v>
      </c>
      <c r="C137" s="214" t="s">
        <v>24</v>
      </c>
      <c r="D137" s="293" t="s">
        <v>270</v>
      </c>
      <c r="E137" s="293" t="s">
        <v>16</v>
      </c>
      <c r="F137" s="294">
        <v>14863.58</v>
      </c>
      <c r="G137" s="237">
        <f>G138</f>
        <v>16950</v>
      </c>
      <c r="H137" s="169">
        <v>9801.2199999999993</v>
      </c>
      <c r="I137" s="215">
        <f>I138</f>
        <v>15000</v>
      </c>
      <c r="J137" s="237">
        <f>J138</f>
        <v>15000</v>
      </c>
      <c r="K137" s="330">
        <f>K138</f>
        <v>15000</v>
      </c>
      <c r="L137" s="313">
        <f t="shared" si="23"/>
        <v>0</v>
      </c>
      <c r="M137" s="314">
        <f t="shared" si="24"/>
        <v>88.495575221238937</v>
      </c>
      <c r="N137" s="314">
        <f t="shared" si="25"/>
        <v>88.495575221238937</v>
      </c>
    </row>
    <row r="138" spans="1:14" ht="34" outlineLevel="7" x14ac:dyDescent="0.3">
      <c r="A138" s="213" t="s">
        <v>17</v>
      </c>
      <c r="B138" s="214" t="s">
        <v>455</v>
      </c>
      <c r="C138" s="214" t="s">
        <v>24</v>
      </c>
      <c r="D138" s="293" t="s">
        <v>270</v>
      </c>
      <c r="E138" s="293" t="s">
        <v>18</v>
      </c>
      <c r="F138" s="294">
        <v>14863.58</v>
      </c>
      <c r="G138" s="237">
        <f>15000+1950</f>
        <v>16950</v>
      </c>
      <c r="H138" s="169">
        <v>9801.2199999999993</v>
      </c>
      <c r="I138" s="215">
        <f>'[2]прил 12'!F133</f>
        <v>15000</v>
      </c>
      <c r="J138" s="238">
        <v>15000</v>
      </c>
      <c r="K138" s="331">
        <v>15000</v>
      </c>
      <c r="L138" s="313">
        <f t="shared" si="23"/>
        <v>0</v>
      </c>
      <c r="M138" s="314">
        <f t="shared" si="24"/>
        <v>88.495575221238937</v>
      </c>
      <c r="N138" s="314">
        <f t="shared" si="25"/>
        <v>88.495575221238937</v>
      </c>
    </row>
    <row r="139" spans="1:14" ht="84.9" outlineLevel="7" x14ac:dyDescent="0.3">
      <c r="A139" s="213" t="s">
        <v>653</v>
      </c>
      <c r="B139" s="214" t="s">
        <v>455</v>
      </c>
      <c r="C139" s="214" t="s">
        <v>24</v>
      </c>
      <c r="D139" s="293" t="s">
        <v>652</v>
      </c>
      <c r="E139" s="293" t="s">
        <v>6</v>
      </c>
      <c r="F139" s="294">
        <v>272232</v>
      </c>
      <c r="G139" s="237">
        <f t="shared" ref="G139:K140" si="26">G140</f>
        <v>353579</v>
      </c>
      <c r="H139" s="215">
        <f t="shared" si="26"/>
        <v>143160.51</v>
      </c>
      <c r="I139" s="215">
        <f t="shared" si="26"/>
        <v>353579</v>
      </c>
      <c r="J139" s="237">
        <f t="shared" si="26"/>
        <v>353579</v>
      </c>
      <c r="K139" s="330">
        <f t="shared" si="26"/>
        <v>353579</v>
      </c>
      <c r="L139" s="313">
        <f t="shared" si="23"/>
        <v>0</v>
      </c>
      <c r="M139" s="314">
        <f t="shared" si="24"/>
        <v>100</v>
      </c>
      <c r="N139" s="314">
        <f t="shared" si="25"/>
        <v>100</v>
      </c>
    </row>
    <row r="140" spans="1:14" ht="34" outlineLevel="7" x14ac:dyDescent="0.3">
      <c r="A140" s="213" t="s">
        <v>13</v>
      </c>
      <c r="B140" s="214" t="s">
        <v>455</v>
      </c>
      <c r="C140" s="214" t="s">
        <v>24</v>
      </c>
      <c r="D140" s="293" t="s">
        <v>652</v>
      </c>
      <c r="E140" s="293" t="s">
        <v>12</v>
      </c>
      <c r="F140" s="294">
        <v>272232</v>
      </c>
      <c r="G140" s="237">
        <f t="shared" si="26"/>
        <v>353579</v>
      </c>
      <c r="H140" s="169">
        <v>143160.51</v>
      </c>
      <c r="I140" s="215">
        <f t="shared" si="26"/>
        <v>353579</v>
      </c>
      <c r="J140" s="237">
        <f t="shared" si="26"/>
        <v>353579</v>
      </c>
      <c r="K140" s="330">
        <f t="shared" si="26"/>
        <v>353579</v>
      </c>
      <c r="L140" s="313">
        <f t="shared" si="23"/>
        <v>0</v>
      </c>
      <c r="M140" s="314">
        <f t="shared" si="24"/>
        <v>100</v>
      </c>
      <c r="N140" s="314">
        <f t="shared" si="25"/>
        <v>100</v>
      </c>
    </row>
    <row r="141" spans="1:14" ht="41.45" customHeight="1" outlineLevel="7" x14ac:dyDescent="0.3">
      <c r="A141" s="213" t="s">
        <v>13</v>
      </c>
      <c r="B141" s="214" t="s">
        <v>455</v>
      </c>
      <c r="C141" s="214" t="s">
        <v>24</v>
      </c>
      <c r="D141" s="293" t="s">
        <v>652</v>
      </c>
      <c r="E141" s="293" t="s">
        <v>14</v>
      </c>
      <c r="F141" s="294">
        <v>272232</v>
      </c>
      <c r="G141" s="237">
        <v>353579</v>
      </c>
      <c r="H141" s="169">
        <v>143160.51</v>
      </c>
      <c r="I141" s="215">
        <f>'[2]прил 12'!F136</f>
        <v>353579</v>
      </c>
      <c r="J141" s="238">
        <v>353579</v>
      </c>
      <c r="K141" s="331">
        <v>353579</v>
      </c>
      <c r="L141" s="313">
        <f t="shared" si="23"/>
        <v>0</v>
      </c>
      <c r="M141" s="314">
        <f t="shared" si="24"/>
        <v>100</v>
      </c>
      <c r="N141" s="314">
        <f t="shared" si="25"/>
        <v>100</v>
      </c>
    </row>
    <row r="142" spans="1:14" ht="24.8" customHeight="1" outlineLevel="7" x14ac:dyDescent="0.3">
      <c r="A142" s="185" t="s">
        <v>519</v>
      </c>
      <c r="B142" s="214" t="s">
        <v>455</v>
      </c>
      <c r="C142" s="214" t="s">
        <v>24</v>
      </c>
      <c r="D142" s="293" t="s">
        <v>524</v>
      </c>
      <c r="E142" s="293" t="s">
        <v>6</v>
      </c>
      <c r="F142" s="294">
        <v>2016764</v>
      </c>
      <c r="G142" s="237">
        <f>G143+G145</f>
        <v>2096028</v>
      </c>
      <c r="H142" s="215">
        <f>H143+H145</f>
        <v>1490075.2</v>
      </c>
      <c r="I142" s="215">
        <f>I143+I145</f>
        <v>2174817</v>
      </c>
      <c r="J142" s="237">
        <f>J143+J145</f>
        <v>2276349</v>
      </c>
      <c r="K142" s="330">
        <f>K143+K145</f>
        <v>2276349</v>
      </c>
      <c r="L142" s="313">
        <f t="shared" si="23"/>
        <v>0</v>
      </c>
      <c r="M142" s="314">
        <f t="shared" si="24"/>
        <v>108.60298621964975</v>
      </c>
      <c r="N142" s="314">
        <f t="shared" si="25"/>
        <v>108.60298621964975</v>
      </c>
    </row>
    <row r="143" spans="1:14" ht="39.75" customHeight="1" outlineLevel="7" x14ac:dyDescent="0.3">
      <c r="A143" s="213" t="s">
        <v>11</v>
      </c>
      <c r="B143" s="214" t="s">
        <v>455</v>
      </c>
      <c r="C143" s="214" t="s">
        <v>24</v>
      </c>
      <c r="D143" s="293" t="s">
        <v>524</v>
      </c>
      <c r="E143" s="293" t="s">
        <v>12</v>
      </c>
      <c r="F143" s="294">
        <v>2008305.5</v>
      </c>
      <c r="G143" s="237">
        <f>G144</f>
        <v>2081028</v>
      </c>
      <c r="H143" s="169">
        <v>1485262.04</v>
      </c>
      <c r="I143" s="215">
        <f>I144</f>
        <v>2159817</v>
      </c>
      <c r="J143" s="237">
        <f>J144</f>
        <v>2261349</v>
      </c>
      <c r="K143" s="330">
        <f>K144</f>
        <v>2261349</v>
      </c>
      <c r="L143" s="313">
        <f t="shared" si="23"/>
        <v>0</v>
      </c>
      <c r="M143" s="314">
        <f t="shared" si="24"/>
        <v>108.66499633834817</v>
      </c>
      <c r="N143" s="314">
        <f t="shared" si="25"/>
        <v>108.66499633834816</v>
      </c>
    </row>
    <row r="144" spans="1:14" ht="39.75" customHeight="1" outlineLevel="7" x14ac:dyDescent="0.3">
      <c r="A144" s="213" t="s">
        <v>13</v>
      </c>
      <c r="B144" s="214" t="s">
        <v>455</v>
      </c>
      <c r="C144" s="214" t="s">
        <v>24</v>
      </c>
      <c r="D144" s="293" t="s">
        <v>524</v>
      </c>
      <c r="E144" s="293" t="s">
        <v>14</v>
      </c>
      <c r="F144" s="294">
        <v>2008305.5</v>
      </c>
      <c r="G144" s="237">
        <v>2081028</v>
      </c>
      <c r="H144" s="169">
        <v>1485262.04</v>
      </c>
      <c r="I144" s="215">
        <f>'[2]прил 12'!F139</f>
        <v>2159817</v>
      </c>
      <c r="J144" s="238">
        <v>2261349</v>
      </c>
      <c r="K144" s="331">
        <v>2261349</v>
      </c>
      <c r="L144" s="313">
        <f t="shared" si="23"/>
        <v>0</v>
      </c>
      <c r="M144" s="314">
        <f t="shared" si="24"/>
        <v>108.66499633834817</v>
      </c>
      <c r="N144" s="314">
        <f t="shared" si="25"/>
        <v>108.66499633834816</v>
      </c>
    </row>
    <row r="145" spans="1:14" ht="34" outlineLevel="7" x14ac:dyDescent="0.3">
      <c r="A145" s="213" t="s">
        <v>15</v>
      </c>
      <c r="B145" s="214" t="s">
        <v>455</v>
      </c>
      <c r="C145" s="214" t="s">
        <v>24</v>
      </c>
      <c r="D145" s="293" t="s">
        <v>524</v>
      </c>
      <c r="E145" s="293" t="s">
        <v>16</v>
      </c>
      <c r="F145" s="294">
        <v>8458.5</v>
      </c>
      <c r="G145" s="237">
        <f>G146</f>
        <v>15000</v>
      </c>
      <c r="H145" s="169">
        <v>4813.16</v>
      </c>
      <c r="I145" s="215">
        <f>I146</f>
        <v>15000</v>
      </c>
      <c r="J145" s="237">
        <f>J146</f>
        <v>15000</v>
      </c>
      <c r="K145" s="330">
        <f>K146</f>
        <v>15000</v>
      </c>
      <c r="L145" s="313">
        <f t="shared" si="23"/>
        <v>0</v>
      </c>
      <c r="M145" s="314">
        <f t="shared" si="24"/>
        <v>100</v>
      </c>
      <c r="N145" s="314">
        <f t="shared" si="25"/>
        <v>100</v>
      </c>
    </row>
    <row r="146" spans="1:14" ht="34" outlineLevel="7" x14ac:dyDescent="0.3">
      <c r="A146" s="213" t="s">
        <v>17</v>
      </c>
      <c r="B146" s="214" t="s">
        <v>455</v>
      </c>
      <c r="C146" s="214" t="s">
        <v>24</v>
      </c>
      <c r="D146" s="293" t="s">
        <v>524</v>
      </c>
      <c r="E146" s="293" t="s">
        <v>18</v>
      </c>
      <c r="F146" s="294">
        <v>8458.5</v>
      </c>
      <c r="G146" s="237">
        <v>15000</v>
      </c>
      <c r="H146" s="169">
        <v>4813.16</v>
      </c>
      <c r="I146" s="215">
        <f>'[2]прил 12'!F141</f>
        <v>15000</v>
      </c>
      <c r="J146" s="238">
        <v>15000</v>
      </c>
      <c r="K146" s="331">
        <v>15000</v>
      </c>
      <c r="L146" s="313">
        <f t="shared" si="23"/>
        <v>0</v>
      </c>
      <c r="M146" s="314">
        <f t="shared" si="24"/>
        <v>100</v>
      </c>
      <c r="N146" s="314">
        <f t="shared" si="25"/>
        <v>100</v>
      </c>
    </row>
    <row r="147" spans="1:14" ht="74.05" customHeight="1" outlineLevel="7" x14ac:dyDescent="0.3">
      <c r="A147" s="185" t="s">
        <v>362</v>
      </c>
      <c r="B147" s="214" t="s">
        <v>455</v>
      </c>
      <c r="C147" s="214" t="s">
        <v>24</v>
      </c>
      <c r="D147" s="293" t="s">
        <v>271</v>
      </c>
      <c r="E147" s="293" t="s">
        <v>6</v>
      </c>
      <c r="F147" s="294">
        <v>764724.52</v>
      </c>
      <c r="G147" s="237">
        <f>G148+G150</f>
        <v>830909</v>
      </c>
      <c r="H147" s="215">
        <f>H148+H150</f>
        <v>587231.11</v>
      </c>
      <c r="I147" s="215">
        <f>I148+I150</f>
        <v>861546</v>
      </c>
      <c r="J147" s="237">
        <f>J148+J150</f>
        <v>946950</v>
      </c>
      <c r="K147" s="330">
        <f>K148+K150</f>
        <v>946950</v>
      </c>
      <c r="L147" s="313">
        <f t="shared" si="23"/>
        <v>0</v>
      </c>
      <c r="M147" s="314">
        <f t="shared" si="24"/>
        <v>113.96554857391122</v>
      </c>
      <c r="N147" s="314">
        <f t="shared" si="25"/>
        <v>113.96554857391121</v>
      </c>
    </row>
    <row r="148" spans="1:14" ht="86.3" customHeight="1" outlineLevel="7" x14ac:dyDescent="0.3">
      <c r="A148" s="213" t="s">
        <v>11</v>
      </c>
      <c r="B148" s="214" t="s">
        <v>455</v>
      </c>
      <c r="C148" s="214" t="s">
        <v>24</v>
      </c>
      <c r="D148" s="293" t="s">
        <v>271</v>
      </c>
      <c r="E148" s="293" t="s">
        <v>12</v>
      </c>
      <c r="F148" s="294">
        <v>751053.37</v>
      </c>
      <c r="G148" s="237">
        <f>G149</f>
        <v>785909</v>
      </c>
      <c r="H148" s="169">
        <v>560781.04</v>
      </c>
      <c r="I148" s="215">
        <f>I149</f>
        <v>816546</v>
      </c>
      <c r="J148" s="237">
        <f>J149</f>
        <v>901950</v>
      </c>
      <c r="K148" s="330">
        <f>K149</f>
        <v>901950</v>
      </c>
      <c r="L148" s="313">
        <f t="shared" si="23"/>
        <v>0</v>
      </c>
      <c r="M148" s="314">
        <f t="shared" si="24"/>
        <v>114.76519546156106</v>
      </c>
      <c r="N148" s="314">
        <f t="shared" si="25"/>
        <v>114.76519546156108</v>
      </c>
    </row>
    <row r="149" spans="1:14" ht="32.6" customHeight="1" outlineLevel="7" x14ac:dyDescent="0.3">
      <c r="A149" s="213" t="s">
        <v>13</v>
      </c>
      <c r="B149" s="214" t="s">
        <v>455</v>
      </c>
      <c r="C149" s="214" t="s">
        <v>24</v>
      </c>
      <c r="D149" s="293" t="s">
        <v>271</v>
      </c>
      <c r="E149" s="293" t="s">
        <v>14</v>
      </c>
      <c r="F149" s="294">
        <v>751053.37</v>
      </c>
      <c r="G149" s="238">
        <v>785909</v>
      </c>
      <c r="H149" s="169">
        <v>560781.04</v>
      </c>
      <c r="I149" s="217">
        <f>'[2]прил 12'!F144</f>
        <v>816546</v>
      </c>
      <c r="J149" s="238">
        <f>946950-45000</f>
        <v>901950</v>
      </c>
      <c r="K149" s="331">
        <f>946950-45000</f>
        <v>901950</v>
      </c>
      <c r="L149" s="313">
        <f t="shared" si="23"/>
        <v>0</v>
      </c>
      <c r="M149" s="314">
        <f t="shared" si="24"/>
        <v>114.76519546156106</v>
      </c>
      <c r="N149" s="314">
        <f t="shared" si="25"/>
        <v>114.76519546156108</v>
      </c>
    </row>
    <row r="150" spans="1:14" ht="45" customHeight="1" outlineLevel="7" x14ac:dyDescent="0.3">
      <c r="A150" s="213" t="s">
        <v>15</v>
      </c>
      <c r="B150" s="214" t="s">
        <v>455</v>
      </c>
      <c r="C150" s="214" t="s">
        <v>24</v>
      </c>
      <c r="D150" s="293" t="s">
        <v>271</v>
      </c>
      <c r="E150" s="293" t="s">
        <v>16</v>
      </c>
      <c r="F150" s="294">
        <v>13671.15</v>
      </c>
      <c r="G150" s="237">
        <f>G151</f>
        <v>45000</v>
      </c>
      <c r="H150" s="169">
        <v>26450.07</v>
      </c>
      <c r="I150" s="215">
        <f>I151</f>
        <v>45000</v>
      </c>
      <c r="J150" s="237">
        <f>J151</f>
        <v>45000</v>
      </c>
      <c r="K150" s="330">
        <f>K151</f>
        <v>45000</v>
      </c>
      <c r="L150" s="313">
        <f t="shared" si="23"/>
        <v>0</v>
      </c>
      <c r="M150" s="314">
        <f t="shared" si="24"/>
        <v>100</v>
      </c>
      <c r="N150" s="314">
        <f t="shared" si="25"/>
        <v>100</v>
      </c>
    </row>
    <row r="151" spans="1:14" ht="34" outlineLevel="7" x14ac:dyDescent="0.3">
      <c r="A151" s="213" t="s">
        <v>17</v>
      </c>
      <c r="B151" s="214" t="s">
        <v>455</v>
      </c>
      <c r="C151" s="214" t="s">
        <v>24</v>
      </c>
      <c r="D151" s="293" t="s">
        <v>271</v>
      </c>
      <c r="E151" s="293" t="s">
        <v>18</v>
      </c>
      <c r="F151" s="294">
        <v>13671.15</v>
      </c>
      <c r="G151" s="237">
        <v>45000</v>
      </c>
      <c r="H151" s="169">
        <v>26450.07</v>
      </c>
      <c r="I151" s="215">
        <f>'[2]прил 12'!F146</f>
        <v>45000</v>
      </c>
      <c r="J151" s="238">
        <v>45000</v>
      </c>
      <c r="K151" s="331">
        <v>45000</v>
      </c>
      <c r="L151" s="313">
        <f t="shared" si="23"/>
        <v>0</v>
      </c>
      <c r="M151" s="314">
        <f t="shared" si="24"/>
        <v>100</v>
      </c>
      <c r="N151" s="314">
        <f t="shared" si="25"/>
        <v>100</v>
      </c>
    </row>
    <row r="152" spans="1:14" ht="57.25" customHeight="1" outlineLevel="7" x14ac:dyDescent="0.3">
      <c r="A152" s="213" t="s">
        <v>380</v>
      </c>
      <c r="B152" s="214" t="s">
        <v>455</v>
      </c>
      <c r="C152" s="214" t="s">
        <v>24</v>
      </c>
      <c r="D152" s="293" t="s">
        <v>381</v>
      </c>
      <c r="E152" s="293" t="s">
        <v>6</v>
      </c>
      <c r="F152" s="294">
        <v>1791402.17</v>
      </c>
      <c r="G152" s="237">
        <f>G153+G155</f>
        <v>1950219</v>
      </c>
      <c r="H152" s="215">
        <f>H153+H155</f>
        <v>1271500</v>
      </c>
      <c r="I152" s="215">
        <f>I153+I155</f>
        <v>2021924</v>
      </c>
      <c r="J152" s="237">
        <f>J153+J155</f>
        <v>2028917</v>
      </c>
      <c r="K152" s="330">
        <f>K153+K155</f>
        <v>2028917</v>
      </c>
      <c r="L152" s="313">
        <f t="shared" si="23"/>
        <v>0</v>
      </c>
      <c r="M152" s="314">
        <f t="shared" si="24"/>
        <v>104.03534167188404</v>
      </c>
      <c r="N152" s="314">
        <f t="shared" si="25"/>
        <v>104.03534167188401</v>
      </c>
    </row>
    <row r="153" spans="1:14" ht="84.9" outlineLevel="7" x14ac:dyDescent="0.3">
      <c r="A153" s="213" t="s">
        <v>11</v>
      </c>
      <c r="B153" s="214" t="s">
        <v>455</v>
      </c>
      <c r="C153" s="214" t="s">
        <v>24</v>
      </c>
      <c r="D153" s="293" t="s">
        <v>381</v>
      </c>
      <c r="E153" s="293" t="s">
        <v>12</v>
      </c>
      <c r="F153" s="294">
        <v>1659215.56</v>
      </c>
      <c r="G153" s="237">
        <f>G154</f>
        <v>1792619</v>
      </c>
      <c r="H153" s="169">
        <v>1243138.07</v>
      </c>
      <c r="I153" s="215">
        <f>I154</f>
        <v>1864324</v>
      </c>
      <c r="J153" s="237">
        <f>J154</f>
        <v>1871317</v>
      </c>
      <c r="K153" s="330">
        <f>K154</f>
        <v>1871317</v>
      </c>
      <c r="L153" s="313">
        <f t="shared" si="23"/>
        <v>0</v>
      </c>
      <c r="M153" s="314">
        <f t="shared" si="24"/>
        <v>104.3901130134178</v>
      </c>
      <c r="N153" s="314">
        <f t="shared" si="25"/>
        <v>104.3901130134178</v>
      </c>
    </row>
    <row r="154" spans="1:14" ht="21.25" customHeight="1" outlineLevel="7" x14ac:dyDescent="0.3">
      <c r="A154" s="213" t="s">
        <v>13</v>
      </c>
      <c r="B154" s="214" t="s">
        <v>455</v>
      </c>
      <c r="C154" s="214" t="s">
        <v>24</v>
      </c>
      <c r="D154" s="293" t="s">
        <v>381</v>
      </c>
      <c r="E154" s="293" t="s">
        <v>14</v>
      </c>
      <c r="F154" s="294">
        <v>1659215.56</v>
      </c>
      <c r="G154" s="237">
        <v>1792619</v>
      </c>
      <c r="H154" s="169">
        <v>1243138.07</v>
      </c>
      <c r="I154" s="215">
        <f>'[2]прил 12'!F149</f>
        <v>1864324</v>
      </c>
      <c r="J154" s="238">
        <f>1871917-600</f>
        <v>1871317</v>
      </c>
      <c r="K154" s="331">
        <f>1871917-600</f>
        <v>1871317</v>
      </c>
      <c r="L154" s="313">
        <f t="shared" si="23"/>
        <v>0</v>
      </c>
      <c r="M154" s="314">
        <f t="shared" si="24"/>
        <v>104.3901130134178</v>
      </c>
      <c r="N154" s="314">
        <f t="shared" si="25"/>
        <v>104.3901130134178</v>
      </c>
    </row>
    <row r="155" spans="1:14" ht="38.25" customHeight="1" outlineLevel="7" x14ac:dyDescent="0.3">
      <c r="A155" s="213" t="s">
        <v>15</v>
      </c>
      <c r="B155" s="214" t="s">
        <v>455</v>
      </c>
      <c r="C155" s="214" t="s">
        <v>24</v>
      </c>
      <c r="D155" s="293" t="s">
        <v>381</v>
      </c>
      <c r="E155" s="293" t="s">
        <v>16</v>
      </c>
      <c r="F155" s="294">
        <v>132186.60999999999</v>
      </c>
      <c r="G155" s="237">
        <f>G156</f>
        <v>157600</v>
      </c>
      <c r="H155" s="169">
        <v>28361.93</v>
      </c>
      <c r="I155" s="215">
        <f>I156</f>
        <v>157600</v>
      </c>
      <c r="J155" s="237">
        <f>J156</f>
        <v>157600</v>
      </c>
      <c r="K155" s="330">
        <f>K156</f>
        <v>157600</v>
      </c>
      <c r="L155" s="313">
        <f t="shared" si="23"/>
        <v>0</v>
      </c>
      <c r="M155" s="314">
        <f t="shared" si="24"/>
        <v>100</v>
      </c>
      <c r="N155" s="314">
        <f t="shared" si="25"/>
        <v>100</v>
      </c>
    </row>
    <row r="156" spans="1:14" ht="34" outlineLevel="7" x14ac:dyDescent="0.3">
      <c r="A156" s="213" t="s">
        <v>17</v>
      </c>
      <c r="B156" s="214" t="s">
        <v>455</v>
      </c>
      <c r="C156" s="214" t="s">
        <v>24</v>
      </c>
      <c r="D156" s="293" t="s">
        <v>381</v>
      </c>
      <c r="E156" s="293" t="s">
        <v>18</v>
      </c>
      <c r="F156" s="294">
        <v>132186.60999999999</v>
      </c>
      <c r="G156" s="237">
        <v>157600</v>
      </c>
      <c r="H156" s="169">
        <v>28361.93</v>
      </c>
      <c r="I156" s="215">
        <f>'[2]прил 12'!F151</f>
        <v>157600</v>
      </c>
      <c r="J156" s="238">
        <f>157000+600</f>
        <v>157600</v>
      </c>
      <c r="K156" s="331">
        <f>157000+600</f>
        <v>157600</v>
      </c>
      <c r="L156" s="313">
        <f t="shared" si="23"/>
        <v>0</v>
      </c>
      <c r="M156" s="314">
        <f t="shared" si="24"/>
        <v>100</v>
      </c>
      <c r="N156" s="314">
        <f t="shared" si="25"/>
        <v>100</v>
      </c>
    </row>
    <row r="157" spans="1:14" ht="101.25" customHeight="1" outlineLevel="7" x14ac:dyDescent="0.3">
      <c r="A157" s="185" t="s">
        <v>593</v>
      </c>
      <c r="B157" s="214" t="s">
        <v>455</v>
      </c>
      <c r="C157" s="214" t="s">
        <v>24</v>
      </c>
      <c r="D157" s="293" t="s">
        <v>287</v>
      </c>
      <c r="E157" s="293" t="s">
        <v>6</v>
      </c>
      <c r="F157" s="294">
        <v>688357.04</v>
      </c>
      <c r="G157" s="237">
        <f>G158+G160</f>
        <v>1985913.22</v>
      </c>
      <c r="H157" s="215">
        <f>H158+H160</f>
        <v>1203439.49</v>
      </c>
      <c r="I157" s="215">
        <f>I158+I160</f>
        <v>714000</v>
      </c>
      <c r="J157" s="237">
        <f>J158+J160</f>
        <v>714000</v>
      </c>
      <c r="K157" s="330">
        <f>K158+K160</f>
        <v>714000</v>
      </c>
      <c r="L157" s="313">
        <f t="shared" si="23"/>
        <v>0</v>
      </c>
      <c r="M157" s="314">
        <f t="shared" si="24"/>
        <v>35.953232639238891</v>
      </c>
      <c r="N157" s="314">
        <f t="shared" si="25"/>
        <v>35.953232639238891</v>
      </c>
    </row>
    <row r="158" spans="1:14" ht="84.9" outlineLevel="7" x14ac:dyDescent="0.3">
      <c r="A158" s="213" t="s">
        <v>11</v>
      </c>
      <c r="B158" s="214" t="s">
        <v>455</v>
      </c>
      <c r="C158" s="214" t="s">
        <v>24</v>
      </c>
      <c r="D158" s="293" t="s">
        <v>287</v>
      </c>
      <c r="E158" s="293" t="s">
        <v>12</v>
      </c>
      <c r="F158" s="294">
        <v>687395.61</v>
      </c>
      <c r="G158" s="237">
        <f>G159</f>
        <v>760000</v>
      </c>
      <c r="H158" s="169">
        <v>429870.59</v>
      </c>
      <c r="I158" s="215">
        <f>I159</f>
        <v>654000</v>
      </c>
      <c r="J158" s="237">
        <f>J159</f>
        <v>654000</v>
      </c>
      <c r="K158" s="330">
        <f>K159</f>
        <v>654000</v>
      </c>
      <c r="L158" s="313">
        <f t="shared" si="23"/>
        <v>0</v>
      </c>
      <c r="M158" s="314">
        <f t="shared" si="24"/>
        <v>86.05263157894737</v>
      </c>
      <c r="N158" s="314">
        <f t="shared" si="25"/>
        <v>86.05263157894737</v>
      </c>
    </row>
    <row r="159" spans="1:14" ht="19.55" customHeight="1" outlineLevel="7" x14ac:dyDescent="0.3">
      <c r="A159" s="213" t="s">
        <v>13</v>
      </c>
      <c r="B159" s="214" t="s">
        <v>455</v>
      </c>
      <c r="C159" s="214" t="s">
        <v>24</v>
      </c>
      <c r="D159" s="293" t="s">
        <v>287</v>
      </c>
      <c r="E159" s="293" t="s">
        <v>14</v>
      </c>
      <c r="F159" s="294">
        <v>687395.61</v>
      </c>
      <c r="G159" s="237">
        <f>644151.93+115848.07</f>
        <v>760000</v>
      </c>
      <c r="H159" s="169">
        <v>429870.59</v>
      </c>
      <c r="I159" s="215">
        <f>'[2]прил 12'!F154</f>
        <v>654000</v>
      </c>
      <c r="J159" s="238">
        <v>654000</v>
      </c>
      <c r="K159" s="331">
        <v>654000</v>
      </c>
      <c r="L159" s="313">
        <f t="shared" si="23"/>
        <v>0</v>
      </c>
      <c r="M159" s="314">
        <f t="shared" si="24"/>
        <v>86.05263157894737</v>
      </c>
      <c r="N159" s="314">
        <f t="shared" si="25"/>
        <v>86.05263157894737</v>
      </c>
    </row>
    <row r="160" spans="1:14" ht="46.55" customHeight="1" outlineLevel="3" x14ac:dyDescent="0.3">
      <c r="A160" s="213" t="s">
        <v>15</v>
      </c>
      <c r="B160" s="214" t="s">
        <v>455</v>
      </c>
      <c r="C160" s="214" t="s">
        <v>24</v>
      </c>
      <c r="D160" s="293" t="s">
        <v>287</v>
      </c>
      <c r="E160" s="293" t="s">
        <v>16</v>
      </c>
      <c r="F160" s="294">
        <v>961.43</v>
      </c>
      <c r="G160" s="237">
        <f>G161</f>
        <v>1225913.22</v>
      </c>
      <c r="H160" s="169">
        <v>773568.9</v>
      </c>
      <c r="I160" s="215">
        <f>I161</f>
        <v>60000</v>
      </c>
      <c r="J160" s="237">
        <f>J161</f>
        <v>60000</v>
      </c>
      <c r="K160" s="330">
        <f>K161</f>
        <v>60000</v>
      </c>
      <c r="L160" s="313">
        <f t="shared" si="23"/>
        <v>0</v>
      </c>
      <c r="M160" s="314">
        <f t="shared" si="24"/>
        <v>4.8943105450808337</v>
      </c>
      <c r="N160" s="314">
        <f t="shared" si="25"/>
        <v>4.8943105450808337</v>
      </c>
    </row>
    <row r="161" spans="1:14" ht="34" outlineLevel="3" x14ac:dyDescent="0.3">
      <c r="A161" s="213" t="s">
        <v>17</v>
      </c>
      <c r="B161" s="214" t="s">
        <v>455</v>
      </c>
      <c r="C161" s="214" t="s">
        <v>24</v>
      </c>
      <c r="D161" s="293" t="s">
        <v>287</v>
      </c>
      <c r="E161" s="293" t="s">
        <v>18</v>
      </c>
      <c r="F161" s="294">
        <v>961.43</v>
      </c>
      <c r="G161" s="237">
        <f>60000+353071.62+812841.6</f>
        <v>1225913.22</v>
      </c>
      <c r="H161" s="169">
        <v>773568.9</v>
      </c>
      <c r="I161" s="215">
        <f>'[2]прил 12'!F156</f>
        <v>60000</v>
      </c>
      <c r="J161" s="238">
        <v>60000</v>
      </c>
      <c r="K161" s="331">
        <v>60000</v>
      </c>
      <c r="L161" s="313">
        <f t="shared" si="23"/>
        <v>0</v>
      </c>
      <c r="M161" s="314">
        <f t="shared" si="24"/>
        <v>4.8943105450808337</v>
      </c>
      <c r="N161" s="314">
        <f t="shared" si="25"/>
        <v>4.8943105450808337</v>
      </c>
    </row>
    <row r="162" spans="1:14" ht="23.3" customHeight="1" outlineLevel="3" x14ac:dyDescent="0.3">
      <c r="A162" s="219" t="s">
        <v>525</v>
      </c>
      <c r="B162" s="220" t="s">
        <v>455</v>
      </c>
      <c r="C162" s="220" t="s">
        <v>26</v>
      </c>
      <c r="D162" s="295" t="s">
        <v>126</v>
      </c>
      <c r="E162" s="295" t="s">
        <v>6</v>
      </c>
      <c r="F162" s="294">
        <v>1465098.76</v>
      </c>
      <c r="G162" s="237">
        <f t="shared" ref="G162:K167" si="27">G163</f>
        <v>1626656</v>
      </c>
      <c r="H162" s="215">
        <f t="shared" si="27"/>
        <v>1189929.46</v>
      </c>
      <c r="I162" s="215">
        <f t="shared" si="27"/>
        <v>1700240</v>
      </c>
      <c r="J162" s="237">
        <f t="shared" si="27"/>
        <v>1951380</v>
      </c>
      <c r="K162" s="330">
        <f t="shared" si="27"/>
        <v>1951380</v>
      </c>
      <c r="L162" s="313">
        <f t="shared" si="23"/>
        <v>0</v>
      </c>
      <c r="M162" s="314">
        <f t="shared" si="24"/>
        <v>119.96267188637303</v>
      </c>
      <c r="N162" s="314">
        <f t="shared" si="25"/>
        <v>119.96267188637302</v>
      </c>
    </row>
    <row r="163" spans="1:14" ht="23.95" customHeight="1" outlineLevel="3" x14ac:dyDescent="0.3">
      <c r="A163" s="213" t="s">
        <v>526</v>
      </c>
      <c r="B163" s="214" t="s">
        <v>455</v>
      </c>
      <c r="C163" s="214" t="s">
        <v>527</v>
      </c>
      <c r="D163" s="293" t="s">
        <v>126</v>
      </c>
      <c r="E163" s="293" t="s">
        <v>6</v>
      </c>
      <c r="F163" s="294">
        <v>1465098.76</v>
      </c>
      <c r="G163" s="237">
        <f t="shared" si="27"/>
        <v>1626656</v>
      </c>
      <c r="H163" s="215">
        <f t="shared" si="27"/>
        <v>1189929.46</v>
      </c>
      <c r="I163" s="215">
        <f t="shared" si="27"/>
        <v>1700240</v>
      </c>
      <c r="J163" s="237">
        <f t="shared" si="27"/>
        <v>1951380</v>
      </c>
      <c r="K163" s="330">
        <f t="shared" si="27"/>
        <v>1951380</v>
      </c>
      <c r="L163" s="313">
        <f t="shared" si="23"/>
        <v>0</v>
      </c>
      <c r="M163" s="314">
        <f t="shared" si="24"/>
        <v>119.96267188637303</v>
      </c>
      <c r="N163" s="314">
        <f t="shared" si="25"/>
        <v>119.96267188637302</v>
      </c>
    </row>
    <row r="164" spans="1:14" ht="34" outlineLevel="3" x14ac:dyDescent="0.3">
      <c r="A164" s="213" t="s">
        <v>132</v>
      </c>
      <c r="B164" s="214" t="s">
        <v>455</v>
      </c>
      <c r="C164" s="214" t="s">
        <v>527</v>
      </c>
      <c r="D164" s="293" t="s">
        <v>127</v>
      </c>
      <c r="E164" s="293" t="s">
        <v>6</v>
      </c>
      <c r="F164" s="294">
        <v>1465098.76</v>
      </c>
      <c r="G164" s="237">
        <f>G165+G169</f>
        <v>1626656</v>
      </c>
      <c r="H164" s="215">
        <f>H165+H169</f>
        <v>1189929.46</v>
      </c>
      <c r="I164" s="215">
        <f>I165+I169</f>
        <v>1700240</v>
      </c>
      <c r="J164" s="237">
        <f>J165+J169</f>
        <v>1951380</v>
      </c>
      <c r="K164" s="330">
        <f>K165+K169</f>
        <v>1951380</v>
      </c>
      <c r="L164" s="313">
        <f t="shared" si="23"/>
        <v>0</v>
      </c>
      <c r="M164" s="314">
        <f t="shared" si="24"/>
        <v>119.96267188637303</v>
      </c>
      <c r="N164" s="314">
        <f t="shared" si="25"/>
        <v>119.96267188637302</v>
      </c>
    </row>
    <row r="165" spans="1:14" ht="19.55" customHeight="1" outlineLevel="3" x14ac:dyDescent="0.3">
      <c r="A165" s="213" t="s">
        <v>269</v>
      </c>
      <c r="B165" s="214" t="s">
        <v>455</v>
      </c>
      <c r="C165" s="214" t="s">
        <v>527</v>
      </c>
      <c r="D165" s="293" t="s">
        <v>268</v>
      </c>
      <c r="E165" s="293" t="s">
        <v>6</v>
      </c>
      <c r="F165" s="294">
        <v>1334332</v>
      </c>
      <c r="G165" s="237">
        <f t="shared" si="27"/>
        <v>1383656</v>
      </c>
      <c r="H165" s="215">
        <f t="shared" si="27"/>
        <v>968820.64</v>
      </c>
      <c r="I165" s="215">
        <f t="shared" si="27"/>
        <v>1430240</v>
      </c>
      <c r="J165" s="237">
        <f t="shared" si="27"/>
        <v>1681380</v>
      </c>
      <c r="K165" s="330">
        <f t="shared" si="27"/>
        <v>1681380</v>
      </c>
      <c r="L165" s="313">
        <f t="shared" si="23"/>
        <v>0</v>
      </c>
      <c r="M165" s="314">
        <f t="shared" si="24"/>
        <v>121.51719791624508</v>
      </c>
      <c r="N165" s="314">
        <f t="shared" si="25"/>
        <v>121.51719791624507</v>
      </c>
    </row>
    <row r="166" spans="1:14" ht="19.55" customHeight="1" outlineLevel="3" x14ac:dyDescent="0.3">
      <c r="A166" s="225" t="s">
        <v>528</v>
      </c>
      <c r="B166" s="214" t="s">
        <v>455</v>
      </c>
      <c r="C166" s="214" t="s">
        <v>527</v>
      </c>
      <c r="D166" s="293" t="s">
        <v>529</v>
      </c>
      <c r="E166" s="293" t="s">
        <v>6</v>
      </c>
      <c r="F166" s="294">
        <v>1334332</v>
      </c>
      <c r="G166" s="237">
        <f t="shared" si="27"/>
        <v>1383656</v>
      </c>
      <c r="H166" s="215">
        <f t="shared" si="27"/>
        <v>968820.64</v>
      </c>
      <c r="I166" s="215">
        <f t="shared" si="27"/>
        <v>1430240</v>
      </c>
      <c r="J166" s="237">
        <f t="shared" si="27"/>
        <v>1681380</v>
      </c>
      <c r="K166" s="330">
        <f t="shared" si="27"/>
        <v>1681380</v>
      </c>
      <c r="L166" s="313">
        <f t="shared" si="23"/>
        <v>0</v>
      </c>
      <c r="M166" s="314">
        <f t="shared" si="24"/>
        <v>121.51719791624508</v>
      </c>
      <c r="N166" s="314">
        <f t="shared" si="25"/>
        <v>121.51719791624507</v>
      </c>
    </row>
    <row r="167" spans="1:14" ht="84.9" outlineLevel="3" x14ac:dyDescent="0.3">
      <c r="A167" s="213" t="s">
        <v>11</v>
      </c>
      <c r="B167" s="214" t="s">
        <v>455</v>
      </c>
      <c r="C167" s="214" t="s">
        <v>527</v>
      </c>
      <c r="D167" s="293" t="s">
        <v>529</v>
      </c>
      <c r="E167" s="293" t="s">
        <v>12</v>
      </c>
      <c r="F167" s="294">
        <v>1334332</v>
      </c>
      <c r="G167" s="237">
        <f t="shared" si="27"/>
        <v>1383656</v>
      </c>
      <c r="H167" s="169">
        <v>968820.64</v>
      </c>
      <c r="I167" s="215">
        <f>I168</f>
        <v>1430240</v>
      </c>
      <c r="J167" s="237">
        <f>J168</f>
        <v>1681380</v>
      </c>
      <c r="K167" s="330">
        <f>K168</f>
        <v>1681380</v>
      </c>
      <c r="L167" s="313">
        <f t="shared" si="23"/>
        <v>0</v>
      </c>
      <c r="M167" s="314">
        <f t="shared" si="24"/>
        <v>121.51719791624508</v>
      </c>
      <c r="N167" s="314">
        <f t="shared" si="25"/>
        <v>121.51719791624507</v>
      </c>
    </row>
    <row r="168" spans="1:14" ht="34" outlineLevel="3" x14ac:dyDescent="0.3">
      <c r="A168" s="213" t="s">
        <v>13</v>
      </c>
      <c r="B168" s="214" t="s">
        <v>455</v>
      </c>
      <c r="C168" s="214" t="s">
        <v>527</v>
      </c>
      <c r="D168" s="293" t="s">
        <v>529</v>
      </c>
      <c r="E168" s="293" t="s">
        <v>14</v>
      </c>
      <c r="F168" s="294">
        <v>1334332</v>
      </c>
      <c r="G168" s="237">
        <v>1383656</v>
      </c>
      <c r="H168" s="169">
        <v>968820.64</v>
      </c>
      <c r="I168" s="215">
        <f>'[2]прил 12'!F163</f>
        <v>1430240</v>
      </c>
      <c r="J168" s="238">
        <v>1681380</v>
      </c>
      <c r="K168" s="331">
        <v>1681380</v>
      </c>
      <c r="L168" s="313">
        <f t="shared" si="23"/>
        <v>0</v>
      </c>
      <c r="M168" s="314">
        <f t="shared" si="24"/>
        <v>121.51719791624508</v>
      </c>
      <c r="N168" s="314">
        <f t="shared" si="25"/>
        <v>121.51719791624507</v>
      </c>
    </row>
    <row r="169" spans="1:14" ht="50.95" outlineLevel="3" x14ac:dyDescent="0.3">
      <c r="A169" s="225" t="s">
        <v>654</v>
      </c>
      <c r="B169" s="214" t="s">
        <v>455</v>
      </c>
      <c r="C169" s="214" t="s">
        <v>527</v>
      </c>
      <c r="D169" s="293" t="s">
        <v>659</v>
      </c>
      <c r="E169" s="293" t="s">
        <v>6</v>
      </c>
      <c r="F169" s="294">
        <v>130766.76</v>
      </c>
      <c r="G169" s="237">
        <f t="shared" ref="G169:K170" si="28">G170</f>
        <v>243000</v>
      </c>
      <c r="H169" s="215">
        <f t="shared" si="28"/>
        <v>221108.82</v>
      </c>
      <c r="I169" s="215">
        <f t="shared" si="28"/>
        <v>270000</v>
      </c>
      <c r="J169" s="237">
        <f t="shared" si="28"/>
        <v>270000</v>
      </c>
      <c r="K169" s="330">
        <f t="shared" si="28"/>
        <v>270000</v>
      </c>
      <c r="L169" s="313">
        <f t="shared" si="23"/>
        <v>0</v>
      </c>
      <c r="M169" s="314">
        <f t="shared" si="24"/>
        <v>111.11111111111111</v>
      </c>
      <c r="N169" s="314">
        <f t="shared" si="25"/>
        <v>111.11111111111111</v>
      </c>
    </row>
    <row r="170" spans="1:14" ht="76.75" customHeight="1" outlineLevel="3" x14ac:dyDescent="0.3">
      <c r="A170" s="213" t="s">
        <v>11</v>
      </c>
      <c r="B170" s="214" t="s">
        <v>455</v>
      </c>
      <c r="C170" s="214" t="s">
        <v>527</v>
      </c>
      <c r="D170" s="293" t="s">
        <v>659</v>
      </c>
      <c r="E170" s="293" t="s">
        <v>12</v>
      </c>
      <c r="F170" s="294">
        <v>130766.76</v>
      </c>
      <c r="G170" s="237">
        <f t="shared" si="28"/>
        <v>243000</v>
      </c>
      <c r="H170" s="169">
        <v>221108.82</v>
      </c>
      <c r="I170" s="215">
        <f t="shared" si="28"/>
        <v>270000</v>
      </c>
      <c r="J170" s="237">
        <f t="shared" si="28"/>
        <v>270000</v>
      </c>
      <c r="K170" s="330">
        <f t="shared" si="28"/>
        <v>270000</v>
      </c>
      <c r="L170" s="313">
        <f t="shared" si="23"/>
        <v>0</v>
      </c>
      <c r="M170" s="314">
        <f t="shared" si="24"/>
        <v>111.11111111111111</v>
      </c>
      <c r="N170" s="314">
        <f t="shared" si="25"/>
        <v>111.11111111111111</v>
      </c>
    </row>
    <row r="171" spans="1:14" ht="34" outlineLevel="3" x14ac:dyDescent="0.3">
      <c r="A171" s="213" t="s">
        <v>13</v>
      </c>
      <c r="B171" s="214" t="s">
        <v>455</v>
      </c>
      <c r="C171" s="214" t="s">
        <v>527</v>
      </c>
      <c r="D171" s="293" t="s">
        <v>659</v>
      </c>
      <c r="E171" s="293" t="s">
        <v>14</v>
      </c>
      <c r="F171" s="294">
        <v>130766.76</v>
      </c>
      <c r="G171" s="237">
        <f>[2]потребность!I166</f>
        <v>243000</v>
      </c>
      <c r="H171" s="169">
        <v>221108.82</v>
      </c>
      <c r="I171" s="215">
        <f>'[2]прил 12'!F166</f>
        <v>270000</v>
      </c>
      <c r="J171" s="238">
        <v>270000</v>
      </c>
      <c r="K171" s="331">
        <v>270000</v>
      </c>
      <c r="L171" s="313">
        <f t="shared" si="23"/>
        <v>0</v>
      </c>
      <c r="M171" s="314">
        <f t="shared" si="24"/>
        <v>111.11111111111111</v>
      </c>
      <c r="N171" s="314">
        <f t="shared" si="25"/>
        <v>111.11111111111111</v>
      </c>
    </row>
    <row r="172" spans="1:14" ht="34" outlineLevel="3" x14ac:dyDescent="0.3">
      <c r="A172" s="219" t="s">
        <v>41</v>
      </c>
      <c r="B172" s="220" t="s">
        <v>455</v>
      </c>
      <c r="C172" s="220" t="s">
        <v>42</v>
      </c>
      <c r="D172" s="295" t="s">
        <v>126</v>
      </c>
      <c r="E172" s="295" t="s">
        <v>6</v>
      </c>
      <c r="F172" s="294">
        <v>11670348.939999999</v>
      </c>
      <c r="G172" s="273">
        <f>G173+G178</f>
        <v>991747.04</v>
      </c>
      <c r="H172" s="221">
        <f>H173+H178</f>
        <v>380730.4</v>
      </c>
      <c r="I172" s="221">
        <f>I173+I178</f>
        <v>400000</v>
      </c>
      <c r="J172" s="273">
        <f>J173+J178</f>
        <v>1805000</v>
      </c>
      <c r="K172" s="333">
        <f>K173+K178</f>
        <v>805000</v>
      </c>
      <c r="L172" s="313">
        <f t="shared" si="23"/>
        <v>-1000000</v>
      </c>
      <c r="M172" s="314">
        <f t="shared" si="24"/>
        <v>182.00205568549012</v>
      </c>
      <c r="N172" s="314">
        <f t="shared" si="25"/>
        <v>81.169891870814155</v>
      </c>
    </row>
    <row r="173" spans="1:14" ht="50.95" outlineLevel="3" x14ac:dyDescent="0.3">
      <c r="A173" s="213" t="s">
        <v>43</v>
      </c>
      <c r="B173" s="214" t="s">
        <v>455</v>
      </c>
      <c r="C173" s="214" t="s">
        <v>44</v>
      </c>
      <c r="D173" s="293" t="s">
        <v>126</v>
      </c>
      <c r="E173" s="293" t="s">
        <v>6</v>
      </c>
      <c r="F173" s="294">
        <v>11433943.199999999</v>
      </c>
      <c r="G173" s="237">
        <f t="shared" ref="G173:K176" si="29">G174</f>
        <v>406747.04000000004</v>
      </c>
      <c r="H173" s="215">
        <f t="shared" si="29"/>
        <v>0</v>
      </c>
      <c r="I173" s="215">
        <f t="shared" si="29"/>
        <v>200000</v>
      </c>
      <c r="J173" s="237">
        <f t="shared" si="29"/>
        <v>200000</v>
      </c>
      <c r="K173" s="330">
        <f t="shared" si="29"/>
        <v>200000</v>
      </c>
      <c r="L173" s="313">
        <f t="shared" si="23"/>
        <v>0</v>
      </c>
      <c r="M173" s="314">
        <f t="shared" si="24"/>
        <v>49.170609821770306</v>
      </c>
      <c r="N173" s="314">
        <f t="shared" si="25"/>
        <v>49.170609821770299</v>
      </c>
    </row>
    <row r="174" spans="1:14" ht="34" outlineLevel="3" x14ac:dyDescent="0.3">
      <c r="A174" s="213" t="s">
        <v>132</v>
      </c>
      <c r="B174" s="214" t="s">
        <v>455</v>
      </c>
      <c r="C174" s="214" t="s">
        <v>44</v>
      </c>
      <c r="D174" s="293" t="s">
        <v>127</v>
      </c>
      <c r="E174" s="293" t="s">
        <v>6</v>
      </c>
      <c r="F174" s="294">
        <v>11433943.199999999</v>
      </c>
      <c r="G174" s="237">
        <f t="shared" si="29"/>
        <v>406747.04000000004</v>
      </c>
      <c r="H174" s="215">
        <f t="shared" si="29"/>
        <v>0</v>
      </c>
      <c r="I174" s="215">
        <f t="shared" si="29"/>
        <v>200000</v>
      </c>
      <c r="J174" s="237">
        <f t="shared" si="29"/>
        <v>200000</v>
      </c>
      <c r="K174" s="330">
        <f t="shared" si="29"/>
        <v>200000</v>
      </c>
      <c r="L174" s="313">
        <f t="shared" si="23"/>
        <v>0</v>
      </c>
      <c r="M174" s="314">
        <f t="shared" si="24"/>
        <v>49.170609821770306</v>
      </c>
      <c r="N174" s="314">
        <f t="shared" si="25"/>
        <v>49.170609821770299</v>
      </c>
    </row>
    <row r="175" spans="1:14" s="224" customFormat="1" ht="34" outlineLevel="1" x14ac:dyDescent="0.3">
      <c r="A175" s="213" t="s">
        <v>45</v>
      </c>
      <c r="B175" s="214" t="s">
        <v>455</v>
      </c>
      <c r="C175" s="214" t="s">
        <v>44</v>
      </c>
      <c r="D175" s="293" t="s">
        <v>133</v>
      </c>
      <c r="E175" s="293" t="s">
        <v>6</v>
      </c>
      <c r="F175" s="294">
        <v>11433943.199999999</v>
      </c>
      <c r="G175" s="237">
        <f t="shared" si="29"/>
        <v>406747.04000000004</v>
      </c>
      <c r="H175" s="215">
        <f t="shared" si="29"/>
        <v>0</v>
      </c>
      <c r="I175" s="215">
        <f t="shared" si="29"/>
        <v>200000</v>
      </c>
      <c r="J175" s="237">
        <f t="shared" si="29"/>
        <v>200000</v>
      </c>
      <c r="K175" s="330">
        <f t="shared" si="29"/>
        <v>200000</v>
      </c>
      <c r="L175" s="313">
        <f t="shared" si="23"/>
        <v>0</v>
      </c>
      <c r="M175" s="314">
        <f t="shared" si="24"/>
        <v>49.170609821770306</v>
      </c>
      <c r="N175" s="314">
        <f t="shared" si="25"/>
        <v>49.170609821770299</v>
      </c>
    </row>
    <row r="176" spans="1:14" ht="34" outlineLevel="2" x14ac:dyDescent="0.3">
      <c r="A176" s="213" t="s">
        <v>15</v>
      </c>
      <c r="B176" s="214" t="s">
        <v>455</v>
      </c>
      <c r="C176" s="214" t="s">
        <v>44</v>
      </c>
      <c r="D176" s="293" t="s">
        <v>133</v>
      </c>
      <c r="E176" s="293" t="s">
        <v>16</v>
      </c>
      <c r="F176" s="294">
        <v>11433943.199999999</v>
      </c>
      <c r="G176" s="237">
        <f t="shared" si="29"/>
        <v>406747.04000000004</v>
      </c>
      <c r="H176" s="215">
        <v>0</v>
      </c>
      <c r="I176" s="215">
        <f t="shared" si="29"/>
        <v>200000</v>
      </c>
      <c r="J176" s="237">
        <f t="shared" si="29"/>
        <v>200000</v>
      </c>
      <c r="K176" s="330">
        <f t="shared" si="29"/>
        <v>200000</v>
      </c>
      <c r="L176" s="313">
        <f t="shared" si="23"/>
        <v>0</v>
      </c>
      <c r="M176" s="314">
        <f t="shared" si="24"/>
        <v>49.170609821770306</v>
      </c>
      <c r="N176" s="314">
        <f t="shared" si="25"/>
        <v>49.170609821770299</v>
      </c>
    </row>
    <row r="177" spans="1:14" ht="34" outlineLevel="4" x14ac:dyDescent="0.3">
      <c r="A177" s="213" t="s">
        <v>17</v>
      </c>
      <c r="B177" s="214" t="s">
        <v>455</v>
      </c>
      <c r="C177" s="214" t="s">
        <v>44</v>
      </c>
      <c r="D177" s="293" t="s">
        <v>133</v>
      </c>
      <c r="E177" s="293" t="s">
        <v>18</v>
      </c>
      <c r="F177" s="294">
        <v>11433943.199999999</v>
      </c>
      <c r="G177" s="237">
        <f>[2]потребность!I172</f>
        <v>406747.04000000004</v>
      </c>
      <c r="H177" s="215">
        <v>0</v>
      </c>
      <c r="I177" s="215">
        <f>'[2]прил 12'!F172</f>
        <v>200000</v>
      </c>
      <c r="J177" s="238">
        <v>200000</v>
      </c>
      <c r="K177" s="331">
        <v>200000</v>
      </c>
      <c r="L177" s="313">
        <f t="shared" si="23"/>
        <v>0</v>
      </c>
      <c r="M177" s="314">
        <f t="shared" si="24"/>
        <v>49.170609821770306</v>
      </c>
      <c r="N177" s="314">
        <f t="shared" si="25"/>
        <v>49.170609821770299</v>
      </c>
    </row>
    <row r="178" spans="1:14" outlineLevel="5" x14ac:dyDescent="0.3">
      <c r="A178" s="213" t="s">
        <v>459</v>
      </c>
      <c r="B178" s="214" t="s">
        <v>455</v>
      </c>
      <c r="C178" s="214" t="s">
        <v>460</v>
      </c>
      <c r="D178" s="293" t="s">
        <v>126</v>
      </c>
      <c r="E178" s="293" t="s">
        <v>6</v>
      </c>
      <c r="F178" s="294">
        <v>236405.74</v>
      </c>
      <c r="G178" s="237">
        <f t="shared" ref="G178:K181" si="30">G179</f>
        <v>585000</v>
      </c>
      <c r="H178" s="215">
        <f t="shared" si="30"/>
        <v>380730.4</v>
      </c>
      <c r="I178" s="215">
        <f t="shared" si="30"/>
        <v>200000</v>
      </c>
      <c r="J178" s="237">
        <f t="shared" si="30"/>
        <v>1605000</v>
      </c>
      <c r="K178" s="330">
        <f t="shared" si="30"/>
        <v>605000</v>
      </c>
      <c r="L178" s="313">
        <f t="shared" si="23"/>
        <v>-1000000</v>
      </c>
      <c r="M178" s="314">
        <f t="shared" si="24"/>
        <v>274.35897435897436</v>
      </c>
      <c r="N178" s="314">
        <f t="shared" si="25"/>
        <v>103.41880341880344</v>
      </c>
    </row>
    <row r="179" spans="1:14" ht="34" outlineLevel="6" x14ac:dyDescent="0.3">
      <c r="A179" s="213" t="s">
        <v>132</v>
      </c>
      <c r="B179" s="214" t="s">
        <v>455</v>
      </c>
      <c r="C179" s="214" t="s">
        <v>460</v>
      </c>
      <c r="D179" s="293" t="s">
        <v>127</v>
      </c>
      <c r="E179" s="293" t="s">
        <v>6</v>
      </c>
      <c r="F179" s="294">
        <v>236405.74</v>
      </c>
      <c r="G179" s="237">
        <f t="shared" si="30"/>
        <v>585000</v>
      </c>
      <c r="H179" s="215">
        <f t="shared" si="30"/>
        <v>380730.4</v>
      </c>
      <c r="I179" s="215">
        <f t="shared" si="30"/>
        <v>200000</v>
      </c>
      <c r="J179" s="237">
        <f t="shared" si="30"/>
        <v>1605000</v>
      </c>
      <c r="K179" s="330">
        <f t="shared" si="30"/>
        <v>605000</v>
      </c>
      <c r="L179" s="313">
        <f t="shared" si="23"/>
        <v>-1000000</v>
      </c>
      <c r="M179" s="314">
        <f t="shared" si="24"/>
        <v>274.35897435897436</v>
      </c>
      <c r="N179" s="314">
        <f t="shared" si="25"/>
        <v>103.41880341880344</v>
      </c>
    </row>
    <row r="180" spans="1:14" ht="36" customHeight="1" outlineLevel="7" x14ac:dyDescent="0.3">
      <c r="A180" s="213" t="s">
        <v>461</v>
      </c>
      <c r="B180" s="214" t="s">
        <v>455</v>
      </c>
      <c r="C180" s="214" t="s">
        <v>460</v>
      </c>
      <c r="D180" s="293" t="s">
        <v>617</v>
      </c>
      <c r="E180" s="293" t="s">
        <v>6</v>
      </c>
      <c r="F180" s="294">
        <v>236405.74</v>
      </c>
      <c r="G180" s="237">
        <f t="shared" si="30"/>
        <v>585000</v>
      </c>
      <c r="H180" s="215">
        <f t="shared" si="30"/>
        <v>380730.4</v>
      </c>
      <c r="I180" s="215">
        <f t="shared" si="30"/>
        <v>200000</v>
      </c>
      <c r="J180" s="237">
        <f t="shared" si="30"/>
        <v>1605000</v>
      </c>
      <c r="K180" s="330">
        <f t="shared" si="30"/>
        <v>605000</v>
      </c>
      <c r="L180" s="313">
        <f t="shared" si="23"/>
        <v>-1000000</v>
      </c>
      <c r="M180" s="314">
        <f t="shared" si="24"/>
        <v>274.35897435897436</v>
      </c>
      <c r="N180" s="314">
        <f t="shared" si="25"/>
        <v>103.41880341880344</v>
      </c>
    </row>
    <row r="181" spans="1:14" ht="20.25" customHeight="1" outlineLevel="7" x14ac:dyDescent="0.3">
      <c r="A181" s="213" t="s">
        <v>15</v>
      </c>
      <c r="B181" s="214" t="s">
        <v>455</v>
      </c>
      <c r="C181" s="214" t="s">
        <v>460</v>
      </c>
      <c r="D181" s="293" t="s">
        <v>617</v>
      </c>
      <c r="E181" s="293" t="s">
        <v>16</v>
      </c>
      <c r="F181" s="294">
        <v>236405.74</v>
      </c>
      <c r="G181" s="237">
        <f t="shared" si="30"/>
        <v>585000</v>
      </c>
      <c r="H181" s="169">
        <v>380730.4</v>
      </c>
      <c r="I181" s="215">
        <f t="shared" si="30"/>
        <v>200000</v>
      </c>
      <c r="J181" s="237">
        <f t="shared" si="30"/>
        <v>1605000</v>
      </c>
      <c r="K181" s="330">
        <f t="shared" si="30"/>
        <v>605000</v>
      </c>
      <c r="L181" s="313">
        <f t="shared" si="23"/>
        <v>-1000000</v>
      </c>
      <c r="M181" s="314">
        <f t="shared" si="24"/>
        <v>274.35897435897436</v>
      </c>
      <c r="N181" s="314">
        <f t="shared" si="25"/>
        <v>103.41880341880344</v>
      </c>
    </row>
    <row r="182" spans="1:14" ht="34" outlineLevel="7" x14ac:dyDescent="0.3">
      <c r="A182" s="213" t="s">
        <v>17</v>
      </c>
      <c r="B182" s="214" t="s">
        <v>455</v>
      </c>
      <c r="C182" s="214" t="s">
        <v>460</v>
      </c>
      <c r="D182" s="293" t="s">
        <v>617</v>
      </c>
      <c r="E182" s="293" t="s">
        <v>18</v>
      </c>
      <c r="F182" s="294">
        <v>236405.74</v>
      </c>
      <c r="G182" s="237">
        <v>585000</v>
      </c>
      <c r="H182" s="169">
        <v>380730.4</v>
      </c>
      <c r="I182" s="215">
        <f>'[2]прил 12'!F177</f>
        <v>200000</v>
      </c>
      <c r="J182" s="238">
        <v>1605000</v>
      </c>
      <c r="K182" s="331">
        <f>J182-1000000</f>
        <v>605000</v>
      </c>
      <c r="L182" s="313">
        <f t="shared" si="23"/>
        <v>-1000000</v>
      </c>
      <c r="M182" s="314">
        <f t="shared" si="24"/>
        <v>274.35897435897436</v>
      </c>
      <c r="N182" s="314">
        <f t="shared" si="25"/>
        <v>103.41880341880344</v>
      </c>
    </row>
    <row r="183" spans="1:14" ht="20.25" customHeight="1" outlineLevel="7" x14ac:dyDescent="0.3">
      <c r="A183" s="219" t="s">
        <v>119</v>
      </c>
      <c r="B183" s="220" t="s">
        <v>455</v>
      </c>
      <c r="C183" s="220" t="s">
        <v>46</v>
      </c>
      <c r="D183" s="295" t="s">
        <v>126</v>
      </c>
      <c r="E183" s="295" t="s">
        <v>6</v>
      </c>
      <c r="F183" s="294">
        <v>46732107.039999999</v>
      </c>
      <c r="G183" s="273">
        <f>G201+G190+G213+G184</f>
        <v>29347683.93</v>
      </c>
      <c r="H183" s="221">
        <f>H201+H190+H213+H184</f>
        <v>12362901.439999999</v>
      </c>
      <c r="I183" s="221">
        <f>I201+I190+I213+I184</f>
        <v>14114514.17</v>
      </c>
      <c r="J183" s="273">
        <f>J201+J190+J213+J184</f>
        <v>16168133.93</v>
      </c>
      <c r="K183" s="333">
        <f>K201+K190+K213+K184</f>
        <v>15218133.93</v>
      </c>
      <c r="L183" s="313">
        <f t="shared" si="23"/>
        <v>-950000</v>
      </c>
      <c r="M183" s="314">
        <f t="shared" si="24"/>
        <v>55.091686173819305</v>
      </c>
      <c r="N183" s="314">
        <f t="shared" si="25"/>
        <v>51.854633456930507</v>
      </c>
    </row>
    <row r="184" spans="1:14" outlineLevel="7" x14ac:dyDescent="0.3">
      <c r="A184" s="213" t="s">
        <v>121</v>
      </c>
      <c r="B184" s="214" t="s">
        <v>455</v>
      </c>
      <c r="C184" s="214" t="s">
        <v>122</v>
      </c>
      <c r="D184" s="293" t="s">
        <v>126</v>
      </c>
      <c r="E184" s="293" t="s">
        <v>6</v>
      </c>
      <c r="F184" s="293" t="s">
        <v>838</v>
      </c>
      <c r="G184" s="237">
        <f>G185</f>
        <v>1122746.8500000001</v>
      </c>
      <c r="H184" s="215">
        <f>H185</f>
        <v>217322.94</v>
      </c>
      <c r="I184" s="215">
        <f>I185</f>
        <v>324127.09000000003</v>
      </c>
      <c r="J184" s="237">
        <f>J185</f>
        <v>1122746.8500000001</v>
      </c>
      <c r="K184" s="330">
        <f>K185</f>
        <v>1122746.8500000001</v>
      </c>
      <c r="L184" s="313">
        <f t="shared" si="23"/>
        <v>0</v>
      </c>
      <c r="M184" s="314">
        <f t="shared" si="24"/>
        <v>100</v>
      </c>
      <c r="N184" s="314">
        <f t="shared" si="25"/>
        <v>100</v>
      </c>
    </row>
    <row r="185" spans="1:14" ht="34" outlineLevel="7" x14ac:dyDescent="0.3">
      <c r="A185" s="219" t="s">
        <v>132</v>
      </c>
      <c r="B185" s="214" t="s">
        <v>455</v>
      </c>
      <c r="C185" s="220" t="s">
        <v>122</v>
      </c>
      <c r="D185" s="295" t="s">
        <v>127</v>
      </c>
      <c r="E185" s="295" t="s">
        <v>6</v>
      </c>
      <c r="F185" s="295" t="s">
        <v>838</v>
      </c>
      <c r="G185" s="273">
        <f>G187</f>
        <v>1122746.8500000001</v>
      </c>
      <c r="H185" s="221">
        <f>H187</f>
        <v>217322.94</v>
      </c>
      <c r="I185" s="221">
        <f>I187</f>
        <v>324127.09000000003</v>
      </c>
      <c r="J185" s="273">
        <f>J187</f>
        <v>1122746.8500000001</v>
      </c>
      <c r="K185" s="333">
        <f>K187</f>
        <v>1122746.8500000001</v>
      </c>
      <c r="L185" s="313">
        <f t="shared" si="23"/>
        <v>0</v>
      </c>
      <c r="M185" s="314">
        <f t="shared" si="24"/>
        <v>100</v>
      </c>
      <c r="N185" s="314">
        <f t="shared" si="25"/>
        <v>100</v>
      </c>
    </row>
    <row r="186" spans="1:14" s="224" customFormat="1" outlineLevel="7" x14ac:dyDescent="0.3">
      <c r="A186" s="213" t="s">
        <v>269</v>
      </c>
      <c r="B186" s="214" t="s">
        <v>455</v>
      </c>
      <c r="C186" s="214" t="s">
        <v>122</v>
      </c>
      <c r="D186" s="293" t="s">
        <v>268</v>
      </c>
      <c r="E186" s="293" t="s">
        <v>6</v>
      </c>
      <c r="F186" s="293" t="s">
        <v>838</v>
      </c>
      <c r="G186" s="237">
        <f t="shared" ref="G186:K188" si="31">G187</f>
        <v>1122746.8500000001</v>
      </c>
      <c r="H186" s="215">
        <f t="shared" si="31"/>
        <v>217322.94</v>
      </c>
      <c r="I186" s="215">
        <f t="shared" si="31"/>
        <v>324127.09000000003</v>
      </c>
      <c r="J186" s="237">
        <f t="shared" si="31"/>
        <v>1122746.8500000001</v>
      </c>
      <c r="K186" s="330">
        <f t="shared" si="31"/>
        <v>1122746.8500000001</v>
      </c>
      <c r="L186" s="313">
        <f t="shared" si="23"/>
        <v>0</v>
      </c>
      <c r="M186" s="314">
        <f t="shared" si="24"/>
        <v>100</v>
      </c>
      <c r="N186" s="314">
        <f t="shared" si="25"/>
        <v>100</v>
      </c>
    </row>
    <row r="187" spans="1:14" ht="84.75" customHeight="1" outlineLevel="7" x14ac:dyDescent="0.3">
      <c r="A187" s="225" t="s">
        <v>363</v>
      </c>
      <c r="B187" s="214" t="s">
        <v>455</v>
      </c>
      <c r="C187" s="214" t="s">
        <v>122</v>
      </c>
      <c r="D187" s="293" t="s">
        <v>278</v>
      </c>
      <c r="E187" s="293" t="s">
        <v>6</v>
      </c>
      <c r="F187" s="293" t="s">
        <v>838</v>
      </c>
      <c r="G187" s="237">
        <f t="shared" si="31"/>
        <v>1122746.8500000001</v>
      </c>
      <c r="H187" s="215">
        <f t="shared" si="31"/>
        <v>217322.94</v>
      </c>
      <c r="I187" s="215">
        <f t="shared" si="31"/>
        <v>324127.09000000003</v>
      </c>
      <c r="J187" s="237">
        <f t="shared" si="31"/>
        <v>1122746.8500000001</v>
      </c>
      <c r="K187" s="330">
        <f t="shared" si="31"/>
        <v>1122746.8500000001</v>
      </c>
      <c r="L187" s="313">
        <f t="shared" si="23"/>
        <v>0</v>
      </c>
      <c r="M187" s="314">
        <f t="shared" si="24"/>
        <v>100</v>
      </c>
      <c r="N187" s="314">
        <f t="shared" si="25"/>
        <v>100</v>
      </c>
    </row>
    <row r="188" spans="1:14" ht="34" outlineLevel="7" x14ac:dyDescent="0.3">
      <c r="A188" s="213" t="s">
        <v>15</v>
      </c>
      <c r="B188" s="214" t="s">
        <v>455</v>
      </c>
      <c r="C188" s="214" t="s">
        <v>122</v>
      </c>
      <c r="D188" s="293" t="s">
        <v>278</v>
      </c>
      <c r="E188" s="293" t="s">
        <v>16</v>
      </c>
      <c r="F188" s="293" t="s">
        <v>838</v>
      </c>
      <c r="G188" s="237">
        <f t="shared" si="31"/>
        <v>1122746.8500000001</v>
      </c>
      <c r="H188" s="170">
        <v>217322.94</v>
      </c>
      <c r="I188" s="215">
        <f t="shared" si="31"/>
        <v>324127.09000000003</v>
      </c>
      <c r="J188" s="237">
        <f t="shared" si="31"/>
        <v>1122746.8500000001</v>
      </c>
      <c r="K188" s="330">
        <f t="shared" si="31"/>
        <v>1122746.8500000001</v>
      </c>
      <c r="L188" s="313">
        <f t="shared" si="23"/>
        <v>0</v>
      </c>
      <c r="M188" s="314">
        <f t="shared" si="24"/>
        <v>100</v>
      </c>
      <c r="N188" s="314">
        <f t="shared" si="25"/>
        <v>100</v>
      </c>
    </row>
    <row r="189" spans="1:14" ht="34" outlineLevel="7" x14ac:dyDescent="0.3">
      <c r="A189" s="213" t="s">
        <v>17</v>
      </c>
      <c r="B189" s="214" t="s">
        <v>455</v>
      </c>
      <c r="C189" s="214" t="s">
        <v>122</v>
      </c>
      <c r="D189" s="293" t="s">
        <v>278</v>
      </c>
      <c r="E189" s="293" t="s">
        <v>18</v>
      </c>
      <c r="F189" s="293" t="s">
        <v>838</v>
      </c>
      <c r="G189" s="237">
        <f>324127.09+798619.76</f>
        <v>1122746.8500000001</v>
      </c>
      <c r="H189" s="170">
        <v>217322.94</v>
      </c>
      <c r="I189" s="215">
        <f>'[2]прил 12'!F184</f>
        <v>324127.09000000003</v>
      </c>
      <c r="J189" s="238">
        <v>1122746.8500000001</v>
      </c>
      <c r="K189" s="331">
        <v>1122746.8500000001</v>
      </c>
      <c r="L189" s="313">
        <f t="shared" si="23"/>
        <v>0</v>
      </c>
      <c r="M189" s="314">
        <f t="shared" si="24"/>
        <v>100</v>
      </c>
      <c r="N189" s="314">
        <f t="shared" si="25"/>
        <v>100</v>
      </c>
    </row>
    <row r="190" spans="1:14" outlineLevel="7" x14ac:dyDescent="0.3">
      <c r="A190" s="213" t="s">
        <v>282</v>
      </c>
      <c r="B190" s="214" t="s">
        <v>455</v>
      </c>
      <c r="C190" s="214" t="s">
        <v>283</v>
      </c>
      <c r="D190" s="293" t="s">
        <v>126</v>
      </c>
      <c r="E190" s="293" t="s">
        <v>6</v>
      </c>
      <c r="F190" s="293"/>
      <c r="G190" s="237">
        <f>G191+G198</f>
        <v>103387.08</v>
      </c>
      <c r="H190" s="215">
        <f>H191+H198</f>
        <v>0</v>
      </c>
      <c r="I190" s="215">
        <f>I191+I198</f>
        <v>103387.08</v>
      </c>
      <c r="J190" s="237">
        <f>J191+J198</f>
        <v>103387.08</v>
      </c>
      <c r="K190" s="330">
        <f>K191+K198</f>
        <v>103387.08</v>
      </c>
      <c r="L190" s="313">
        <f t="shared" si="23"/>
        <v>0</v>
      </c>
      <c r="M190" s="314">
        <f t="shared" si="24"/>
        <v>100.00000000000001</v>
      </c>
      <c r="N190" s="314">
        <f t="shared" si="25"/>
        <v>100</v>
      </c>
    </row>
    <row r="191" spans="1:14" ht="34" outlineLevel="7" x14ac:dyDescent="0.3">
      <c r="A191" s="213" t="s">
        <v>132</v>
      </c>
      <c r="B191" s="214" t="s">
        <v>455</v>
      </c>
      <c r="C191" s="214" t="s">
        <v>283</v>
      </c>
      <c r="D191" s="293" t="s">
        <v>127</v>
      </c>
      <c r="E191" s="293" t="s">
        <v>6</v>
      </c>
      <c r="F191" s="293"/>
      <c r="G191" s="237">
        <f>G193</f>
        <v>3387.08</v>
      </c>
      <c r="H191" s="215">
        <f>H193</f>
        <v>0</v>
      </c>
      <c r="I191" s="215">
        <f t="shared" ref="I191:K194" si="32">I192</f>
        <v>3387.08</v>
      </c>
      <c r="J191" s="237">
        <f t="shared" si="32"/>
        <v>3387.08</v>
      </c>
      <c r="K191" s="330">
        <f t="shared" si="32"/>
        <v>3387.08</v>
      </c>
      <c r="L191" s="313">
        <f t="shared" si="23"/>
        <v>0</v>
      </c>
      <c r="M191" s="314">
        <f t="shared" si="24"/>
        <v>99.999999999999986</v>
      </c>
      <c r="N191" s="314">
        <f t="shared" si="25"/>
        <v>100</v>
      </c>
    </row>
    <row r="192" spans="1:14" ht="20.25" customHeight="1" outlineLevel="7" x14ac:dyDescent="0.3">
      <c r="A192" s="213" t="s">
        <v>269</v>
      </c>
      <c r="B192" s="214" t="s">
        <v>455</v>
      </c>
      <c r="C192" s="214" t="s">
        <v>283</v>
      </c>
      <c r="D192" s="293" t="s">
        <v>268</v>
      </c>
      <c r="E192" s="293" t="s">
        <v>6</v>
      </c>
      <c r="F192" s="293"/>
      <c r="G192" s="237">
        <f>G193</f>
        <v>3387.08</v>
      </c>
      <c r="H192" s="215">
        <f>H193</f>
        <v>0</v>
      </c>
      <c r="I192" s="215">
        <f t="shared" si="32"/>
        <v>3387.08</v>
      </c>
      <c r="J192" s="237">
        <f t="shared" si="32"/>
        <v>3387.08</v>
      </c>
      <c r="K192" s="330">
        <f t="shared" si="32"/>
        <v>3387.08</v>
      </c>
      <c r="L192" s="313">
        <f t="shared" si="23"/>
        <v>0</v>
      </c>
      <c r="M192" s="314">
        <f t="shared" si="24"/>
        <v>99.999999999999986</v>
      </c>
      <c r="N192" s="314">
        <f t="shared" si="25"/>
        <v>100</v>
      </c>
    </row>
    <row r="193" spans="1:14" ht="118.9" outlineLevel="7" x14ac:dyDescent="0.3">
      <c r="A193" s="185" t="s">
        <v>365</v>
      </c>
      <c r="B193" s="214" t="s">
        <v>455</v>
      </c>
      <c r="C193" s="214" t="s">
        <v>283</v>
      </c>
      <c r="D193" s="293" t="s">
        <v>364</v>
      </c>
      <c r="E193" s="293" t="s">
        <v>6</v>
      </c>
      <c r="F193" s="293"/>
      <c r="G193" s="237">
        <f>G194</f>
        <v>3387.08</v>
      </c>
      <c r="H193" s="215">
        <f>H194</f>
        <v>0</v>
      </c>
      <c r="I193" s="215">
        <f t="shared" si="32"/>
        <v>3387.08</v>
      </c>
      <c r="J193" s="237">
        <f t="shared" si="32"/>
        <v>3387.08</v>
      </c>
      <c r="K193" s="330">
        <f t="shared" si="32"/>
        <v>3387.08</v>
      </c>
      <c r="L193" s="313">
        <f t="shared" si="23"/>
        <v>0</v>
      </c>
      <c r="M193" s="314">
        <f t="shared" si="24"/>
        <v>99.999999999999986</v>
      </c>
      <c r="N193" s="314">
        <f t="shared" si="25"/>
        <v>100</v>
      </c>
    </row>
    <row r="194" spans="1:14" ht="34" outlineLevel="7" x14ac:dyDescent="0.3">
      <c r="A194" s="213" t="s">
        <v>15</v>
      </c>
      <c r="B194" s="214" t="s">
        <v>455</v>
      </c>
      <c r="C194" s="214" t="s">
        <v>283</v>
      </c>
      <c r="D194" s="293" t="s">
        <v>364</v>
      </c>
      <c r="E194" s="293" t="s">
        <v>16</v>
      </c>
      <c r="F194" s="293"/>
      <c r="G194" s="237">
        <f>G195</f>
        <v>3387.08</v>
      </c>
      <c r="H194" s="215">
        <v>0</v>
      </c>
      <c r="I194" s="215">
        <f t="shared" si="32"/>
        <v>3387.08</v>
      </c>
      <c r="J194" s="237">
        <f t="shared" si="32"/>
        <v>3387.08</v>
      </c>
      <c r="K194" s="330">
        <f t="shared" si="32"/>
        <v>3387.08</v>
      </c>
      <c r="L194" s="313">
        <f t="shared" si="23"/>
        <v>0</v>
      </c>
      <c r="M194" s="314">
        <f t="shared" si="24"/>
        <v>99.999999999999986</v>
      </c>
      <c r="N194" s="314">
        <f t="shared" si="25"/>
        <v>100</v>
      </c>
    </row>
    <row r="195" spans="1:14" s="224" customFormat="1" ht="34" outlineLevel="7" x14ac:dyDescent="0.3">
      <c r="A195" s="213" t="s">
        <v>17</v>
      </c>
      <c r="B195" s="214" t="s">
        <v>455</v>
      </c>
      <c r="C195" s="214" t="s">
        <v>283</v>
      </c>
      <c r="D195" s="293" t="s">
        <v>364</v>
      </c>
      <c r="E195" s="293" t="s">
        <v>18</v>
      </c>
      <c r="F195" s="293"/>
      <c r="G195" s="238">
        <v>3387.08</v>
      </c>
      <c r="H195" s="217">
        <v>0</v>
      </c>
      <c r="I195" s="217">
        <f>'[2]прил 12'!F190</f>
        <v>3387.08</v>
      </c>
      <c r="J195" s="272">
        <v>3387.08</v>
      </c>
      <c r="K195" s="332">
        <v>3387.08</v>
      </c>
      <c r="L195" s="313">
        <f t="shared" si="23"/>
        <v>0</v>
      </c>
      <c r="M195" s="314">
        <f t="shared" si="24"/>
        <v>99.999999999999986</v>
      </c>
      <c r="N195" s="314">
        <f t="shared" si="25"/>
        <v>100</v>
      </c>
    </row>
    <row r="196" spans="1:14" s="224" customFormat="1" ht="67.95" outlineLevel="7" x14ac:dyDescent="0.3">
      <c r="A196" s="226" t="s">
        <v>716</v>
      </c>
      <c r="B196" s="214" t="s">
        <v>455</v>
      </c>
      <c r="C196" s="214" t="s">
        <v>283</v>
      </c>
      <c r="D196" s="293" t="s">
        <v>308</v>
      </c>
      <c r="E196" s="293" t="s">
        <v>6</v>
      </c>
      <c r="F196" s="293"/>
      <c r="G196" s="238">
        <f t="shared" ref="G196:K199" si="33">G197</f>
        <v>100000</v>
      </c>
      <c r="H196" s="217">
        <f t="shared" si="33"/>
        <v>0</v>
      </c>
      <c r="I196" s="217">
        <f t="shared" si="33"/>
        <v>100000</v>
      </c>
      <c r="J196" s="238">
        <f t="shared" si="33"/>
        <v>100000</v>
      </c>
      <c r="K196" s="331">
        <f t="shared" si="33"/>
        <v>100000</v>
      </c>
      <c r="L196" s="313">
        <f t="shared" si="23"/>
        <v>0</v>
      </c>
      <c r="M196" s="314">
        <f t="shared" si="24"/>
        <v>100</v>
      </c>
      <c r="N196" s="314">
        <f t="shared" si="25"/>
        <v>100</v>
      </c>
    </row>
    <row r="197" spans="1:14" s="224" customFormat="1" ht="34" outlineLevel="7" x14ac:dyDescent="0.3">
      <c r="A197" s="230" t="s">
        <v>711</v>
      </c>
      <c r="B197" s="214" t="s">
        <v>455</v>
      </c>
      <c r="C197" s="214" t="s">
        <v>283</v>
      </c>
      <c r="D197" s="293" t="s">
        <v>712</v>
      </c>
      <c r="E197" s="293" t="s">
        <v>6</v>
      </c>
      <c r="F197" s="293"/>
      <c r="G197" s="238">
        <f t="shared" si="33"/>
        <v>100000</v>
      </c>
      <c r="H197" s="217">
        <f t="shared" si="33"/>
        <v>0</v>
      </c>
      <c r="I197" s="217">
        <f t="shared" si="33"/>
        <v>100000</v>
      </c>
      <c r="J197" s="238">
        <f t="shared" si="33"/>
        <v>100000</v>
      </c>
      <c r="K197" s="331">
        <f t="shared" si="33"/>
        <v>100000</v>
      </c>
      <c r="L197" s="313">
        <f t="shared" si="23"/>
        <v>0</v>
      </c>
      <c r="M197" s="314">
        <f t="shared" si="24"/>
        <v>100</v>
      </c>
      <c r="N197" s="314">
        <f t="shared" si="25"/>
        <v>100</v>
      </c>
    </row>
    <row r="198" spans="1:14" s="224" customFormat="1" ht="101.9" outlineLevel="7" x14ac:dyDescent="0.3">
      <c r="A198" s="225" t="s">
        <v>714</v>
      </c>
      <c r="B198" s="214" t="s">
        <v>455</v>
      </c>
      <c r="C198" s="214" t="s">
        <v>283</v>
      </c>
      <c r="D198" s="293" t="s">
        <v>713</v>
      </c>
      <c r="E198" s="293" t="s">
        <v>6</v>
      </c>
      <c r="F198" s="293"/>
      <c r="G198" s="238">
        <f t="shared" si="33"/>
        <v>100000</v>
      </c>
      <c r="H198" s="217">
        <f t="shared" si="33"/>
        <v>0</v>
      </c>
      <c r="I198" s="217">
        <f t="shared" si="33"/>
        <v>100000</v>
      </c>
      <c r="J198" s="238">
        <f t="shared" si="33"/>
        <v>100000</v>
      </c>
      <c r="K198" s="331">
        <f t="shared" si="33"/>
        <v>100000</v>
      </c>
      <c r="L198" s="313">
        <f t="shared" si="23"/>
        <v>0</v>
      </c>
      <c r="M198" s="314">
        <f t="shared" si="24"/>
        <v>100</v>
      </c>
      <c r="N198" s="314">
        <f t="shared" si="25"/>
        <v>100</v>
      </c>
    </row>
    <row r="199" spans="1:14" s="224" customFormat="1" ht="34" outlineLevel="7" x14ac:dyDescent="0.3">
      <c r="A199" s="230" t="s">
        <v>688</v>
      </c>
      <c r="B199" s="214" t="s">
        <v>455</v>
      </c>
      <c r="C199" s="214" t="s">
        <v>283</v>
      </c>
      <c r="D199" s="293" t="s">
        <v>713</v>
      </c>
      <c r="E199" s="293" t="s">
        <v>20</v>
      </c>
      <c r="F199" s="293"/>
      <c r="G199" s="238">
        <f t="shared" si="33"/>
        <v>100000</v>
      </c>
      <c r="H199" s="217">
        <v>0</v>
      </c>
      <c r="I199" s="217">
        <f t="shared" si="33"/>
        <v>100000</v>
      </c>
      <c r="J199" s="238">
        <f t="shared" si="33"/>
        <v>100000</v>
      </c>
      <c r="K199" s="331">
        <f t="shared" si="33"/>
        <v>100000</v>
      </c>
      <c r="L199" s="313">
        <f t="shared" si="23"/>
        <v>0</v>
      </c>
      <c r="M199" s="314">
        <f t="shared" si="24"/>
        <v>100</v>
      </c>
      <c r="N199" s="314">
        <f t="shared" si="25"/>
        <v>100</v>
      </c>
    </row>
    <row r="200" spans="1:14" s="224" customFormat="1" ht="50.95" outlineLevel="7" x14ac:dyDescent="0.3">
      <c r="A200" s="213" t="s">
        <v>47</v>
      </c>
      <c r="B200" s="214" t="s">
        <v>455</v>
      </c>
      <c r="C200" s="214" t="s">
        <v>283</v>
      </c>
      <c r="D200" s="293" t="s">
        <v>713</v>
      </c>
      <c r="E200" s="293" t="s">
        <v>48</v>
      </c>
      <c r="F200" s="293"/>
      <c r="G200" s="238">
        <v>100000</v>
      </c>
      <c r="H200" s="217">
        <v>0</v>
      </c>
      <c r="I200" s="217">
        <f>'[2]прил 12'!F195</f>
        <v>100000</v>
      </c>
      <c r="J200" s="272">
        <v>100000</v>
      </c>
      <c r="K200" s="332">
        <v>100000</v>
      </c>
      <c r="L200" s="313">
        <f t="shared" ref="L200:L263" si="34">K200-J200</f>
        <v>0</v>
      </c>
      <c r="M200" s="314">
        <f t="shared" ref="M200:M261" si="35">J200/G200%</f>
        <v>100</v>
      </c>
      <c r="N200" s="314">
        <f t="shared" ref="N200:N261" si="36">K200/G200*100</f>
        <v>100</v>
      </c>
    </row>
    <row r="201" spans="1:14" ht="27.7" customHeight="1" outlineLevel="7" x14ac:dyDescent="0.3">
      <c r="A201" s="213" t="s">
        <v>49</v>
      </c>
      <c r="B201" s="214" t="s">
        <v>455</v>
      </c>
      <c r="C201" s="214" t="s">
        <v>50</v>
      </c>
      <c r="D201" s="293" t="s">
        <v>126</v>
      </c>
      <c r="E201" s="293" t="s">
        <v>6</v>
      </c>
      <c r="F201" s="294">
        <v>45977806.32</v>
      </c>
      <c r="G201" s="237">
        <f t="shared" ref="G201:K202" si="37">G202</f>
        <v>24051150</v>
      </c>
      <c r="H201" s="215">
        <f t="shared" si="37"/>
        <v>11934897.220000001</v>
      </c>
      <c r="I201" s="215">
        <f t="shared" si="37"/>
        <v>13157000</v>
      </c>
      <c r="J201" s="237">
        <f t="shared" si="37"/>
        <v>13057000</v>
      </c>
      <c r="K201" s="330">
        <f t="shared" si="37"/>
        <v>13057000</v>
      </c>
      <c r="L201" s="313">
        <f t="shared" si="34"/>
        <v>0</v>
      </c>
      <c r="M201" s="314">
        <f t="shared" si="35"/>
        <v>54.288464376963262</v>
      </c>
      <c r="N201" s="314">
        <f t="shared" si="36"/>
        <v>54.288464376963262</v>
      </c>
    </row>
    <row r="202" spans="1:14" ht="67.95" outlineLevel="7" x14ac:dyDescent="0.3">
      <c r="A202" s="219" t="s">
        <v>744</v>
      </c>
      <c r="B202" s="220" t="s">
        <v>455</v>
      </c>
      <c r="C202" s="220" t="s">
        <v>50</v>
      </c>
      <c r="D202" s="295" t="s">
        <v>322</v>
      </c>
      <c r="E202" s="295" t="s">
        <v>6</v>
      </c>
      <c r="F202" s="296">
        <v>45977806.32</v>
      </c>
      <c r="G202" s="273">
        <f t="shared" si="37"/>
        <v>24051150</v>
      </c>
      <c r="H202" s="221">
        <f t="shared" si="37"/>
        <v>11934897.220000001</v>
      </c>
      <c r="I202" s="221">
        <f t="shared" si="37"/>
        <v>13157000</v>
      </c>
      <c r="J202" s="273">
        <f t="shared" si="37"/>
        <v>13057000</v>
      </c>
      <c r="K202" s="333">
        <f t="shared" si="37"/>
        <v>13057000</v>
      </c>
      <c r="L202" s="313">
        <f t="shared" si="34"/>
        <v>0</v>
      </c>
      <c r="M202" s="314">
        <f t="shared" si="35"/>
        <v>54.288464376963262</v>
      </c>
      <c r="N202" s="314">
        <f t="shared" si="36"/>
        <v>54.288464376963262</v>
      </c>
    </row>
    <row r="203" spans="1:14" ht="41.45" customHeight="1" outlineLevel="7" x14ac:dyDescent="0.3">
      <c r="A203" s="213" t="s">
        <v>323</v>
      </c>
      <c r="B203" s="214" t="s">
        <v>455</v>
      </c>
      <c r="C203" s="214" t="s">
        <v>50</v>
      </c>
      <c r="D203" s="293" t="s">
        <v>324</v>
      </c>
      <c r="E203" s="293" t="s">
        <v>6</v>
      </c>
      <c r="F203" s="294">
        <v>45977806.32</v>
      </c>
      <c r="G203" s="237">
        <f>G204+G210</f>
        <v>24051150</v>
      </c>
      <c r="H203" s="215">
        <f>H204+H210</f>
        <v>11934897.220000001</v>
      </c>
      <c r="I203" s="215">
        <f>I204+I210</f>
        <v>13157000</v>
      </c>
      <c r="J203" s="237">
        <f>J204+J210</f>
        <v>13057000</v>
      </c>
      <c r="K203" s="330">
        <f>K204+K210</f>
        <v>13057000</v>
      </c>
      <c r="L203" s="313">
        <f t="shared" si="34"/>
        <v>0</v>
      </c>
      <c r="M203" s="314">
        <f t="shared" si="35"/>
        <v>54.288464376963262</v>
      </c>
      <c r="N203" s="314">
        <f t="shared" si="36"/>
        <v>54.288464376963262</v>
      </c>
    </row>
    <row r="204" spans="1:14" ht="67.95" outlineLevel="7" x14ac:dyDescent="0.3">
      <c r="A204" s="189" t="s">
        <v>717</v>
      </c>
      <c r="B204" s="214" t="s">
        <v>455</v>
      </c>
      <c r="C204" s="214" t="s">
        <v>50</v>
      </c>
      <c r="D204" s="293" t="s">
        <v>326</v>
      </c>
      <c r="E204" s="293" t="s">
        <v>6</v>
      </c>
      <c r="F204" s="294">
        <v>10511682.609999999</v>
      </c>
      <c r="G204" s="237">
        <f t="shared" ref="G204:K205" si="38">G205</f>
        <v>24051150</v>
      </c>
      <c r="H204" s="215">
        <f t="shared" si="38"/>
        <v>11934897.220000001</v>
      </c>
      <c r="I204" s="215">
        <f t="shared" si="38"/>
        <v>13057000</v>
      </c>
      <c r="J204" s="237">
        <f t="shared" si="38"/>
        <v>13057000</v>
      </c>
      <c r="K204" s="330">
        <f t="shared" si="38"/>
        <v>13057000</v>
      </c>
      <c r="L204" s="313">
        <f t="shared" si="34"/>
        <v>0</v>
      </c>
      <c r="M204" s="314">
        <f t="shared" si="35"/>
        <v>54.288464376963262</v>
      </c>
      <c r="N204" s="314">
        <f t="shared" si="36"/>
        <v>54.288464376963262</v>
      </c>
    </row>
    <row r="205" spans="1:14" s="224" customFormat="1" ht="34" outlineLevel="7" x14ac:dyDescent="0.3">
      <c r="A205" s="213" t="s">
        <v>15</v>
      </c>
      <c r="B205" s="214" t="s">
        <v>455</v>
      </c>
      <c r="C205" s="214" t="s">
        <v>50</v>
      </c>
      <c r="D205" s="293" t="s">
        <v>326</v>
      </c>
      <c r="E205" s="293" t="s">
        <v>16</v>
      </c>
      <c r="F205" s="294">
        <v>10511682.609999999</v>
      </c>
      <c r="G205" s="237">
        <f t="shared" si="38"/>
        <v>24051150</v>
      </c>
      <c r="H205" s="169">
        <v>11934897.220000001</v>
      </c>
      <c r="I205" s="215">
        <f t="shared" si="38"/>
        <v>13057000</v>
      </c>
      <c r="J205" s="237">
        <f t="shared" si="38"/>
        <v>13057000</v>
      </c>
      <c r="K205" s="330">
        <f t="shared" si="38"/>
        <v>13057000</v>
      </c>
      <c r="L205" s="313">
        <f t="shared" si="34"/>
        <v>0</v>
      </c>
      <c r="M205" s="314">
        <f t="shared" si="35"/>
        <v>54.288464376963262</v>
      </c>
      <c r="N205" s="314">
        <f t="shared" si="36"/>
        <v>54.288464376963262</v>
      </c>
    </row>
    <row r="206" spans="1:14" ht="44.5" customHeight="1" outlineLevel="7" x14ac:dyDescent="0.3">
      <c r="A206" s="213" t="s">
        <v>17</v>
      </c>
      <c r="B206" s="214" t="s">
        <v>455</v>
      </c>
      <c r="C206" s="214" t="s">
        <v>50</v>
      </c>
      <c r="D206" s="293" t="s">
        <v>326</v>
      </c>
      <c r="E206" s="293" t="s">
        <v>18</v>
      </c>
      <c r="F206" s="294">
        <v>10511682.609999999</v>
      </c>
      <c r="G206" s="237">
        <f>[2]потребность!L201-1500000-10690000</f>
        <v>24051150</v>
      </c>
      <c r="H206" s="169">
        <v>11934897.220000001</v>
      </c>
      <c r="I206" s="215">
        <f>'[2]прил 12'!F201</f>
        <v>13057000</v>
      </c>
      <c r="J206" s="238">
        <v>13057000</v>
      </c>
      <c r="K206" s="331">
        <v>13057000</v>
      </c>
      <c r="L206" s="313">
        <f t="shared" si="34"/>
        <v>0</v>
      </c>
      <c r="M206" s="314">
        <f t="shared" si="35"/>
        <v>54.288464376963262</v>
      </c>
      <c r="N206" s="314">
        <f t="shared" si="36"/>
        <v>54.288464376963262</v>
      </c>
    </row>
    <row r="207" spans="1:14" ht="57.25" customHeight="1" outlineLevel="7" x14ac:dyDescent="0.3">
      <c r="A207" s="213" t="s">
        <v>515</v>
      </c>
      <c r="B207" s="214" t="s">
        <v>455</v>
      </c>
      <c r="C207" s="214" t="s">
        <v>50</v>
      </c>
      <c r="D207" s="293" t="s">
        <v>530</v>
      </c>
      <c r="E207" s="293" t="s">
        <v>6</v>
      </c>
      <c r="F207" s="294">
        <v>34402140</v>
      </c>
      <c r="G207" s="237">
        <f>G208</f>
        <v>0</v>
      </c>
      <c r="H207" s="215">
        <f>H208</f>
        <v>0</v>
      </c>
      <c r="I207" s="215">
        <v>0</v>
      </c>
      <c r="J207" s="237">
        <f>J208</f>
        <v>0</v>
      </c>
      <c r="K207" s="330">
        <f>K208</f>
        <v>0</v>
      </c>
      <c r="L207" s="313">
        <f t="shared" si="34"/>
        <v>0</v>
      </c>
      <c r="M207" s="314"/>
      <c r="N207" s="314"/>
    </row>
    <row r="208" spans="1:14" ht="34" outlineLevel="7" x14ac:dyDescent="0.3">
      <c r="A208" s="213" t="s">
        <v>15</v>
      </c>
      <c r="B208" s="214" t="s">
        <v>455</v>
      </c>
      <c r="C208" s="214" t="s">
        <v>50</v>
      </c>
      <c r="D208" s="293" t="s">
        <v>530</v>
      </c>
      <c r="E208" s="293" t="s">
        <v>16</v>
      </c>
      <c r="F208" s="294">
        <v>34402140</v>
      </c>
      <c r="G208" s="237">
        <f>G209</f>
        <v>0</v>
      </c>
      <c r="H208" s="215">
        <f>H209</f>
        <v>0</v>
      </c>
      <c r="I208" s="215">
        <v>0</v>
      </c>
      <c r="J208" s="237">
        <f>J209</f>
        <v>0</v>
      </c>
      <c r="K208" s="330">
        <f>K209</f>
        <v>0</v>
      </c>
      <c r="L208" s="313">
        <f t="shared" si="34"/>
        <v>0</v>
      </c>
      <c r="M208" s="314"/>
      <c r="N208" s="314"/>
    </row>
    <row r="209" spans="1:14" ht="21.75" customHeight="1" outlineLevel="7" x14ac:dyDescent="0.3">
      <c r="A209" s="213" t="s">
        <v>17</v>
      </c>
      <c r="B209" s="214" t="s">
        <v>455</v>
      </c>
      <c r="C209" s="214" t="s">
        <v>50</v>
      </c>
      <c r="D209" s="293" t="s">
        <v>530</v>
      </c>
      <c r="E209" s="293" t="s">
        <v>18</v>
      </c>
      <c r="F209" s="294">
        <v>34402140</v>
      </c>
      <c r="G209" s="237">
        <v>0</v>
      </c>
      <c r="H209" s="215">
        <v>0</v>
      </c>
      <c r="I209" s="215">
        <v>0</v>
      </c>
      <c r="J209" s="238"/>
      <c r="K209" s="331"/>
      <c r="L209" s="313">
        <f t="shared" si="34"/>
        <v>0</v>
      </c>
      <c r="M209" s="314"/>
      <c r="N209" s="314"/>
    </row>
    <row r="210" spans="1:14" ht="43.5" customHeight="1" outlineLevel="7" x14ac:dyDescent="0.3">
      <c r="A210" s="213" t="s">
        <v>272</v>
      </c>
      <c r="B210" s="214" t="s">
        <v>455</v>
      </c>
      <c r="C210" s="214" t="s">
        <v>50</v>
      </c>
      <c r="D210" s="293" t="s">
        <v>383</v>
      </c>
      <c r="E210" s="293" t="s">
        <v>6</v>
      </c>
      <c r="F210" s="294">
        <v>1063983.71</v>
      </c>
      <c r="G210" s="238">
        <f t="shared" ref="G210:K211" si="39">G211</f>
        <v>0</v>
      </c>
      <c r="H210" s="217">
        <f t="shared" si="39"/>
        <v>0</v>
      </c>
      <c r="I210" s="217">
        <f t="shared" si="39"/>
        <v>100000</v>
      </c>
      <c r="J210" s="238">
        <f t="shared" si="39"/>
        <v>0</v>
      </c>
      <c r="K210" s="331">
        <f t="shared" si="39"/>
        <v>0</v>
      </c>
      <c r="L210" s="313">
        <f t="shared" si="34"/>
        <v>0</v>
      </c>
      <c r="M210" s="314"/>
      <c r="N210" s="314"/>
    </row>
    <row r="211" spans="1:14" ht="34" outlineLevel="7" x14ac:dyDescent="0.3">
      <c r="A211" s="213" t="s">
        <v>15</v>
      </c>
      <c r="B211" s="214" t="s">
        <v>455</v>
      </c>
      <c r="C211" s="214" t="s">
        <v>50</v>
      </c>
      <c r="D211" s="293" t="s">
        <v>383</v>
      </c>
      <c r="E211" s="293" t="s">
        <v>16</v>
      </c>
      <c r="F211" s="294">
        <v>1063983.71</v>
      </c>
      <c r="G211" s="238">
        <f t="shared" si="39"/>
        <v>0</v>
      </c>
      <c r="H211" s="217">
        <f t="shared" si="39"/>
        <v>0</v>
      </c>
      <c r="I211" s="217">
        <f t="shared" si="39"/>
        <v>100000</v>
      </c>
      <c r="J211" s="238">
        <f t="shared" si="39"/>
        <v>0</v>
      </c>
      <c r="K211" s="331">
        <f t="shared" si="39"/>
        <v>0</v>
      </c>
      <c r="L211" s="313">
        <f t="shared" si="34"/>
        <v>0</v>
      </c>
      <c r="M211" s="314"/>
      <c r="N211" s="314"/>
    </row>
    <row r="212" spans="1:14" ht="34" outlineLevel="7" x14ac:dyDescent="0.3">
      <c r="A212" s="213" t="s">
        <v>17</v>
      </c>
      <c r="B212" s="214" t="s">
        <v>455</v>
      </c>
      <c r="C212" s="214" t="s">
        <v>50</v>
      </c>
      <c r="D212" s="293" t="s">
        <v>383</v>
      </c>
      <c r="E212" s="293" t="s">
        <v>18</v>
      </c>
      <c r="F212" s="294">
        <v>1063983.71</v>
      </c>
      <c r="G212" s="237">
        <f>[2]потребность!I207-310000</f>
        <v>0</v>
      </c>
      <c r="H212" s="215">
        <v>0</v>
      </c>
      <c r="I212" s="215">
        <f>'[2]прил 12'!F207</f>
        <v>100000</v>
      </c>
      <c r="J212" s="238">
        <v>0</v>
      </c>
      <c r="K212" s="331">
        <v>0</v>
      </c>
      <c r="L212" s="313">
        <f t="shared" si="34"/>
        <v>0</v>
      </c>
      <c r="M212" s="314"/>
      <c r="N212" s="314"/>
    </row>
    <row r="213" spans="1:14" outlineLevel="7" x14ac:dyDescent="0.3">
      <c r="A213" s="213" t="s">
        <v>52</v>
      </c>
      <c r="B213" s="214" t="s">
        <v>455</v>
      </c>
      <c r="C213" s="214" t="s">
        <v>53</v>
      </c>
      <c r="D213" s="293" t="s">
        <v>126</v>
      </c>
      <c r="E213" s="293" t="s">
        <v>6</v>
      </c>
      <c r="F213" s="294">
        <v>754300.72</v>
      </c>
      <c r="G213" s="237">
        <f>G214+G219</f>
        <v>4070400</v>
      </c>
      <c r="H213" s="215">
        <f>H214+H219</f>
        <v>210681.28</v>
      </c>
      <c r="I213" s="215">
        <f>I214+I219</f>
        <v>530000</v>
      </c>
      <c r="J213" s="237">
        <f>J214+J219</f>
        <v>1885000</v>
      </c>
      <c r="K213" s="330">
        <f>K214+K219</f>
        <v>935000</v>
      </c>
      <c r="L213" s="313">
        <f t="shared" si="34"/>
        <v>-950000</v>
      </c>
      <c r="M213" s="314">
        <f t="shared" si="35"/>
        <v>46.309944968553459</v>
      </c>
      <c r="N213" s="314">
        <f t="shared" si="36"/>
        <v>22.970715408805031</v>
      </c>
    </row>
    <row r="214" spans="1:14" ht="39.25" customHeight="1" outlineLevel="7" x14ac:dyDescent="0.3">
      <c r="A214" s="219" t="s">
        <v>743</v>
      </c>
      <c r="B214" s="220" t="s">
        <v>455</v>
      </c>
      <c r="C214" s="220" t="s">
        <v>53</v>
      </c>
      <c r="D214" s="295" t="s">
        <v>385</v>
      </c>
      <c r="E214" s="295" t="s">
        <v>6</v>
      </c>
      <c r="F214" s="295" t="s">
        <v>838</v>
      </c>
      <c r="G214" s="237">
        <f t="shared" ref="G214:K217" si="40">G215</f>
        <v>100000</v>
      </c>
      <c r="H214" s="215">
        <f t="shared" si="40"/>
        <v>0</v>
      </c>
      <c r="I214" s="215">
        <f t="shared" si="40"/>
        <v>100000</v>
      </c>
      <c r="J214" s="237">
        <f t="shared" si="40"/>
        <v>100000</v>
      </c>
      <c r="K214" s="330">
        <f t="shared" si="40"/>
        <v>100000</v>
      </c>
      <c r="L214" s="313">
        <f t="shared" si="34"/>
        <v>0</v>
      </c>
      <c r="M214" s="314">
        <f t="shared" si="35"/>
        <v>100</v>
      </c>
      <c r="N214" s="314">
        <f t="shared" si="36"/>
        <v>100</v>
      </c>
    </row>
    <row r="215" spans="1:14" ht="34" outlineLevel="7" x14ac:dyDescent="0.3">
      <c r="A215" s="213" t="s">
        <v>692</v>
      </c>
      <c r="B215" s="214" t="s">
        <v>455</v>
      </c>
      <c r="C215" s="214" t="s">
        <v>53</v>
      </c>
      <c r="D215" s="293" t="s">
        <v>387</v>
      </c>
      <c r="E215" s="293" t="s">
        <v>6</v>
      </c>
      <c r="F215" s="293" t="s">
        <v>838</v>
      </c>
      <c r="G215" s="237">
        <f t="shared" si="40"/>
        <v>100000</v>
      </c>
      <c r="H215" s="215">
        <f t="shared" si="40"/>
        <v>0</v>
      </c>
      <c r="I215" s="215">
        <f t="shared" si="40"/>
        <v>100000</v>
      </c>
      <c r="J215" s="237">
        <f t="shared" si="40"/>
        <v>100000</v>
      </c>
      <c r="K215" s="330">
        <f t="shared" si="40"/>
        <v>100000</v>
      </c>
      <c r="L215" s="313">
        <f t="shared" si="34"/>
        <v>0</v>
      </c>
      <c r="M215" s="314">
        <f t="shared" si="35"/>
        <v>100</v>
      </c>
      <c r="N215" s="314">
        <f t="shared" si="36"/>
        <v>100</v>
      </c>
    </row>
    <row r="216" spans="1:14" ht="83.25" customHeight="1" outlineLevel="7" x14ac:dyDescent="0.3">
      <c r="A216" s="213" t="s">
        <v>693</v>
      </c>
      <c r="B216" s="214" t="s">
        <v>455</v>
      </c>
      <c r="C216" s="214" t="s">
        <v>53</v>
      </c>
      <c r="D216" s="293" t="s">
        <v>694</v>
      </c>
      <c r="E216" s="293" t="s">
        <v>6</v>
      </c>
      <c r="F216" s="293" t="s">
        <v>838</v>
      </c>
      <c r="G216" s="237">
        <f t="shared" si="40"/>
        <v>100000</v>
      </c>
      <c r="H216" s="215">
        <f t="shared" si="40"/>
        <v>0</v>
      </c>
      <c r="I216" s="215">
        <f t="shared" si="40"/>
        <v>100000</v>
      </c>
      <c r="J216" s="237">
        <f t="shared" si="40"/>
        <v>100000</v>
      </c>
      <c r="K216" s="330">
        <f t="shared" si="40"/>
        <v>100000</v>
      </c>
      <c r="L216" s="313">
        <f t="shared" si="34"/>
        <v>0</v>
      </c>
      <c r="M216" s="314">
        <f t="shared" si="35"/>
        <v>100</v>
      </c>
      <c r="N216" s="314">
        <f t="shared" si="36"/>
        <v>100</v>
      </c>
    </row>
    <row r="217" spans="1:14" outlineLevel="2" x14ac:dyDescent="0.3">
      <c r="A217" s="213" t="s">
        <v>19</v>
      </c>
      <c r="B217" s="214" t="s">
        <v>455</v>
      </c>
      <c r="C217" s="214" t="s">
        <v>53</v>
      </c>
      <c r="D217" s="293" t="s">
        <v>694</v>
      </c>
      <c r="E217" s="293" t="s">
        <v>20</v>
      </c>
      <c r="F217" s="293" t="s">
        <v>838</v>
      </c>
      <c r="G217" s="237">
        <f t="shared" si="40"/>
        <v>100000</v>
      </c>
      <c r="H217" s="215">
        <v>0</v>
      </c>
      <c r="I217" s="215">
        <f t="shared" si="40"/>
        <v>100000</v>
      </c>
      <c r="J217" s="237">
        <f t="shared" si="40"/>
        <v>100000</v>
      </c>
      <c r="K217" s="330">
        <f t="shared" si="40"/>
        <v>100000</v>
      </c>
      <c r="L217" s="313">
        <f t="shared" si="34"/>
        <v>0</v>
      </c>
      <c r="M217" s="314">
        <f t="shared" si="35"/>
        <v>100</v>
      </c>
      <c r="N217" s="314">
        <f t="shared" si="36"/>
        <v>100</v>
      </c>
    </row>
    <row r="218" spans="1:14" ht="50.95" outlineLevel="2" x14ac:dyDescent="0.3">
      <c r="A218" s="213" t="s">
        <v>47</v>
      </c>
      <c r="B218" s="214" t="s">
        <v>455</v>
      </c>
      <c r="C218" s="214" t="s">
        <v>53</v>
      </c>
      <c r="D218" s="293" t="s">
        <v>694</v>
      </c>
      <c r="E218" s="293" t="s">
        <v>48</v>
      </c>
      <c r="F218" s="293" t="s">
        <v>838</v>
      </c>
      <c r="G218" s="237">
        <v>100000</v>
      </c>
      <c r="H218" s="215">
        <v>0</v>
      </c>
      <c r="I218" s="215">
        <f>'[2]прил 12'!F213</f>
        <v>100000</v>
      </c>
      <c r="J218" s="238">
        <v>100000</v>
      </c>
      <c r="K218" s="331">
        <v>100000</v>
      </c>
      <c r="L218" s="313">
        <f t="shared" si="34"/>
        <v>0</v>
      </c>
      <c r="M218" s="314">
        <f t="shared" si="35"/>
        <v>100</v>
      </c>
      <c r="N218" s="314">
        <f t="shared" si="36"/>
        <v>100</v>
      </c>
    </row>
    <row r="219" spans="1:14" ht="60.8" customHeight="1" outlineLevel="2" x14ac:dyDescent="0.3">
      <c r="A219" s="219" t="s">
        <v>742</v>
      </c>
      <c r="B219" s="220" t="s">
        <v>455</v>
      </c>
      <c r="C219" s="220" t="s">
        <v>53</v>
      </c>
      <c r="D219" s="295" t="s">
        <v>327</v>
      </c>
      <c r="E219" s="295" t="s">
        <v>6</v>
      </c>
      <c r="F219" s="296">
        <v>464300.72</v>
      </c>
      <c r="G219" s="273">
        <f>G220+G224</f>
        <v>3970400</v>
      </c>
      <c r="H219" s="221">
        <f>H220+H224</f>
        <v>210681.28</v>
      </c>
      <c r="I219" s="221">
        <f>I220+I224</f>
        <v>430000</v>
      </c>
      <c r="J219" s="273">
        <f>J220+J224</f>
        <v>1785000</v>
      </c>
      <c r="K219" s="333">
        <f>K220+K224</f>
        <v>835000</v>
      </c>
      <c r="L219" s="313">
        <f t="shared" si="34"/>
        <v>-950000</v>
      </c>
      <c r="M219" s="314">
        <f t="shared" si="35"/>
        <v>44.957686882933707</v>
      </c>
      <c r="N219" s="314">
        <f t="shared" si="36"/>
        <v>21.030626637114651</v>
      </c>
    </row>
    <row r="220" spans="1:14" ht="34" outlineLevel="2" x14ac:dyDescent="0.3">
      <c r="A220" s="213" t="s">
        <v>366</v>
      </c>
      <c r="B220" s="214" t="s">
        <v>455</v>
      </c>
      <c r="C220" s="214" t="s">
        <v>53</v>
      </c>
      <c r="D220" s="293" t="s">
        <v>328</v>
      </c>
      <c r="E220" s="293" t="s">
        <v>6</v>
      </c>
      <c r="F220" s="294">
        <v>249600</v>
      </c>
      <c r="G220" s="238">
        <f t="shared" ref="G220:K222" si="41">G221</f>
        <v>3563600</v>
      </c>
      <c r="H220" s="217">
        <f t="shared" si="41"/>
        <v>160600</v>
      </c>
      <c r="I220" s="217">
        <f t="shared" si="41"/>
        <v>300000</v>
      </c>
      <c r="J220" s="238">
        <f t="shared" si="41"/>
        <v>235000</v>
      </c>
      <c r="K220" s="331">
        <f t="shared" si="41"/>
        <v>235000</v>
      </c>
      <c r="L220" s="313">
        <f t="shared" si="34"/>
        <v>0</v>
      </c>
      <c r="M220" s="314">
        <f t="shared" si="35"/>
        <v>6.5944550454596476</v>
      </c>
      <c r="N220" s="314">
        <f t="shared" si="36"/>
        <v>6.5944550454596476</v>
      </c>
    </row>
    <row r="221" spans="1:14" ht="34" outlineLevel="2" x14ac:dyDescent="0.3">
      <c r="A221" s="213" t="s">
        <v>329</v>
      </c>
      <c r="B221" s="214" t="s">
        <v>455</v>
      </c>
      <c r="C221" s="214" t="s">
        <v>53</v>
      </c>
      <c r="D221" s="293" t="s">
        <v>330</v>
      </c>
      <c r="E221" s="293" t="s">
        <v>6</v>
      </c>
      <c r="F221" s="294">
        <v>249600</v>
      </c>
      <c r="G221" s="238">
        <f t="shared" si="41"/>
        <v>3563600</v>
      </c>
      <c r="H221" s="217">
        <f t="shared" si="41"/>
        <v>160600</v>
      </c>
      <c r="I221" s="217">
        <f t="shared" si="41"/>
        <v>300000</v>
      </c>
      <c r="J221" s="238">
        <f t="shared" si="41"/>
        <v>235000</v>
      </c>
      <c r="K221" s="331">
        <f t="shared" si="41"/>
        <v>235000</v>
      </c>
      <c r="L221" s="313">
        <f t="shared" si="34"/>
        <v>0</v>
      </c>
      <c r="M221" s="314">
        <f t="shared" si="35"/>
        <v>6.5944550454596476</v>
      </c>
      <c r="N221" s="314">
        <f t="shared" si="36"/>
        <v>6.5944550454596476</v>
      </c>
    </row>
    <row r="222" spans="1:14" s="224" customFormat="1" ht="34" outlineLevel="3" x14ac:dyDescent="0.3">
      <c r="A222" s="213" t="s">
        <v>15</v>
      </c>
      <c r="B222" s="214" t="s">
        <v>455</v>
      </c>
      <c r="C222" s="214" t="s">
        <v>53</v>
      </c>
      <c r="D222" s="293" t="s">
        <v>330</v>
      </c>
      <c r="E222" s="293" t="s">
        <v>16</v>
      </c>
      <c r="F222" s="294">
        <v>249600</v>
      </c>
      <c r="G222" s="238">
        <f t="shared" si="41"/>
        <v>3563600</v>
      </c>
      <c r="H222" s="169">
        <v>160600</v>
      </c>
      <c r="I222" s="217">
        <f t="shared" si="41"/>
        <v>300000</v>
      </c>
      <c r="J222" s="238">
        <f t="shared" si="41"/>
        <v>235000</v>
      </c>
      <c r="K222" s="331">
        <f t="shared" si="41"/>
        <v>235000</v>
      </c>
      <c r="L222" s="313">
        <f t="shared" si="34"/>
        <v>0</v>
      </c>
      <c r="M222" s="314">
        <f t="shared" si="35"/>
        <v>6.5944550454596476</v>
      </c>
      <c r="N222" s="314">
        <f t="shared" si="36"/>
        <v>6.5944550454596476</v>
      </c>
    </row>
    <row r="223" spans="1:14" ht="34" outlineLevel="3" x14ac:dyDescent="0.3">
      <c r="A223" s="213" t="s">
        <v>17</v>
      </c>
      <c r="B223" s="214" t="s">
        <v>455</v>
      </c>
      <c r="C223" s="214" t="s">
        <v>53</v>
      </c>
      <c r="D223" s="293" t="s">
        <v>330</v>
      </c>
      <c r="E223" s="293" t="s">
        <v>18</v>
      </c>
      <c r="F223" s="294">
        <v>249600</v>
      </c>
      <c r="G223" s="237">
        <f>[2]потребность!I222+3500000-150000</f>
        <v>3563600</v>
      </c>
      <c r="H223" s="169">
        <v>160600</v>
      </c>
      <c r="I223" s="215">
        <f>'[2]прил 12'!F218</f>
        <v>300000</v>
      </c>
      <c r="J223" s="238">
        <v>235000</v>
      </c>
      <c r="K223" s="331">
        <v>235000</v>
      </c>
      <c r="L223" s="313">
        <f t="shared" si="34"/>
        <v>0</v>
      </c>
      <c r="M223" s="314">
        <f t="shared" si="35"/>
        <v>6.5944550454596476</v>
      </c>
      <c r="N223" s="314">
        <f t="shared" si="36"/>
        <v>6.5944550454596476</v>
      </c>
    </row>
    <row r="224" spans="1:14" ht="34" outlineLevel="3" x14ac:dyDescent="0.3">
      <c r="A224" s="225" t="s">
        <v>368</v>
      </c>
      <c r="B224" s="214" t="s">
        <v>455</v>
      </c>
      <c r="C224" s="214" t="s">
        <v>53</v>
      </c>
      <c r="D224" s="293" t="s">
        <v>367</v>
      </c>
      <c r="E224" s="293" t="s">
        <v>6</v>
      </c>
      <c r="F224" s="294">
        <v>214700.72</v>
      </c>
      <c r="G224" s="237">
        <f t="shared" ref="G224:K226" si="42">G225</f>
        <v>406800</v>
      </c>
      <c r="H224" s="215">
        <f t="shared" si="42"/>
        <v>50081.279999999999</v>
      </c>
      <c r="I224" s="215">
        <f t="shared" si="42"/>
        <v>130000</v>
      </c>
      <c r="J224" s="237">
        <f t="shared" si="42"/>
        <v>1550000</v>
      </c>
      <c r="K224" s="330">
        <f t="shared" si="42"/>
        <v>600000</v>
      </c>
      <c r="L224" s="313">
        <f t="shared" si="34"/>
        <v>-950000</v>
      </c>
      <c r="M224" s="314">
        <f t="shared" si="35"/>
        <v>381.02261553588988</v>
      </c>
      <c r="N224" s="314">
        <f t="shared" si="36"/>
        <v>147.49262536873155</v>
      </c>
    </row>
    <row r="225" spans="1:14" ht="34" outlineLevel="3" x14ac:dyDescent="0.3">
      <c r="A225" s="213" t="s">
        <v>331</v>
      </c>
      <c r="B225" s="214" t="s">
        <v>455</v>
      </c>
      <c r="C225" s="214" t="s">
        <v>53</v>
      </c>
      <c r="D225" s="293" t="s">
        <v>389</v>
      </c>
      <c r="E225" s="293" t="s">
        <v>6</v>
      </c>
      <c r="F225" s="294">
        <v>214700.72</v>
      </c>
      <c r="G225" s="237">
        <f t="shared" si="42"/>
        <v>406800</v>
      </c>
      <c r="H225" s="215">
        <f t="shared" si="42"/>
        <v>50081.279999999999</v>
      </c>
      <c r="I225" s="215">
        <f t="shared" si="42"/>
        <v>130000</v>
      </c>
      <c r="J225" s="237">
        <f t="shared" si="42"/>
        <v>1550000</v>
      </c>
      <c r="K225" s="330">
        <f t="shared" si="42"/>
        <v>600000</v>
      </c>
      <c r="L225" s="313">
        <f t="shared" si="34"/>
        <v>-950000</v>
      </c>
      <c r="M225" s="314">
        <f t="shared" si="35"/>
        <v>381.02261553588988</v>
      </c>
      <c r="N225" s="314">
        <f t="shared" si="36"/>
        <v>147.49262536873155</v>
      </c>
    </row>
    <row r="226" spans="1:14" ht="18.7" customHeight="1" outlineLevel="3" x14ac:dyDescent="0.3">
      <c r="A226" s="213" t="s">
        <v>15</v>
      </c>
      <c r="B226" s="214" t="s">
        <v>455</v>
      </c>
      <c r="C226" s="214" t="s">
        <v>53</v>
      </c>
      <c r="D226" s="293" t="s">
        <v>389</v>
      </c>
      <c r="E226" s="293" t="s">
        <v>16</v>
      </c>
      <c r="F226" s="294">
        <v>214700.72</v>
      </c>
      <c r="G226" s="237">
        <f t="shared" si="42"/>
        <v>406800</v>
      </c>
      <c r="H226" s="169">
        <v>50081.279999999999</v>
      </c>
      <c r="I226" s="215">
        <f t="shared" si="42"/>
        <v>130000</v>
      </c>
      <c r="J226" s="237">
        <f t="shared" si="42"/>
        <v>1550000</v>
      </c>
      <c r="K226" s="330">
        <f t="shared" si="42"/>
        <v>600000</v>
      </c>
      <c r="L226" s="313">
        <f t="shared" si="34"/>
        <v>-950000</v>
      </c>
      <c r="M226" s="314">
        <f t="shared" si="35"/>
        <v>381.02261553588988</v>
      </c>
      <c r="N226" s="314">
        <f t="shared" si="36"/>
        <v>147.49262536873155</v>
      </c>
    </row>
    <row r="227" spans="1:14" ht="19.55" customHeight="1" outlineLevel="3" x14ac:dyDescent="0.3">
      <c r="A227" s="213" t="s">
        <v>17</v>
      </c>
      <c r="B227" s="214" t="s">
        <v>455</v>
      </c>
      <c r="C227" s="214" t="s">
        <v>53</v>
      </c>
      <c r="D227" s="293" t="s">
        <v>389</v>
      </c>
      <c r="E227" s="293" t="s">
        <v>18</v>
      </c>
      <c r="F227" s="294">
        <v>214700.72</v>
      </c>
      <c r="G227" s="237">
        <f>130000+276800</f>
        <v>406800</v>
      </c>
      <c r="H227" s="169">
        <v>50081.279999999999</v>
      </c>
      <c r="I227" s="215">
        <f>'[2]прил 12'!F222</f>
        <v>130000</v>
      </c>
      <c r="J227" s="238">
        <v>1550000</v>
      </c>
      <c r="K227" s="331">
        <f>1550000-950000</f>
        <v>600000</v>
      </c>
      <c r="L227" s="313">
        <f t="shared" si="34"/>
        <v>-950000</v>
      </c>
      <c r="M227" s="314">
        <f t="shared" si="35"/>
        <v>381.02261553588988</v>
      </c>
      <c r="N227" s="314">
        <f t="shared" si="36"/>
        <v>147.49262536873155</v>
      </c>
    </row>
    <row r="228" spans="1:14" outlineLevel="5" x14ac:dyDescent="0.3">
      <c r="A228" s="219" t="s">
        <v>54</v>
      </c>
      <c r="B228" s="220" t="s">
        <v>455</v>
      </c>
      <c r="C228" s="220" t="s">
        <v>55</v>
      </c>
      <c r="D228" s="295" t="s">
        <v>126</v>
      </c>
      <c r="E228" s="295" t="s">
        <v>6</v>
      </c>
      <c r="F228" s="294">
        <v>188947675.87</v>
      </c>
      <c r="G228" s="276">
        <f>G229+G240+G272+G324</f>
        <v>125299209.63000001</v>
      </c>
      <c r="H228" s="231">
        <f>H229+H240+H272+H324</f>
        <v>91233080.129999995</v>
      </c>
      <c r="I228" s="231">
        <f>I229+I240+I272+I324</f>
        <v>48705734.209999993</v>
      </c>
      <c r="J228" s="276">
        <f>J229+J240+J272+J324</f>
        <v>62278269.760000005</v>
      </c>
      <c r="K228" s="334">
        <f>K229+K240+K272+K324</f>
        <v>60467928.910000004</v>
      </c>
      <c r="L228" s="313">
        <f t="shared" si="34"/>
        <v>-1810340.8500000015</v>
      </c>
      <c r="M228" s="314">
        <f t="shared" si="35"/>
        <v>49.703641342913073</v>
      </c>
      <c r="N228" s="314">
        <f t="shared" si="36"/>
        <v>48.258827081637349</v>
      </c>
    </row>
    <row r="229" spans="1:14" outlineLevel="6" x14ac:dyDescent="0.3">
      <c r="A229" s="213" t="s">
        <v>56</v>
      </c>
      <c r="B229" s="214" t="s">
        <v>455</v>
      </c>
      <c r="C229" s="214" t="s">
        <v>57</v>
      </c>
      <c r="D229" s="293" t="s">
        <v>126</v>
      </c>
      <c r="E229" s="293" t="s">
        <v>6</v>
      </c>
      <c r="F229" s="294">
        <v>3451807.53</v>
      </c>
      <c r="G229" s="237">
        <f>G230+G236</f>
        <v>4550000</v>
      </c>
      <c r="H229" s="215">
        <f>H230+H236</f>
        <v>3303727.39</v>
      </c>
      <c r="I229" s="215">
        <f>I230+I236</f>
        <v>2500000</v>
      </c>
      <c r="J229" s="237">
        <f>J230+J236</f>
        <v>2500000</v>
      </c>
      <c r="K229" s="330">
        <f>K230+K236</f>
        <v>2500000</v>
      </c>
      <c r="L229" s="313">
        <f t="shared" si="34"/>
        <v>0</v>
      </c>
      <c r="M229" s="314">
        <f t="shared" si="35"/>
        <v>54.945054945054942</v>
      </c>
      <c r="N229" s="314">
        <f t="shared" si="36"/>
        <v>54.945054945054949</v>
      </c>
    </row>
    <row r="230" spans="1:14" ht="61.5" customHeight="1" outlineLevel="7" x14ac:dyDescent="0.3">
      <c r="A230" s="219" t="s">
        <v>741</v>
      </c>
      <c r="B230" s="220" t="s">
        <v>455</v>
      </c>
      <c r="C230" s="220" t="s">
        <v>57</v>
      </c>
      <c r="D230" s="295" t="s">
        <v>319</v>
      </c>
      <c r="E230" s="295" t="s">
        <v>6</v>
      </c>
      <c r="F230" s="296">
        <v>3451807.53</v>
      </c>
      <c r="G230" s="273">
        <f t="shared" ref="G230:K233" si="43">G231</f>
        <v>4550000</v>
      </c>
      <c r="H230" s="221">
        <f t="shared" si="43"/>
        <v>3303727.39</v>
      </c>
      <c r="I230" s="221">
        <f t="shared" si="43"/>
        <v>2500000</v>
      </c>
      <c r="J230" s="273">
        <f t="shared" si="43"/>
        <v>2500000</v>
      </c>
      <c r="K230" s="333">
        <f t="shared" si="43"/>
        <v>2500000</v>
      </c>
      <c r="L230" s="313">
        <f t="shared" si="34"/>
        <v>0</v>
      </c>
      <c r="M230" s="314">
        <f t="shared" si="35"/>
        <v>54.945054945054942</v>
      </c>
      <c r="N230" s="314">
        <f t="shared" si="36"/>
        <v>54.945054945054949</v>
      </c>
    </row>
    <row r="231" spans="1:14" s="224" customFormat="1" ht="34" outlineLevel="1" x14ac:dyDescent="0.3">
      <c r="A231" s="213" t="s">
        <v>332</v>
      </c>
      <c r="B231" s="214" t="s">
        <v>455</v>
      </c>
      <c r="C231" s="214" t="s">
        <v>57</v>
      </c>
      <c r="D231" s="293" t="s">
        <v>320</v>
      </c>
      <c r="E231" s="293" t="s">
        <v>6</v>
      </c>
      <c r="F231" s="294">
        <v>3451807.53</v>
      </c>
      <c r="G231" s="237">
        <f t="shared" si="43"/>
        <v>4550000</v>
      </c>
      <c r="H231" s="215">
        <f t="shared" si="43"/>
        <v>3303727.39</v>
      </c>
      <c r="I231" s="215">
        <f t="shared" si="43"/>
        <v>2500000</v>
      </c>
      <c r="J231" s="237">
        <f t="shared" si="43"/>
        <v>2500000</v>
      </c>
      <c r="K231" s="330">
        <f t="shared" si="43"/>
        <v>2500000</v>
      </c>
      <c r="L231" s="313">
        <f t="shared" si="34"/>
        <v>0</v>
      </c>
      <c r="M231" s="314">
        <f t="shared" si="35"/>
        <v>54.945054945054942</v>
      </c>
      <c r="N231" s="314">
        <f t="shared" si="36"/>
        <v>54.945054945054949</v>
      </c>
    </row>
    <row r="232" spans="1:14" ht="34" outlineLevel="1" x14ac:dyDescent="0.3">
      <c r="A232" s="213" t="s">
        <v>333</v>
      </c>
      <c r="B232" s="214" t="s">
        <v>455</v>
      </c>
      <c r="C232" s="214" t="s">
        <v>57</v>
      </c>
      <c r="D232" s="293" t="s">
        <v>334</v>
      </c>
      <c r="E232" s="293" t="s">
        <v>6</v>
      </c>
      <c r="F232" s="294">
        <v>3451807.53</v>
      </c>
      <c r="G232" s="237">
        <f t="shared" si="43"/>
        <v>4550000</v>
      </c>
      <c r="H232" s="215">
        <f t="shared" si="43"/>
        <v>3303727.39</v>
      </c>
      <c r="I232" s="215">
        <f t="shared" si="43"/>
        <v>2500000</v>
      </c>
      <c r="J232" s="237">
        <f t="shared" si="43"/>
        <v>2500000</v>
      </c>
      <c r="K232" s="330">
        <f t="shared" si="43"/>
        <v>2500000</v>
      </c>
      <c r="L232" s="313">
        <f t="shared" si="34"/>
        <v>0</v>
      </c>
      <c r="M232" s="314">
        <f t="shared" si="35"/>
        <v>54.945054945054942</v>
      </c>
      <c r="N232" s="314">
        <f t="shared" si="36"/>
        <v>54.945054945054949</v>
      </c>
    </row>
    <row r="233" spans="1:14" s="224" customFormat="1" ht="34" outlineLevel="1" x14ac:dyDescent="0.3">
      <c r="A233" s="213" t="s">
        <v>15</v>
      </c>
      <c r="B233" s="214" t="s">
        <v>455</v>
      </c>
      <c r="C233" s="214" t="s">
        <v>57</v>
      </c>
      <c r="D233" s="293" t="s">
        <v>334</v>
      </c>
      <c r="E233" s="293" t="s">
        <v>16</v>
      </c>
      <c r="F233" s="294">
        <v>3451807.53</v>
      </c>
      <c r="G233" s="237">
        <f t="shared" si="43"/>
        <v>4550000</v>
      </c>
      <c r="H233" s="169">
        <v>3303727.39</v>
      </c>
      <c r="I233" s="215">
        <f t="shared" si="43"/>
        <v>2500000</v>
      </c>
      <c r="J233" s="237">
        <f t="shared" si="43"/>
        <v>2500000</v>
      </c>
      <c r="K233" s="330">
        <f t="shared" si="43"/>
        <v>2500000</v>
      </c>
      <c r="L233" s="313">
        <f t="shared" si="34"/>
        <v>0</v>
      </c>
      <c r="M233" s="314">
        <f t="shared" si="35"/>
        <v>54.945054945054942</v>
      </c>
      <c r="N233" s="314">
        <f t="shared" si="36"/>
        <v>54.945054945054949</v>
      </c>
    </row>
    <row r="234" spans="1:14" ht="36.700000000000003" customHeight="1" outlineLevel="1" x14ac:dyDescent="0.3">
      <c r="A234" s="213" t="s">
        <v>17</v>
      </c>
      <c r="B234" s="214" t="s">
        <v>455</v>
      </c>
      <c r="C234" s="214" t="s">
        <v>57</v>
      </c>
      <c r="D234" s="293" t="s">
        <v>334</v>
      </c>
      <c r="E234" s="293" t="s">
        <v>18</v>
      </c>
      <c r="F234" s="294">
        <v>3451807.53</v>
      </c>
      <c r="G234" s="238">
        <f>1500000+2800000+250000</f>
        <v>4550000</v>
      </c>
      <c r="H234" s="169">
        <v>3303727.39</v>
      </c>
      <c r="I234" s="217">
        <f>'[2]прил 12'!F229</f>
        <v>2500000</v>
      </c>
      <c r="J234" s="238">
        <v>2500000</v>
      </c>
      <c r="K234" s="331">
        <f>2500000</f>
        <v>2500000</v>
      </c>
      <c r="L234" s="313">
        <f t="shared" si="34"/>
        <v>0</v>
      </c>
      <c r="M234" s="314">
        <f t="shared" si="35"/>
        <v>54.945054945054942</v>
      </c>
      <c r="N234" s="314">
        <f t="shared" si="36"/>
        <v>54.945054945054949</v>
      </c>
    </row>
    <row r="235" spans="1:14" ht="34" outlineLevel="5" x14ac:dyDescent="0.3">
      <c r="A235" s="213" t="s">
        <v>132</v>
      </c>
      <c r="B235" s="214" t="s">
        <v>455</v>
      </c>
      <c r="C235" s="214" t="s">
        <v>57</v>
      </c>
      <c r="D235" s="293" t="s">
        <v>127</v>
      </c>
      <c r="E235" s="293" t="s">
        <v>6</v>
      </c>
      <c r="F235" s="293"/>
      <c r="G235" s="237">
        <f>G236</f>
        <v>0</v>
      </c>
      <c r="H235" s="216"/>
      <c r="I235" s="215"/>
      <c r="J235" s="238"/>
      <c r="K235" s="331"/>
      <c r="L235" s="313">
        <f t="shared" si="34"/>
        <v>0</v>
      </c>
      <c r="M235" s="314"/>
      <c r="N235" s="314"/>
    </row>
    <row r="236" spans="1:14" outlineLevel="6" x14ac:dyDescent="0.3">
      <c r="A236" s="213" t="s">
        <v>269</v>
      </c>
      <c r="B236" s="214" t="s">
        <v>455</v>
      </c>
      <c r="C236" s="214" t="s">
        <v>57</v>
      </c>
      <c r="D236" s="293" t="s">
        <v>268</v>
      </c>
      <c r="E236" s="293" t="s">
        <v>6</v>
      </c>
      <c r="F236" s="293"/>
      <c r="G236" s="237">
        <f>G237</f>
        <v>0</v>
      </c>
      <c r="H236" s="216"/>
      <c r="I236" s="215"/>
      <c r="J236" s="238"/>
      <c r="K236" s="331"/>
      <c r="L236" s="313">
        <f t="shared" si="34"/>
        <v>0</v>
      </c>
      <c r="M236" s="314"/>
      <c r="N236" s="314"/>
    </row>
    <row r="237" spans="1:14" ht="18" customHeight="1" outlineLevel="7" x14ac:dyDescent="0.3">
      <c r="A237" s="185" t="s">
        <v>361</v>
      </c>
      <c r="B237" s="214" t="s">
        <v>455</v>
      </c>
      <c r="C237" s="214" t="s">
        <v>57</v>
      </c>
      <c r="D237" s="293" t="s">
        <v>462</v>
      </c>
      <c r="E237" s="293" t="s">
        <v>6</v>
      </c>
      <c r="F237" s="293"/>
      <c r="G237" s="237">
        <f>G238</f>
        <v>0</v>
      </c>
      <c r="H237" s="216"/>
      <c r="I237" s="215"/>
      <c r="J237" s="238"/>
      <c r="K237" s="331"/>
      <c r="L237" s="313">
        <f t="shared" si="34"/>
        <v>0</v>
      </c>
      <c r="M237" s="314"/>
      <c r="N237" s="314"/>
    </row>
    <row r="238" spans="1:14" ht="19.55" customHeight="1" outlineLevel="7" x14ac:dyDescent="0.3">
      <c r="A238" s="213" t="s">
        <v>15</v>
      </c>
      <c r="B238" s="214" t="s">
        <v>455</v>
      </c>
      <c r="C238" s="214" t="s">
        <v>57</v>
      </c>
      <c r="D238" s="293" t="s">
        <v>462</v>
      </c>
      <c r="E238" s="293" t="s">
        <v>16</v>
      </c>
      <c r="F238" s="293"/>
      <c r="G238" s="237">
        <f>G239</f>
        <v>0</v>
      </c>
      <c r="H238" s="216"/>
      <c r="I238" s="215"/>
      <c r="J238" s="238"/>
      <c r="K238" s="331"/>
      <c r="L238" s="313">
        <f t="shared" si="34"/>
        <v>0</v>
      </c>
      <c r="M238" s="314"/>
      <c r="N238" s="314"/>
    </row>
    <row r="239" spans="1:14" ht="19.55" customHeight="1" outlineLevel="7" x14ac:dyDescent="0.3">
      <c r="A239" s="213" t="s">
        <v>17</v>
      </c>
      <c r="B239" s="214" t="s">
        <v>455</v>
      </c>
      <c r="C239" s="214" t="s">
        <v>57</v>
      </c>
      <c r="D239" s="293" t="s">
        <v>462</v>
      </c>
      <c r="E239" s="293" t="s">
        <v>18</v>
      </c>
      <c r="F239" s="293"/>
      <c r="G239" s="238">
        <v>0</v>
      </c>
      <c r="H239" s="218"/>
      <c r="I239" s="217"/>
      <c r="J239" s="238"/>
      <c r="K239" s="331"/>
      <c r="L239" s="313">
        <f t="shared" si="34"/>
        <v>0</v>
      </c>
      <c r="M239" s="314"/>
      <c r="N239" s="314"/>
    </row>
    <row r="240" spans="1:14" ht="18.7" customHeight="1" outlineLevel="7" x14ac:dyDescent="0.3">
      <c r="A240" s="213" t="s">
        <v>58</v>
      </c>
      <c r="B240" s="214" t="s">
        <v>455</v>
      </c>
      <c r="C240" s="214" t="s">
        <v>59</v>
      </c>
      <c r="D240" s="293" t="s">
        <v>126</v>
      </c>
      <c r="E240" s="293" t="s">
        <v>6</v>
      </c>
      <c r="F240" s="294">
        <v>157175808.12</v>
      </c>
      <c r="G240" s="237">
        <f>G241</f>
        <v>59022607.700000003</v>
      </c>
      <c r="H240" s="215">
        <f>H241</f>
        <v>54637654.609999999</v>
      </c>
      <c r="I240" s="215">
        <f>I241</f>
        <v>15331657.939999999</v>
      </c>
      <c r="J240" s="237">
        <f>J241</f>
        <v>33060658</v>
      </c>
      <c r="K240" s="330">
        <f>K241</f>
        <v>31690444.280000001</v>
      </c>
      <c r="L240" s="313">
        <f t="shared" si="34"/>
        <v>-1370213.7199999988</v>
      </c>
      <c r="M240" s="314">
        <f t="shared" si="35"/>
        <v>56.013550211201526</v>
      </c>
      <c r="N240" s="314">
        <f t="shared" si="36"/>
        <v>53.692043633646506</v>
      </c>
    </row>
    <row r="241" spans="1:14" ht="50.95" outlineLevel="7" x14ac:dyDescent="0.3">
      <c r="A241" s="219" t="s">
        <v>739</v>
      </c>
      <c r="B241" s="220" t="s">
        <v>455</v>
      </c>
      <c r="C241" s="220" t="s">
        <v>59</v>
      </c>
      <c r="D241" s="295" t="s">
        <v>134</v>
      </c>
      <c r="E241" s="295" t="s">
        <v>6</v>
      </c>
      <c r="F241" s="294">
        <v>157175808.12</v>
      </c>
      <c r="G241" s="273">
        <f>G242+G269</f>
        <v>59022607.700000003</v>
      </c>
      <c r="H241" s="221">
        <f>H242+H269</f>
        <v>54637654.609999999</v>
      </c>
      <c r="I241" s="221">
        <f>I242+I269</f>
        <v>15331657.939999999</v>
      </c>
      <c r="J241" s="273">
        <f>J242+J269</f>
        <v>33060658</v>
      </c>
      <c r="K241" s="333">
        <f>K242+K269</f>
        <v>31690444.280000001</v>
      </c>
      <c r="L241" s="313">
        <f t="shared" si="34"/>
        <v>-1370213.7199999988</v>
      </c>
      <c r="M241" s="314">
        <f t="shared" si="35"/>
        <v>56.013550211201526</v>
      </c>
      <c r="N241" s="314">
        <f t="shared" si="36"/>
        <v>53.692043633646506</v>
      </c>
    </row>
    <row r="242" spans="1:14" ht="50.95" outlineLevel="7" x14ac:dyDescent="0.3">
      <c r="A242" s="213" t="s">
        <v>740</v>
      </c>
      <c r="B242" s="214" t="s">
        <v>455</v>
      </c>
      <c r="C242" s="214" t="s">
        <v>59</v>
      </c>
      <c r="D242" s="293" t="s">
        <v>335</v>
      </c>
      <c r="E242" s="293" t="s">
        <v>6</v>
      </c>
      <c r="F242" s="294">
        <v>39215522.909999996</v>
      </c>
      <c r="G242" s="237">
        <f>G243+G250+G253+G259+G256</f>
        <v>37683628</v>
      </c>
      <c r="H242" s="215">
        <f>H243+H250+H253+H259+H256</f>
        <v>33298674.91</v>
      </c>
      <c r="I242" s="215">
        <f>I243+I250+I253+I259+I256</f>
        <v>15331657.939999999</v>
      </c>
      <c r="J242" s="237">
        <f>J243+J250+J253+J259+J256</f>
        <v>33060658</v>
      </c>
      <c r="K242" s="330">
        <f>K243+K250+K253+K259+K256</f>
        <v>31690444.280000001</v>
      </c>
      <c r="L242" s="313">
        <f t="shared" si="34"/>
        <v>-1370213.7199999988</v>
      </c>
      <c r="M242" s="314">
        <f t="shared" si="35"/>
        <v>87.732152541151279</v>
      </c>
      <c r="N242" s="314">
        <f t="shared" si="36"/>
        <v>84.096054339566251</v>
      </c>
    </row>
    <row r="243" spans="1:14" ht="84.9" outlineLevel="1" x14ac:dyDescent="0.3">
      <c r="A243" s="213" t="s">
        <v>60</v>
      </c>
      <c r="B243" s="214" t="s">
        <v>455</v>
      </c>
      <c r="C243" s="214" t="s">
        <v>59</v>
      </c>
      <c r="D243" s="293" t="s">
        <v>336</v>
      </c>
      <c r="E243" s="293" t="s">
        <v>6</v>
      </c>
      <c r="F243" s="294">
        <v>18467321.710000001</v>
      </c>
      <c r="G243" s="237">
        <f>G244+G246+G248</f>
        <v>17205628</v>
      </c>
      <c r="H243" s="215">
        <f>H244+H246+H248</f>
        <v>11589414.24</v>
      </c>
      <c r="I243" s="215">
        <f>I244+I246+I248</f>
        <v>7110000</v>
      </c>
      <c r="J243" s="237">
        <f>J244+J246+J248</f>
        <v>12500000</v>
      </c>
      <c r="K243" s="330">
        <f>K244+K246+K248</f>
        <v>11500000</v>
      </c>
      <c r="L243" s="313">
        <f t="shared" si="34"/>
        <v>-1000000</v>
      </c>
      <c r="M243" s="314">
        <f t="shared" si="35"/>
        <v>72.650646637251484</v>
      </c>
      <c r="N243" s="314">
        <f t="shared" si="36"/>
        <v>66.838594906271368</v>
      </c>
    </row>
    <row r="244" spans="1:14" s="224" customFormat="1" ht="34" outlineLevel="1" x14ac:dyDescent="0.3">
      <c r="A244" s="213" t="s">
        <v>15</v>
      </c>
      <c r="B244" s="214" t="s">
        <v>455</v>
      </c>
      <c r="C244" s="214" t="s">
        <v>59</v>
      </c>
      <c r="D244" s="293" t="s">
        <v>336</v>
      </c>
      <c r="E244" s="293" t="s">
        <v>16</v>
      </c>
      <c r="F244" s="294">
        <v>5173445.33</v>
      </c>
      <c r="G244" s="237">
        <f>G245</f>
        <v>6127679.0999999996</v>
      </c>
      <c r="H244" s="169">
        <v>749716.98</v>
      </c>
      <c r="I244" s="215">
        <f>I245</f>
        <v>2110000</v>
      </c>
      <c r="J244" s="237">
        <f>J245</f>
        <v>2500000</v>
      </c>
      <c r="K244" s="330">
        <f>K245</f>
        <v>1500000</v>
      </c>
      <c r="L244" s="313">
        <f t="shared" si="34"/>
        <v>-1000000</v>
      </c>
      <c r="M244" s="314">
        <f t="shared" si="35"/>
        <v>40.798481108451</v>
      </c>
      <c r="N244" s="314">
        <f t="shared" si="36"/>
        <v>24.479088665070599</v>
      </c>
    </row>
    <row r="245" spans="1:14" ht="38.9" customHeight="1" outlineLevel="1" x14ac:dyDescent="0.3">
      <c r="A245" s="213" t="s">
        <v>17</v>
      </c>
      <c r="B245" s="214" t="s">
        <v>455</v>
      </c>
      <c r="C245" s="214" t="s">
        <v>59</v>
      </c>
      <c r="D245" s="293" t="s">
        <v>336</v>
      </c>
      <c r="E245" s="293" t="s">
        <v>18</v>
      </c>
      <c r="F245" s="294">
        <v>5173445.33</v>
      </c>
      <c r="G245" s="238">
        <f>[2]потребность!L244-482320.9+1700000</f>
        <v>6127679.0999999996</v>
      </c>
      <c r="H245" s="169">
        <v>749716.98</v>
      </c>
      <c r="I245" s="217">
        <f>'[2]прил 12'!F240</f>
        <v>2110000</v>
      </c>
      <c r="J245" s="238">
        <v>2500000</v>
      </c>
      <c r="K245" s="331">
        <f>2500000-1000000</f>
        <v>1500000</v>
      </c>
      <c r="L245" s="313">
        <f t="shared" si="34"/>
        <v>-1000000</v>
      </c>
      <c r="M245" s="314">
        <f t="shared" si="35"/>
        <v>40.798481108451</v>
      </c>
      <c r="N245" s="314">
        <f t="shared" si="36"/>
        <v>24.479088665070599</v>
      </c>
    </row>
    <row r="246" spans="1:14" ht="40.75" customHeight="1" outlineLevel="1" x14ac:dyDescent="0.3">
      <c r="A246" s="213" t="s">
        <v>258</v>
      </c>
      <c r="B246" s="214" t="s">
        <v>455</v>
      </c>
      <c r="C246" s="214" t="s">
        <v>59</v>
      </c>
      <c r="D246" s="293" t="s">
        <v>336</v>
      </c>
      <c r="E246" s="293" t="s">
        <v>259</v>
      </c>
      <c r="F246" s="294">
        <v>1362876.38</v>
      </c>
      <c r="G246" s="238">
        <f>G247</f>
        <v>1077948.8999999999</v>
      </c>
      <c r="H246" s="169">
        <v>839697.26</v>
      </c>
      <c r="I246" s="217">
        <f>I247</f>
        <v>0</v>
      </c>
      <c r="J246" s="238">
        <f>J247</f>
        <v>0</v>
      </c>
      <c r="K246" s="331">
        <f>K247</f>
        <v>0</v>
      </c>
      <c r="L246" s="313">
        <f t="shared" si="34"/>
        <v>0</v>
      </c>
      <c r="M246" s="314">
        <f t="shared" si="35"/>
        <v>0</v>
      </c>
      <c r="N246" s="314">
        <f t="shared" si="36"/>
        <v>0</v>
      </c>
    </row>
    <row r="247" spans="1:14" ht="41.3" customHeight="1" outlineLevel="1" x14ac:dyDescent="0.3">
      <c r="A247" s="213" t="s">
        <v>260</v>
      </c>
      <c r="B247" s="214" t="s">
        <v>455</v>
      </c>
      <c r="C247" s="214" t="s">
        <v>59</v>
      </c>
      <c r="D247" s="293" t="s">
        <v>336</v>
      </c>
      <c r="E247" s="293" t="s">
        <v>261</v>
      </c>
      <c r="F247" s="294">
        <v>1362876.38</v>
      </c>
      <c r="G247" s="238">
        <f>22900478.19-22304850.19+482320.9</f>
        <v>1077948.8999999999</v>
      </c>
      <c r="H247" s="169">
        <v>839697.26</v>
      </c>
      <c r="I247" s="217">
        <f>'[2]прил 12'!F242</f>
        <v>0</v>
      </c>
      <c r="J247" s="238">
        <f>'[2]прил 12'!G242</f>
        <v>0</v>
      </c>
      <c r="K247" s="331">
        <f>'[2]прил 12'!H242</f>
        <v>0</v>
      </c>
      <c r="L247" s="313">
        <f t="shared" si="34"/>
        <v>0</v>
      </c>
      <c r="M247" s="314">
        <f t="shared" si="35"/>
        <v>0</v>
      </c>
      <c r="N247" s="314">
        <f t="shared" si="36"/>
        <v>0</v>
      </c>
    </row>
    <row r="248" spans="1:14" ht="62.15" customHeight="1" outlineLevel="1" x14ac:dyDescent="0.3">
      <c r="A248" s="213" t="s">
        <v>19</v>
      </c>
      <c r="B248" s="214" t="s">
        <v>455</v>
      </c>
      <c r="C248" s="214" t="s">
        <v>59</v>
      </c>
      <c r="D248" s="293" t="s">
        <v>336</v>
      </c>
      <c r="E248" s="293" t="s">
        <v>20</v>
      </c>
      <c r="F248" s="294">
        <v>11931000</v>
      </c>
      <c r="G248" s="238">
        <f>G249</f>
        <v>10000000</v>
      </c>
      <c r="H248" s="169">
        <v>10000000</v>
      </c>
      <c r="I248" s="217">
        <f>I249</f>
        <v>5000000</v>
      </c>
      <c r="J248" s="238">
        <f>J249</f>
        <v>10000000</v>
      </c>
      <c r="K248" s="331">
        <f>K249</f>
        <v>10000000</v>
      </c>
      <c r="L248" s="313">
        <f t="shared" si="34"/>
        <v>0</v>
      </c>
      <c r="M248" s="314">
        <f t="shared" si="35"/>
        <v>100</v>
      </c>
      <c r="N248" s="314">
        <f t="shared" si="36"/>
        <v>100</v>
      </c>
    </row>
    <row r="249" spans="1:14" ht="69.45" customHeight="1" outlineLevel="1" x14ac:dyDescent="0.3">
      <c r="A249" s="213" t="s">
        <v>47</v>
      </c>
      <c r="B249" s="214" t="s">
        <v>455</v>
      </c>
      <c r="C249" s="214" t="s">
        <v>59</v>
      </c>
      <c r="D249" s="293" t="s">
        <v>336</v>
      </c>
      <c r="E249" s="293" t="s">
        <v>48</v>
      </c>
      <c r="F249" s="294">
        <v>11931000</v>
      </c>
      <c r="G249" s="238">
        <f>[2]потребность!L248</f>
        <v>10000000</v>
      </c>
      <c r="H249" s="169">
        <v>10000000</v>
      </c>
      <c r="I249" s="217">
        <f>'[2]прил 12'!F244</f>
        <v>5000000</v>
      </c>
      <c r="J249" s="238">
        <v>10000000</v>
      </c>
      <c r="K249" s="331">
        <v>10000000</v>
      </c>
      <c r="L249" s="313">
        <f t="shared" si="34"/>
        <v>0</v>
      </c>
      <c r="M249" s="314">
        <f t="shared" si="35"/>
        <v>100</v>
      </c>
      <c r="N249" s="314">
        <f t="shared" si="36"/>
        <v>100</v>
      </c>
    </row>
    <row r="250" spans="1:14" ht="21.25" customHeight="1" outlineLevel="1" x14ac:dyDescent="0.3">
      <c r="A250" s="213" t="s">
        <v>246</v>
      </c>
      <c r="B250" s="214" t="s">
        <v>455</v>
      </c>
      <c r="C250" s="214" t="s">
        <v>59</v>
      </c>
      <c r="D250" s="293" t="s">
        <v>337</v>
      </c>
      <c r="E250" s="293" t="s">
        <v>6</v>
      </c>
      <c r="F250" s="294">
        <v>1100000</v>
      </c>
      <c r="G250" s="238">
        <f t="shared" ref="G250:K251" si="44">G251</f>
        <v>4000000</v>
      </c>
      <c r="H250" s="217">
        <f t="shared" si="44"/>
        <v>2609040.7400000002</v>
      </c>
      <c r="I250" s="217">
        <f t="shared" si="44"/>
        <v>5000000</v>
      </c>
      <c r="J250" s="238">
        <f t="shared" si="44"/>
        <v>4400000</v>
      </c>
      <c r="K250" s="331">
        <f t="shared" si="44"/>
        <v>4400000</v>
      </c>
      <c r="L250" s="367">
        <f t="shared" si="34"/>
        <v>0</v>
      </c>
      <c r="M250" s="314">
        <f t="shared" si="35"/>
        <v>110</v>
      </c>
      <c r="N250" s="314">
        <f t="shared" si="36"/>
        <v>110.00000000000001</v>
      </c>
    </row>
    <row r="251" spans="1:14" ht="21.25" customHeight="1" outlineLevel="1" x14ac:dyDescent="0.3">
      <c r="A251" s="213" t="s">
        <v>19</v>
      </c>
      <c r="B251" s="214" t="s">
        <v>455</v>
      </c>
      <c r="C251" s="214" t="s">
        <v>59</v>
      </c>
      <c r="D251" s="293" t="s">
        <v>337</v>
      </c>
      <c r="E251" s="293" t="s">
        <v>20</v>
      </c>
      <c r="F251" s="294">
        <v>1100000</v>
      </c>
      <c r="G251" s="238">
        <f t="shared" si="44"/>
        <v>4000000</v>
      </c>
      <c r="H251" s="169">
        <v>2609040.7400000002</v>
      </c>
      <c r="I251" s="217">
        <f t="shared" si="44"/>
        <v>5000000</v>
      </c>
      <c r="J251" s="238">
        <f t="shared" si="44"/>
        <v>4400000</v>
      </c>
      <c r="K251" s="331">
        <f t="shared" si="44"/>
        <v>4400000</v>
      </c>
      <c r="L251" s="367">
        <f t="shared" si="34"/>
        <v>0</v>
      </c>
      <c r="M251" s="314">
        <f t="shared" si="35"/>
        <v>110</v>
      </c>
      <c r="N251" s="314">
        <f t="shared" si="36"/>
        <v>110.00000000000001</v>
      </c>
    </row>
    <row r="252" spans="1:14" ht="55.55" customHeight="1" outlineLevel="1" x14ac:dyDescent="0.3">
      <c r="A252" s="213" t="s">
        <v>47</v>
      </c>
      <c r="B252" s="214" t="s">
        <v>455</v>
      </c>
      <c r="C252" s="214" t="s">
        <v>59</v>
      </c>
      <c r="D252" s="293" t="s">
        <v>337</v>
      </c>
      <c r="E252" s="293" t="s">
        <v>48</v>
      </c>
      <c r="F252" s="294">
        <v>1100000</v>
      </c>
      <c r="G252" s="237">
        <f>[2]потребность!L251</f>
        <v>4000000</v>
      </c>
      <c r="H252" s="169">
        <v>2609040.7400000002</v>
      </c>
      <c r="I252" s="215">
        <f>'[2]прил 12'!F247</f>
        <v>5000000</v>
      </c>
      <c r="J252" s="238">
        <v>4400000</v>
      </c>
      <c r="K252" s="331">
        <f>4400000</f>
        <v>4400000</v>
      </c>
      <c r="L252" s="367">
        <f t="shared" si="34"/>
        <v>0</v>
      </c>
      <c r="M252" s="314">
        <f t="shared" si="35"/>
        <v>110</v>
      </c>
      <c r="N252" s="314">
        <f t="shared" si="36"/>
        <v>110.00000000000001</v>
      </c>
    </row>
    <row r="253" spans="1:14" ht="36.700000000000003" customHeight="1" outlineLevel="1" x14ac:dyDescent="0.3">
      <c r="A253" s="213" t="s">
        <v>256</v>
      </c>
      <c r="B253" s="214" t="s">
        <v>455</v>
      </c>
      <c r="C253" s="214" t="s">
        <v>59</v>
      </c>
      <c r="D253" s="293" t="s">
        <v>338</v>
      </c>
      <c r="E253" s="293" t="s">
        <v>6</v>
      </c>
      <c r="F253" s="294">
        <v>13650000</v>
      </c>
      <c r="G253" s="238">
        <f t="shared" ref="G253:K254" si="45">G254</f>
        <v>15778000</v>
      </c>
      <c r="H253" s="217">
        <f t="shared" si="45"/>
        <v>19100219.93</v>
      </c>
      <c r="I253" s="217">
        <f t="shared" si="45"/>
        <v>2500000</v>
      </c>
      <c r="J253" s="238">
        <f t="shared" si="45"/>
        <v>15439000</v>
      </c>
      <c r="K253" s="331">
        <f t="shared" si="45"/>
        <v>15439000</v>
      </c>
      <c r="L253" s="313">
        <f t="shared" si="34"/>
        <v>0</v>
      </c>
      <c r="M253" s="314">
        <f t="shared" si="35"/>
        <v>97.851438712130815</v>
      </c>
      <c r="N253" s="314">
        <f t="shared" si="36"/>
        <v>97.851438712130815</v>
      </c>
    </row>
    <row r="254" spans="1:14" outlineLevel="1" x14ac:dyDescent="0.3">
      <c r="A254" s="213" t="s">
        <v>19</v>
      </c>
      <c r="B254" s="214" t="s">
        <v>455</v>
      </c>
      <c r="C254" s="214" t="s">
        <v>59</v>
      </c>
      <c r="D254" s="293" t="s">
        <v>338</v>
      </c>
      <c r="E254" s="293" t="s">
        <v>20</v>
      </c>
      <c r="F254" s="294">
        <v>13650000</v>
      </c>
      <c r="G254" s="238">
        <f t="shared" si="45"/>
        <v>15778000</v>
      </c>
      <c r="H254" s="169">
        <v>19100219.93</v>
      </c>
      <c r="I254" s="217">
        <f t="shared" si="45"/>
        <v>2500000</v>
      </c>
      <c r="J254" s="238">
        <f t="shared" si="45"/>
        <v>15439000</v>
      </c>
      <c r="K254" s="331">
        <f t="shared" si="45"/>
        <v>15439000</v>
      </c>
      <c r="L254" s="313">
        <f t="shared" si="34"/>
        <v>0</v>
      </c>
      <c r="M254" s="314">
        <f t="shared" si="35"/>
        <v>97.851438712130815</v>
      </c>
      <c r="N254" s="314">
        <f t="shared" si="36"/>
        <v>97.851438712130815</v>
      </c>
    </row>
    <row r="255" spans="1:14" ht="50.95" outlineLevel="1" x14ac:dyDescent="0.3">
      <c r="A255" s="213" t="s">
        <v>47</v>
      </c>
      <c r="B255" s="214" t="s">
        <v>455</v>
      </c>
      <c r="C255" s="214" t="s">
        <v>59</v>
      </c>
      <c r="D255" s="293" t="s">
        <v>338</v>
      </c>
      <c r="E255" s="293" t="s">
        <v>48</v>
      </c>
      <c r="F255" s="294">
        <v>13650000</v>
      </c>
      <c r="G255" s="237">
        <f>[2]потребность!L254+5000000</f>
        <v>15778000</v>
      </c>
      <c r="H255" s="169">
        <v>19100219.93</v>
      </c>
      <c r="I255" s="215">
        <f>'[2]прил 12'!F250</f>
        <v>2500000</v>
      </c>
      <c r="J255" s="238">
        <v>15439000</v>
      </c>
      <c r="K255" s="331">
        <v>15439000</v>
      </c>
      <c r="L255" s="313">
        <f t="shared" si="34"/>
        <v>0</v>
      </c>
      <c r="M255" s="314">
        <f t="shared" si="35"/>
        <v>97.851438712130815</v>
      </c>
      <c r="N255" s="314">
        <f t="shared" si="36"/>
        <v>97.851438712130815</v>
      </c>
    </row>
    <row r="256" spans="1:14" ht="50.95" outlineLevel="1" x14ac:dyDescent="0.3">
      <c r="A256" s="213" t="s">
        <v>289</v>
      </c>
      <c r="B256" s="214" t="s">
        <v>455</v>
      </c>
      <c r="C256" s="214" t="s">
        <v>59</v>
      </c>
      <c r="D256" s="293" t="s">
        <v>369</v>
      </c>
      <c r="E256" s="293" t="s">
        <v>6</v>
      </c>
      <c r="F256" s="293"/>
      <c r="G256" s="237">
        <f t="shared" ref="G256:K257" si="46">G257</f>
        <v>500000</v>
      </c>
      <c r="H256" s="215">
        <f t="shared" si="46"/>
        <v>0</v>
      </c>
      <c r="I256" s="215">
        <f t="shared" si="46"/>
        <v>521657.94</v>
      </c>
      <c r="J256" s="237">
        <f t="shared" si="46"/>
        <v>521658</v>
      </c>
      <c r="K256" s="330">
        <f t="shared" si="46"/>
        <v>151444.28</v>
      </c>
      <c r="L256" s="367">
        <f t="shared" si="34"/>
        <v>-370213.72</v>
      </c>
      <c r="M256" s="314">
        <f t="shared" si="35"/>
        <v>104.33159999999999</v>
      </c>
      <c r="N256" s="314">
        <f t="shared" si="36"/>
        <v>30.288855999999996</v>
      </c>
    </row>
    <row r="257" spans="1:14" ht="34" outlineLevel="1" x14ac:dyDescent="0.3">
      <c r="A257" s="213" t="s">
        <v>15</v>
      </c>
      <c r="B257" s="214" t="s">
        <v>455</v>
      </c>
      <c r="C257" s="214" t="s">
        <v>59</v>
      </c>
      <c r="D257" s="293" t="s">
        <v>369</v>
      </c>
      <c r="E257" s="293" t="s">
        <v>16</v>
      </c>
      <c r="F257" s="293"/>
      <c r="G257" s="237">
        <f t="shared" si="46"/>
        <v>500000</v>
      </c>
      <c r="H257" s="215">
        <v>0</v>
      </c>
      <c r="I257" s="215">
        <f t="shared" si="46"/>
        <v>521657.94</v>
      </c>
      <c r="J257" s="237">
        <f t="shared" si="46"/>
        <v>521658</v>
      </c>
      <c r="K257" s="330">
        <f t="shared" si="46"/>
        <v>151444.28</v>
      </c>
      <c r="L257" s="367">
        <f t="shared" si="34"/>
        <v>-370213.72</v>
      </c>
      <c r="M257" s="314">
        <f t="shared" si="35"/>
        <v>104.33159999999999</v>
      </c>
      <c r="N257" s="314">
        <f t="shared" si="36"/>
        <v>30.288855999999996</v>
      </c>
    </row>
    <row r="258" spans="1:14" ht="49.75" customHeight="1" outlineLevel="1" x14ac:dyDescent="0.3">
      <c r="A258" s="213" t="s">
        <v>17</v>
      </c>
      <c r="B258" s="214" t="s">
        <v>455</v>
      </c>
      <c r="C258" s="214" t="s">
        <v>59</v>
      </c>
      <c r="D258" s="293" t="s">
        <v>369</v>
      </c>
      <c r="E258" s="293" t="s">
        <v>18</v>
      </c>
      <c r="F258" s="293"/>
      <c r="G258" s="237">
        <v>500000</v>
      </c>
      <c r="H258" s="215">
        <v>0</v>
      </c>
      <c r="I258" s="215">
        <f>'[2]прил 12'!F253</f>
        <v>521657.94</v>
      </c>
      <c r="J258" s="238">
        <v>521658</v>
      </c>
      <c r="K258" s="331">
        <f>521658-521658+200000-48355.72-200</f>
        <v>151444.28</v>
      </c>
      <c r="L258" s="367">
        <f t="shared" si="34"/>
        <v>-370213.72</v>
      </c>
      <c r="M258" s="314">
        <f t="shared" si="35"/>
        <v>104.33159999999999</v>
      </c>
      <c r="N258" s="314">
        <f t="shared" si="36"/>
        <v>30.288855999999996</v>
      </c>
    </row>
    <row r="259" spans="1:14" ht="56.25" customHeight="1" outlineLevel="1" x14ac:dyDescent="0.3">
      <c r="A259" s="213" t="s">
        <v>257</v>
      </c>
      <c r="B259" s="214" t="s">
        <v>455</v>
      </c>
      <c r="C259" s="214" t="s">
        <v>59</v>
      </c>
      <c r="D259" s="293" t="s">
        <v>370</v>
      </c>
      <c r="E259" s="293" t="s">
        <v>6</v>
      </c>
      <c r="F259" s="293"/>
      <c r="G259" s="237">
        <f t="shared" ref="G259:K260" si="47">G260</f>
        <v>200000</v>
      </c>
      <c r="H259" s="215">
        <f t="shared" si="47"/>
        <v>0</v>
      </c>
      <c r="I259" s="215">
        <f t="shared" si="47"/>
        <v>200000</v>
      </c>
      <c r="J259" s="237">
        <f t="shared" si="47"/>
        <v>200000</v>
      </c>
      <c r="K259" s="330">
        <f t="shared" si="47"/>
        <v>200000</v>
      </c>
      <c r="L259" s="367">
        <f t="shared" si="34"/>
        <v>0</v>
      </c>
      <c r="M259" s="314">
        <f t="shared" si="35"/>
        <v>100</v>
      </c>
      <c r="N259" s="314">
        <f t="shared" si="36"/>
        <v>100</v>
      </c>
    </row>
    <row r="260" spans="1:14" ht="37.549999999999997" customHeight="1" outlineLevel="1" x14ac:dyDescent="0.3">
      <c r="A260" s="213" t="s">
        <v>15</v>
      </c>
      <c r="B260" s="214" t="s">
        <v>455</v>
      </c>
      <c r="C260" s="214" t="s">
        <v>59</v>
      </c>
      <c r="D260" s="293" t="s">
        <v>370</v>
      </c>
      <c r="E260" s="293" t="s">
        <v>16</v>
      </c>
      <c r="F260" s="293"/>
      <c r="G260" s="237">
        <f t="shared" si="47"/>
        <v>200000</v>
      </c>
      <c r="H260" s="215">
        <v>0</v>
      </c>
      <c r="I260" s="215">
        <f t="shared" si="47"/>
        <v>200000</v>
      </c>
      <c r="J260" s="237">
        <f t="shared" si="47"/>
        <v>200000</v>
      </c>
      <c r="K260" s="330">
        <f t="shared" si="47"/>
        <v>200000</v>
      </c>
      <c r="L260" s="367">
        <f t="shared" si="34"/>
        <v>0</v>
      </c>
      <c r="M260" s="314">
        <f t="shared" si="35"/>
        <v>100</v>
      </c>
      <c r="N260" s="314">
        <f t="shared" si="36"/>
        <v>100</v>
      </c>
    </row>
    <row r="261" spans="1:14" ht="37.549999999999997" customHeight="1" outlineLevel="1" x14ac:dyDescent="0.3">
      <c r="A261" s="213" t="s">
        <v>17</v>
      </c>
      <c r="B261" s="214" t="s">
        <v>455</v>
      </c>
      <c r="C261" s="214" t="s">
        <v>59</v>
      </c>
      <c r="D261" s="293" t="s">
        <v>370</v>
      </c>
      <c r="E261" s="293" t="s">
        <v>18</v>
      </c>
      <c r="F261" s="293"/>
      <c r="G261" s="237">
        <v>200000</v>
      </c>
      <c r="H261" s="215">
        <v>0</v>
      </c>
      <c r="I261" s="215">
        <f>'[2]прил 12'!F256</f>
        <v>200000</v>
      </c>
      <c r="J261" s="238">
        <v>200000</v>
      </c>
      <c r="K261" s="331">
        <f>200000</f>
        <v>200000</v>
      </c>
      <c r="L261" s="367">
        <f t="shared" si="34"/>
        <v>0</v>
      </c>
      <c r="M261" s="314">
        <f t="shared" si="35"/>
        <v>100</v>
      </c>
      <c r="N261" s="314">
        <f t="shared" si="36"/>
        <v>100</v>
      </c>
    </row>
    <row r="262" spans="1:14" ht="55.7" customHeight="1" outlineLevel="1" x14ac:dyDescent="0.3">
      <c r="A262" s="213" t="s">
        <v>640</v>
      </c>
      <c r="B262" s="214" t="s">
        <v>455</v>
      </c>
      <c r="C262" s="214" t="s">
        <v>59</v>
      </c>
      <c r="D262" s="293" t="s">
        <v>639</v>
      </c>
      <c r="E262" s="293" t="s">
        <v>6</v>
      </c>
      <c r="F262" s="294">
        <v>5938219.1900000004</v>
      </c>
      <c r="G262" s="237">
        <f>G263</f>
        <v>0</v>
      </c>
      <c r="H262" s="215">
        <f>H263</f>
        <v>0</v>
      </c>
      <c r="I262" s="215">
        <v>0</v>
      </c>
      <c r="J262" s="238"/>
      <c r="K262" s="331"/>
      <c r="L262" s="313">
        <f t="shared" si="34"/>
        <v>0</v>
      </c>
      <c r="M262" s="314"/>
      <c r="N262" s="314"/>
    </row>
    <row r="263" spans="1:14" ht="37.549999999999997" customHeight="1" outlineLevel="1" x14ac:dyDescent="0.3">
      <c r="A263" s="213" t="s">
        <v>15</v>
      </c>
      <c r="B263" s="214" t="s">
        <v>455</v>
      </c>
      <c r="C263" s="214" t="s">
        <v>59</v>
      </c>
      <c r="D263" s="293" t="s">
        <v>639</v>
      </c>
      <c r="E263" s="293" t="s">
        <v>16</v>
      </c>
      <c r="F263" s="294">
        <v>5938219.1900000004</v>
      </c>
      <c r="G263" s="237">
        <f>G264</f>
        <v>0</v>
      </c>
      <c r="H263" s="215">
        <f>H264</f>
        <v>0</v>
      </c>
      <c r="I263" s="215">
        <v>0</v>
      </c>
      <c r="J263" s="238"/>
      <c r="K263" s="331"/>
      <c r="L263" s="313">
        <f t="shared" si="34"/>
        <v>0</v>
      </c>
      <c r="M263" s="314"/>
      <c r="N263" s="314"/>
    </row>
    <row r="264" spans="1:14" ht="37.549999999999997" customHeight="1" outlineLevel="1" x14ac:dyDescent="0.3">
      <c r="A264" s="213" t="s">
        <v>17</v>
      </c>
      <c r="B264" s="214" t="s">
        <v>455</v>
      </c>
      <c r="C264" s="214" t="s">
        <v>59</v>
      </c>
      <c r="D264" s="293" t="s">
        <v>639</v>
      </c>
      <c r="E264" s="293" t="s">
        <v>18</v>
      </c>
      <c r="F264" s="294">
        <v>5938219.1900000004</v>
      </c>
      <c r="G264" s="237"/>
      <c r="H264" s="215"/>
      <c r="I264" s="215">
        <v>0</v>
      </c>
      <c r="J264" s="238"/>
      <c r="K264" s="331"/>
      <c r="L264" s="313">
        <f t="shared" ref="L264:L327" si="48">K264-J264</f>
        <v>0</v>
      </c>
      <c r="M264" s="314"/>
      <c r="N264" s="314"/>
    </row>
    <row r="265" spans="1:14" ht="34" outlineLevel="1" x14ac:dyDescent="0.3">
      <c r="A265" s="213" t="s">
        <v>616</v>
      </c>
      <c r="B265" s="214" t="s">
        <v>455</v>
      </c>
      <c r="C265" s="214" t="s">
        <v>59</v>
      </c>
      <c r="D265" s="293" t="s">
        <v>615</v>
      </c>
      <c r="E265" s="293" t="s">
        <v>6</v>
      </c>
      <c r="F265" s="294">
        <v>59982.01</v>
      </c>
      <c r="G265" s="237">
        <f>G266</f>
        <v>0</v>
      </c>
      <c r="H265" s="215">
        <f>H266</f>
        <v>0</v>
      </c>
      <c r="I265" s="215">
        <v>0</v>
      </c>
      <c r="J265" s="238"/>
      <c r="K265" s="331"/>
      <c r="L265" s="313">
        <f t="shared" si="48"/>
        <v>0</v>
      </c>
      <c r="M265" s="314"/>
      <c r="N265" s="314"/>
    </row>
    <row r="266" spans="1:14" ht="34" outlineLevel="1" x14ac:dyDescent="0.3">
      <c r="A266" s="213" t="s">
        <v>15</v>
      </c>
      <c r="B266" s="214" t="s">
        <v>455</v>
      </c>
      <c r="C266" s="214" t="s">
        <v>59</v>
      </c>
      <c r="D266" s="293" t="s">
        <v>615</v>
      </c>
      <c r="E266" s="293" t="s">
        <v>16</v>
      </c>
      <c r="F266" s="294">
        <v>59982.01</v>
      </c>
      <c r="G266" s="237">
        <f>G267</f>
        <v>0</v>
      </c>
      <c r="H266" s="215">
        <f>H267</f>
        <v>0</v>
      </c>
      <c r="I266" s="215">
        <v>0</v>
      </c>
      <c r="J266" s="238"/>
      <c r="K266" s="331"/>
      <c r="L266" s="313">
        <f t="shared" si="48"/>
        <v>0</v>
      </c>
      <c r="M266" s="314"/>
      <c r="N266" s="314"/>
    </row>
    <row r="267" spans="1:14" ht="34" outlineLevel="1" x14ac:dyDescent="0.3">
      <c r="A267" s="213" t="s">
        <v>17</v>
      </c>
      <c r="B267" s="214" t="s">
        <v>455</v>
      </c>
      <c r="C267" s="214" t="s">
        <v>59</v>
      </c>
      <c r="D267" s="293" t="s">
        <v>615</v>
      </c>
      <c r="E267" s="293" t="s">
        <v>18</v>
      </c>
      <c r="F267" s="294">
        <v>59982.01</v>
      </c>
      <c r="G267" s="237">
        <v>0</v>
      </c>
      <c r="H267" s="215">
        <v>0</v>
      </c>
      <c r="I267" s="215">
        <v>0</v>
      </c>
      <c r="J267" s="238"/>
      <c r="K267" s="331"/>
      <c r="L267" s="313">
        <f t="shared" si="48"/>
        <v>0</v>
      </c>
      <c r="M267" s="314"/>
      <c r="N267" s="314"/>
    </row>
    <row r="268" spans="1:14" ht="27.7" customHeight="1" outlineLevel="1" x14ac:dyDescent="0.3">
      <c r="A268" s="225" t="s">
        <v>413</v>
      </c>
      <c r="B268" s="214" t="s">
        <v>455</v>
      </c>
      <c r="C268" s="214" t="s">
        <v>59</v>
      </c>
      <c r="D268" s="293" t="s">
        <v>632</v>
      </c>
      <c r="E268" s="293" t="s">
        <v>6</v>
      </c>
      <c r="F268" s="296">
        <v>117960285.20999999</v>
      </c>
      <c r="G268" s="237">
        <f>G269</f>
        <v>21338979.699999999</v>
      </c>
      <c r="H268" s="215">
        <f>H269</f>
        <v>21338979.699999999</v>
      </c>
      <c r="I268" s="215">
        <v>0</v>
      </c>
      <c r="J268" s="237">
        <f t="shared" ref="J268:K270" si="49">J269</f>
        <v>0</v>
      </c>
      <c r="K268" s="330">
        <f t="shared" si="49"/>
        <v>0</v>
      </c>
      <c r="L268" s="313">
        <f t="shared" si="48"/>
        <v>0</v>
      </c>
      <c r="M268" s="314">
        <f t="shared" ref="M268:M331" si="50">J268/G268%</f>
        <v>0</v>
      </c>
      <c r="N268" s="314">
        <f t="shared" ref="N268:N331" si="51">K268/G268*100</f>
        <v>0</v>
      </c>
    </row>
    <row r="269" spans="1:14" ht="41.95" customHeight="1" outlineLevel="1" x14ac:dyDescent="0.3">
      <c r="A269" s="213" t="s">
        <v>417</v>
      </c>
      <c r="B269" s="214" t="s">
        <v>455</v>
      </c>
      <c r="C269" s="214" t="s">
        <v>59</v>
      </c>
      <c r="D269" s="293" t="s">
        <v>633</v>
      </c>
      <c r="E269" s="293" t="s">
        <v>6</v>
      </c>
      <c r="F269" s="294">
        <v>117960285.20999999</v>
      </c>
      <c r="G269" s="237">
        <f>G270</f>
        <v>21338979.699999999</v>
      </c>
      <c r="H269" s="215">
        <f>H270</f>
        <v>21338979.699999999</v>
      </c>
      <c r="I269" s="215">
        <v>0</v>
      </c>
      <c r="J269" s="237">
        <f t="shared" si="49"/>
        <v>0</v>
      </c>
      <c r="K269" s="330">
        <f t="shared" si="49"/>
        <v>0</v>
      </c>
      <c r="L269" s="313">
        <f t="shared" si="48"/>
        <v>0</v>
      </c>
      <c r="M269" s="314">
        <f t="shared" si="50"/>
        <v>0</v>
      </c>
      <c r="N269" s="314">
        <f t="shared" si="51"/>
        <v>0</v>
      </c>
    </row>
    <row r="270" spans="1:14" ht="40.75" customHeight="1" outlineLevel="1" x14ac:dyDescent="0.3">
      <c r="A270" s="213" t="s">
        <v>258</v>
      </c>
      <c r="B270" s="214" t="s">
        <v>455</v>
      </c>
      <c r="C270" s="214" t="s">
        <v>59</v>
      </c>
      <c r="D270" s="293" t="s">
        <v>633</v>
      </c>
      <c r="E270" s="293" t="s">
        <v>259</v>
      </c>
      <c r="F270" s="294">
        <v>117960285.20999999</v>
      </c>
      <c r="G270" s="237">
        <f>G271</f>
        <v>21338979.699999999</v>
      </c>
      <c r="H270" s="169">
        <v>21338979.699999999</v>
      </c>
      <c r="I270" s="215">
        <v>0</v>
      </c>
      <c r="J270" s="237">
        <f t="shared" si="49"/>
        <v>0</v>
      </c>
      <c r="K270" s="330">
        <f t="shared" si="49"/>
        <v>0</v>
      </c>
      <c r="L270" s="313">
        <f t="shared" si="48"/>
        <v>0</v>
      </c>
      <c r="M270" s="314">
        <f t="shared" si="50"/>
        <v>0</v>
      </c>
      <c r="N270" s="314">
        <f t="shared" si="51"/>
        <v>0</v>
      </c>
    </row>
    <row r="271" spans="1:14" ht="23.95" customHeight="1" outlineLevel="1" x14ac:dyDescent="0.3">
      <c r="A271" s="213" t="s">
        <v>260</v>
      </c>
      <c r="B271" s="214" t="s">
        <v>455</v>
      </c>
      <c r="C271" s="214" t="s">
        <v>59</v>
      </c>
      <c r="D271" s="293" t="s">
        <v>633</v>
      </c>
      <c r="E271" s="293" t="s">
        <v>261</v>
      </c>
      <c r="F271" s="294">
        <v>117960285.20999999</v>
      </c>
      <c r="G271" s="237">
        <v>21338979.699999999</v>
      </c>
      <c r="H271" s="169">
        <v>21338979.699999999</v>
      </c>
      <c r="I271" s="215">
        <v>0</v>
      </c>
      <c r="J271" s="238"/>
      <c r="K271" s="331"/>
      <c r="L271" s="313">
        <f t="shared" si="48"/>
        <v>0</v>
      </c>
      <c r="M271" s="314">
        <f t="shared" si="50"/>
        <v>0</v>
      </c>
      <c r="N271" s="314">
        <f t="shared" si="51"/>
        <v>0</v>
      </c>
    </row>
    <row r="272" spans="1:14" ht="27.7" customHeight="1" outlineLevel="1" x14ac:dyDescent="0.3">
      <c r="A272" s="213" t="s">
        <v>61</v>
      </c>
      <c r="B272" s="214" t="s">
        <v>455</v>
      </c>
      <c r="C272" s="214" t="s">
        <v>62</v>
      </c>
      <c r="D272" s="293" t="s">
        <v>126</v>
      </c>
      <c r="E272" s="293" t="s">
        <v>6</v>
      </c>
      <c r="F272" s="294">
        <v>25901503.52</v>
      </c>
      <c r="G272" s="237">
        <f>G273+G287+G304</f>
        <v>54265733.170000002</v>
      </c>
      <c r="H272" s="215">
        <f>H273+H287+H304</f>
        <v>27271577.329999998</v>
      </c>
      <c r="I272" s="215">
        <f>I273+I287+I304</f>
        <v>30574076.27</v>
      </c>
      <c r="J272" s="237">
        <f>J273+J287+J304</f>
        <v>23657791.84</v>
      </c>
      <c r="K272" s="330">
        <f>K273+K287+K304</f>
        <v>23217664.710000001</v>
      </c>
      <c r="L272" s="313">
        <f t="shared" si="48"/>
        <v>-440127.12999999896</v>
      </c>
      <c r="M272" s="314">
        <f t="shared" si="50"/>
        <v>43.596189451428728</v>
      </c>
      <c r="N272" s="314">
        <f t="shared" si="51"/>
        <v>42.785130419716765</v>
      </c>
    </row>
    <row r="273" spans="1:14" ht="50.95" outlineLevel="1" x14ac:dyDescent="0.3">
      <c r="A273" s="219" t="s">
        <v>739</v>
      </c>
      <c r="B273" s="214" t="s">
        <v>455</v>
      </c>
      <c r="C273" s="220" t="s">
        <v>62</v>
      </c>
      <c r="D273" s="295" t="s">
        <v>134</v>
      </c>
      <c r="E273" s="295" t="s">
        <v>6</v>
      </c>
      <c r="F273" s="296">
        <v>299455.2</v>
      </c>
      <c r="G273" s="237">
        <f>G274</f>
        <v>2992316</v>
      </c>
      <c r="H273" s="215">
        <f>H274</f>
        <v>2292013.5</v>
      </c>
      <c r="I273" s="215">
        <f>I274</f>
        <v>1661631</v>
      </c>
      <c r="J273" s="237">
        <f>J274</f>
        <v>1068036.28</v>
      </c>
      <c r="K273" s="330">
        <f>K274</f>
        <v>1438250</v>
      </c>
      <c r="L273" s="313">
        <f t="shared" si="48"/>
        <v>370213.72</v>
      </c>
      <c r="M273" s="314">
        <f t="shared" si="50"/>
        <v>35.692630056451257</v>
      </c>
      <c r="N273" s="314">
        <f t="shared" si="51"/>
        <v>48.064776581083009</v>
      </c>
    </row>
    <row r="274" spans="1:14" ht="23.3" customHeight="1" outlineLevel="1" x14ac:dyDescent="0.3">
      <c r="A274" s="213" t="s">
        <v>339</v>
      </c>
      <c r="B274" s="214" t="s">
        <v>455</v>
      </c>
      <c r="C274" s="214" t="s">
        <v>62</v>
      </c>
      <c r="D274" s="293" t="s">
        <v>229</v>
      </c>
      <c r="E274" s="293" t="s">
        <v>6</v>
      </c>
      <c r="F274" s="294">
        <v>299455.2</v>
      </c>
      <c r="G274" s="237">
        <f>G275+G281+G278+G284</f>
        <v>2992316</v>
      </c>
      <c r="H274" s="215">
        <f>H275+H281+H278+H284</f>
        <v>2292013.5</v>
      </c>
      <c r="I274" s="215">
        <f>I275+I281+I278+I284</f>
        <v>1661631</v>
      </c>
      <c r="J274" s="237">
        <f>J275+J281+J278+J284</f>
        <v>1068036.28</v>
      </c>
      <c r="K274" s="330">
        <f>K275+K281+K278+K284</f>
        <v>1438250</v>
      </c>
      <c r="L274" s="313">
        <f t="shared" si="48"/>
        <v>370213.72</v>
      </c>
      <c r="M274" s="314">
        <f t="shared" si="50"/>
        <v>35.692630056451257</v>
      </c>
      <c r="N274" s="314">
        <f t="shared" si="51"/>
        <v>48.064776581083009</v>
      </c>
    </row>
    <row r="275" spans="1:14" ht="27.7" customHeight="1" outlineLevel="1" x14ac:dyDescent="0.3">
      <c r="A275" s="213" t="s">
        <v>343</v>
      </c>
      <c r="B275" s="214" t="s">
        <v>455</v>
      </c>
      <c r="C275" s="214" t="s">
        <v>62</v>
      </c>
      <c r="D275" s="293" t="s">
        <v>418</v>
      </c>
      <c r="E275" s="293" t="s">
        <v>6</v>
      </c>
      <c r="F275" s="294">
        <v>0</v>
      </c>
      <c r="G275" s="237">
        <f t="shared" ref="G275:K276" si="52">G276</f>
        <v>2492316</v>
      </c>
      <c r="H275" s="215">
        <f t="shared" si="52"/>
        <v>2079400</v>
      </c>
      <c r="I275" s="215">
        <f t="shared" si="52"/>
        <v>400000</v>
      </c>
      <c r="J275" s="237">
        <f t="shared" si="52"/>
        <v>400000</v>
      </c>
      <c r="K275" s="368">
        <f t="shared" si="52"/>
        <v>0</v>
      </c>
      <c r="L275" s="313">
        <f t="shared" si="48"/>
        <v>-400000</v>
      </c>
      <c r="M275" s="314">
        <f t="shared" si="50"/>
        <v>16.049329218285322</v>
      </c>
      <c r="N275" s="314">
        <f t="shared" si="51"/>
        <v>0</v>
      </c>
    </row>
    <row r="276" spans="1:14" s="224" customFormat="1" ht="34" outlineLevel="1" x14ac:dyDescent="0.3">
      <c r="A276" s="189" t="s">
        <v>15</v>
      </c>
      <c r="B276" s="214" t="s">
        <v>455</v>
      </c>
      <c r="C276" s="214" t="s">
        <v>62</v>
      </c>
      <c r="D276" s="293" t="s">
        <v>418</v>
      </c>
      <c r="E276" s="293" t="s">
        <v>16</v>
      </c>
      <c r="F276" s="294">
        <v>0</v>
      </c>
      <c r="G276" s="237">
        <f t="shared" si="52"/>
        <v>2492316</v>
      </c>
      <c r="H276" s="171">
        <v>2079400</v>
      </c>
      <c r="I276" s="215">
        <f t="shared" si="52"/>
        <v>400000</v>
      </c>
      <c r="J276" s="237">
        <f t="shared" si="52"/>
        <v>400000</v>
      </c>
      <c r="K276" s="368">
        <f t="shared" si="52"/>
        <v>0</v>
      </c>
      <c r="L276" s="313">
        <f t="shared" si="48"/>
        <v>-400000</v>
      </c>
      <c r="M276" s="314">
        <f t="shared" si="50"/>
        <v>16.049329218285322</v>
      </c>
      <c r="N276" s="314">
        <f t="shared" si="51"/>
        <v>0</v>
      </c>
    </row>
    <row r="277" spans="1:14" ht="34" outlineLevel="1" x14ac:dyDescent="0.3">
      <c r="A277" s="189" t="s">
        <v>17</v>
      </c>
      <c r="B277" s="214" t="s">
        <v>455</v>
      </c>
      <c r="C277" s="214" t="s">
        <v>62</v>
      </c>
      <c r="D277" s="293" t="s">
        <v>418</v>
      </c>
      <c r="E277" s="293" t="s">
        <v>18</v>
      </c>
      <c r="F277" s="294">
        <v>0</v>
      </c>
      <c r="G277" s="237">
        <f>200000+2292316</f>
        <v>2492316</v>
      </c>
      <c r="H277" s="171">
        <v>2079400</v>
      </c>
      <c r="I277" s="215">
        <f>'[2]прил 12'!F272</f>
        <v>400000</v>
      </c>
      <c r="J277" s="238">
        <v>400000</v>
      </c>
      <c r="K277" s="369">
        <v>0</v>
      </c>
      <c r="L277" s="313">
        <f t="shared" si="48"/>
        <v>-400000</v>
      </c>
      <c r="M277" s="314">
        <f t="shared" si="50"/>
        <v>16.049329218285322</v>
      </c>
      <c r="N277" s="314">
        <f t="shared" si="51"/>
        <v>0</v>
      </c>
    </row>
    <row r="278" spans="1:14" ht="49.75" customHeight="1" outlineLevel="1" x14ac:dyDescent="0.3">
      <c r="A278" s="189" t="s">
        <v>684</v>
      </c>
      <c r="B278" s="214" t="s">
        <v>455</v>
      </c>
      <c r="C278" s="214" t="s">
        <v>62</v>
      </c>
      <c r="D278" s="293" t="s">
        <v>814</v>
      </c>
      <c r="E278" s="293" t="s">
        <v>6</v>
      </c>
      <c r="F278" s="293" t="s">
        <v>838</v>
      </c>
      <c r="G278" s="237">
        <f t="shared" ref="G278:I279" si="53">G279</f>
        <v>0</v>
      </c>
      <c r="H278" s="215">
        <f t="shared" si="53"/>
        <v>0</v>
      </c>
      <c r="I278" s="215">
        <f t="shared" si="53"/>
        <v>761631</v>
      </c>
      <c r="J278" s="238">
        <f>J279</f>
        <v>168036.28000000003</v>
      </c>
      <c r="K278" s="331">
        <f>K279</f>
        <v>938250</v>
      </c>
      <c r="L278" s="367">
        <f t="shared" si="48"/>
        <v>770213.72</v>
      </c>
      <c r="M278" s="314"/>
      <c r="N278" s="314"/>
    </row>
    <row r="279" spans="1:14" ht="34" outlineLevel="1" x14ac:dyDescent="0.3">
      <c r="A279" s="189" t="s">
        <v>15</v>
      </c>
      <c r="B279" s="214" t="s">
        <v>455</v>
      </c>
      <c r="C279" s="214" t="s">
        <v>62</v>
      </c>
      <c r="D279" s="293" t="s">
        <v>814</v>
      </c>
      <c r="E279" s="293" t="s">
        <v>16</v>
      </c>
      <c r="F279" s="293" t="s">
        <v>838</v>
      </c>
      <c r="G279" s="237">
        <f t="shared" si="53"/>
        <v>0</v>
      </c>
      <c r="H279" s="215">
        <f t="shared" si="53"/>
        <v>0</v>
      </c>
      <c r="I279" s="215">
        <f t="shared" si="53"/>
        <v>761631</v>
      </c>
      <c r="J279" s="238">
        <f>J280</f>
        <v>168036.28000000003</v>
      </c>
      <c r="K279" s="331">
        <f>K280</f>
        <v>938250</v>
      </c>
      <c r="L279" s="367">
        <f t="shared" si="48"/>
        <v>770213.72</v>
      </c>
      <c r="M279" s="314"/>
      <c r="N279" s="314"/>
    </row>
    <row r="280" spans="1:14" ht="18.7" customHeight="1" outlineLevel="1" x14ac:dyDescent="0.3">
      <c r="A280" s="189" t="s">
        <v>17</v>
      </c>
      <c r="B280" s="214" t="s">
        <v>455</v>
      </c>
      <c r="C280" s="214" t="s">
        <v>62</v>
      </c>
      <c r="D280" s="293" t="s">
        <v>814</v>
      </c>
      <c r="E280" s="293" t="s">
        <v>18</v>
      </c>
      <c r="F280" s="293" t="s">
        <v>838</v>
      </c>
      <c r="G280" s="237">
        <v>0</v>
      </c>
      <c r="H280" s="215">
        <v>0</v>
      </c>
      <c r="I280" s="215">
        <f>'[2]прил 12'!F278</f>
        <v>761631</v>
      </c>
      <c r="J280" s="238">
        <f>791631-23594.72-600000</f>
        <v>168036.28000000003</v>
      </c>
      <c r="K280" s="331">
        <f>791631-23594.72-600000+770013.72+200</f>
        <v>938250</v>
      </c>
      <c r="L280" s="367">
        <f t="shared" si="48"/>
        <v>770213.72</v>
      </c>
      <c r="M280" s="314"/>
      <c r="N280" s="314"/>
    </row>
    <row r="281" spans="1:14" ht="34" outlineLevel="1" x14ac:dyDescent="0.3">
      <c r="A281" s="213" t="s">
        <v>63</v>
      </c>
      <c r="B281" s="214" t="s">
        <v>455</v>
      </c>
      <c r="C281" s="214" t="s">
        <v>62</v>
      </c>
      <c r="D281" s="293" t="s">
        <v>340</v>
      </c>
      <c r="E281" s="293" t="s">
        <v>6</v>
      </c>
      <c r="F281" s="294">
        <v>299455.2</v>
      </c>
      <c r="G281" s="237">
        <f>G282</f>
        <v>500000</v>
      </c>
      <c r="H281" s="215">
        <f>H282</f>
        <v>212613.5</v>
      </c>
      <c r="I281" s="215">
        <f>I282</f>
        <v>500000</v>
      </c>
      <c r="J281" s="238">
        <f>J282</f>
        <v>500000</v>
      </c>
      <c r="K281" s="331">
        <f>K282</f>
        <v>500000</v>
      </c>
      <c r="L281" s="313">
        <f t="shared" si="48"/>
        <v>0</v>
      </c>
      <c r="M281" s="314">
        <f t="shared" si="50"/>
        <v>100</v>
      </c>
      <c r="N281" s="314">
        <f t="shared" si="51"/>
        <v>100</v>
      </c>
    </row>
    <row r="282" spans="1:14" ht="34" outlineLevel="1" x14ac:dyDescent="0.3">
      <c r="A282" s="213" t="s">
        <v>15</v>
      </c>
      <c r="B282" s="214" t="s">
        <v>455</v>
      </c>
      <c r="C282" s="214" t="s">
        <v>62</v>
      </c>
      <c r="D282" s="293" t="s">
        <v>340</v>
      </c>
      <c r="E282" s="293" t="s">
        <v>16</v>
      </c>
      <c r="F282" s="294">
        <v>299455.2</v>
      </c>
      <c r="G282" s="237">
        <f>G283</f>
        <v>500000</v>
      </c>
      <c r="H282" s="169">
        <v>212613.5</v>
      </c>
      <c r="I282" s="215">
        <f>I283</f>
        <v>500000</v>
      </c>
      <c r="J282" s="238">
        <f>J283</f>
        <v>500000</v>
      </c>
      <c r="K282" s="331">
        <f>K283</f>
        <v>500000</v>
      </c>
      <c r="L282" s="313">
        <f t="shared" si="48"/>
        <v>0</v>
      </c>
      <c r="M282" s="314">
        <f t="shared" si="50"/>
        <v>100</v>
      </c>
      <c r="N282" s="314">
        <f t="shared" si="51"/>
        <v>100</v>
      </c>
    </row>
    <row r="283" spans="1:14" ht="22.75" customHeight="1" outlineLevel="1" x14ac:dyDescent="0.3">
      <c r="A283" s="213" t="s">
        <v>17</v>
      </c>
      <c r="B283" s="214" t="s">
        <v>455</v>
      </c>
      <c r="C283" s="214" t="s">
        <v>62</v>
      </c>
      <c r="D283" s="293" t="s">
        <v>340</v>
      </c>
      <c r="E283" s="293" t="s">
        <v>18</v>
      </c>
      <c r="F283" s="294">
        <v>299455.2</v>
      </c>
      <c r="G283" s="238">
        <v>500000</v>
      </c>
      <c r="H283" s="169">
        <v>212613.5</v>
      </c>
      <c r="I283" s="217">
        <f>'[2]прил 12'!F281</f>
        <v>500000</v>
      </c>
      <c r="J283" s="238">
        <v>500000</v>
      </c>
      <c r="K283" s="331">
        <v>500000</v>
      </c>
      <c r="L283" s="313">
        <f t="shared" si="48"/>
        <v>0</v>
      </c>
      <c r="M283" s="314">
        <f t="shared" si="50"/>
        <v>100</v>
      </c>
      <c r="N283" s="314">
        <f t="shared" si="51"/>
        <v>100</v>
      </c>
    </row>
    <row r="284" spans="1:14" ht="40.1" customHeight="1" outlineLevel="1" x14ac:dyDescent="0.3">
      <c r="A284" s="213" t="s">
        <v>815</v>
      </c>
      <c r="B284" s="214" t="s">
        <v>455</v>
      </c>
      <c r="C284" s="214" t="s">
        <v>62</v>
      </c>
      <c r="D284" s="293" t="s">
        <v>816</v>
      </c>
      <c r="E284" s="293" t="s">
        <v>6</v>
      </c>
      <c r="F284" s="293" t="s">
        <v>838</v>
      </c>
      <c r="G284" s="238">
        <f>G285</f>
        <v>0</v>
      </c>
      <c r="H284" s="217">
        <f>H285</f>
        <v>0</v>
      </c>
      <c r="I284" s="217">
        <v>0</v>
      </c>
      <c r="J284" s="238"/>
      <c r="K284" s="331"/>
      <c r="L284" s="313">
        <f t="shared" si="48"/>
        <v>0</v>
      </c>
      <c r="M284" s="314"/>
      <c r="N284" s="314"/>
    </row>
    <row r="285" spans="1:14" ht="22.75" customHeight="1" outlineLevel="1" x14ac:dyDescent="0.3">
      <c r="A285" s="213" t="s">
        <v>15</v>
      </c>
      <c r="B285" s="214" t="s">
        <v>455</v>
      </c>
      <c r="C285" s="214" t="s">
        <v>62</v>
      </c>
      <c r="D285" s="293" t="s">
        <v>816</v>
      </c>
      <c r="E285" s="293" t="s">
        <v>16</v>
      </c>
      <c r="F285" s="293" t="s">
        <v>838</v>
      </c>
      <c r="G285" s="238">
        <f>G286</f>
        <v>0</v>
      </c>
      <c r="H285" s="217">
        <f>H286</f>
        <v>0</v>
      </c>
      <c r="I285" s="217">
        <v>0</v>
      </c>
      <c r="J285" s="238"/>
      <c r="K285" s="331"/>
      <c r="L285" s="313">
        <f t="shared" si="48"/>
        <v>0</v>
      </c>
      <c r="M285" s="314"/>
      <c r="N285" s="314"/>
    </row>
    <row r="286" spans="1:14" ht="22.75" customHeight="1" outlineLevel="1" x14ac:dyDescent="0.3">
      <c r="A286" s="213" t="s">
        <v>17</v>
      </c>
      <c r="B286" s="214" t="s">
        <v>455</v>
      </c>
      <c r="C286" s="214" t="s">
        <v>62</v>
      </c>
      <c r="D286" s="293" t="s">
        <v>816</v>
      </c>
      <c r="E286" s="293" t="s">
        <v>18</v>
      </c>
      <c r="F286" s="293" t="s">
        <v>838</v>
      </c>
      <c r="G286" s="238">
        <v>0</v>
      </c>
      <c r="H286" s="217">
        <v>0</v>
      </c>
      <c r="I286" s="217">
        <v>0</v>
      </c>
      <c r="J286" s="238"/>
      <c r="K286" s="331"/>
      <c r="L286" s="313">
        <f t="shared" si="48"/>
        <v>0</v>
      </c>
      <c r="M286" s="314"/>
      <c r="N286" s="314"/>
    </row>
    <row r="287" spans="1:14" s="224" customFormat="1" ht="50.95" outlineLevel="1" x14ac:dyDescent="0.3">
      <c r="A287" s="219" t="s">
        <v>463</v>
      </c>
      <c r="B287" s="220" t="s">
        <v>455</v>
      </c>
      <c r="C287" s="220" t="s">
        <v>62</v>
      </c>
      <c r="D287" s="295" t="s">
        <v>464</v>
      </c>
      <c r="E287" s="295" t="s">
        <v>6</v>
      </c>
      <c r="F287" s="296">
        <v>9726045.7400000002</v>
      </c>
      <c r="G287" s="237">
        <f>G288</f>
        <v>35927589.960000001</v>
      </c>
      <c r="H287" s="215">
        <f>H288</f>
        <v>12620574.139999997</v>
      </c>
      <c r="I287" s="215">
        <f>I288</f>
        <v>8938369</v>
      </c>
      <c r="J287" s="237">
        <f>J288</f>
        <v>9414506.0600000005</v>
      </c>
      <c r="K287" s="330">
        <f>K288</f>
        <v>9214506.0600000005</v>
      </c>
      <c r="L287" s="313">
        <f t="shared" si="48"/>
        <v>-200000</v>
      </c>
      <c r="M287" s="314">
        <f t="shared" si="50"/>
        <v>26.204112411886367</v>
      </c>
      <c r="N287" s="314">
        <f t="shared" si="51"/>
        <v>25.647437165306592</v>
      </c>
    </row>
    <row r="288" spans="1:14" ht="34" outlineLevel="1" x14ac:dyDescent="0.3">
      <c r="A288" s="213" t="s">
        <v>465</v>
      </c>
      <c r="B288" s="214" t="s">
        <v>455</v>
      </c>
      <c r="C288" s="214" t="s">
        <v>62</v>
      </c>
      <c r="D288" s="293" t="s">
        <v>466</v>
      </c>
      <c r="E288" s="293" t="s">
        <v>6</v>
      </c>
      <c r="F288" s="294">
        <v>9726045.7400000002</v>
      </c>
      <c r="G288" s="237">
        <f>G289+G292+G295+G301+G298</f>
        <v>35927589.960000001</v>
      </c>
      <c r="H288" s="215">
        <f>H289+H292+H295+H301+H298</f>
        <v>12620574.139999997</v>
      </c>
      <c r="I288" s="215">
        <f>I289+I292+I295+I301+I298</f>
        <v>8938369</v>
      </c>
      <c r="J288" s="237">
        <f>J289+J292+J295+J301+J298</f>
        <v>9414506.0600000005</v>
      </c>
      <c r="K288" s="330">
        <f>K289+K292+K295+K301+K298</f>
        <v>9214506.0600000005</v>
      </c>
      <c r="L288" s="313">
        <f t="shared" si="48"/>
        <v>-200000</v>
      </c>
      <c r="M288" s="314">
        <f t="shared" si="50"/>
        <v>26.204112411886367</v>
      </c>
      <c r="N288" s="314">
        <f t="shared" si="51"/>
        <v>25.647437165306592</v>
      </c>
    </row>
    <row r="289" spans="1:14" ht="56.25" customHeight="1" outlineLevel="1" x14ac:dyDescent="0.3">
      <c r="A289" s="213" t="s">
        <v>467</v>
      </c>
      <c r="B289" s="214" t="s">
        <v>455</v>
      </c>
      <c r="C289" s="214" t="s">
        <v>62</v>
      </c>
      <c r="D289" s="293" t="s">
        <v>468</v>
      </c>
      <c r="E289" s="293" t="s">
        <v>6</v>
      </c>
      <c r="F289" s="294">
        <v>1296863.18</v>
      </c>
      <c r="G289" s="237">
        <f t="shared" ref="G289:K290" si="54">G290</f>
        <v>2660000</v>
      </c>
      <c r="H289" s="215">
        <f t="shared" si="54"/>
        <v>1833684.4</v>
      </c>
      <c r="I289" s="215">
        <f t="shared" si="54"/>
        <v>2738369</v>
      </c>
      <c r="J289" s="237">
        <f t="shared" si="54"/>
        <v>2170900</v>
      </c>
      <c r="K289" s="330">
        <f t="shared" si="54"/>
        <v>2170900</v>
      </c>
      <c r="L289" s="313">
        <f t="shared" si="48"/>
        <v>0</v>
      </c>
      <c r="M289" s="314">
        <f t="shared" si="50"/>
        <v>81.612781954887211</v>
      </c>
      <c r="N289" s="314">
        <f t="shared" si="51"/>
        <v>81.612781954887211</v>
      </c>
    </row>
    <row r="290" spans="1:14" ht="34" outlineLevel="1" x14ac:dyDescent="0.3">
      <c r="A290" s="213" t="s">
        <v>15</v>
      </c>
      <c r="B290" s="214" t="s">
        <v>455</v>
      </c>
      <c r="C290" s="214" t="s">
        <v>62</v>
      </c>
      <c r="D290" s="293" t="s">
        <v>468</v>
      </c>
      <c r="E290" s="293" t="s">
        <v>16</v>
      </c>
      <c r="F290" s="294">
        <v>1296863.18</v>
      </c>
      <c r="G290" s="237">
        <f t="shared" si="54"/>
        <v>2660000</v>
      </c>
      <c r="H290" s="169">
        <v>1833684.4</v>
      </c>
      <c r="I290" s="215">
        <f t="shared" si="54"/>
        <v>2738369</v>
      </c>
      <c r="J290" s="237">
        <f t="shared" si="54"/>
        <v>2170900</v>
      </c>
      <c r="K290" s="330">
        <f t="shared" si="54"/>
        <v>2170900</v>
      </c>
      <c r="L290" s="313">
        <f t="shared" si="48"/>
        <v>0</v>
      </c>
      <c r="M290" s="314">
        <f t="shared" si="50"/>
        <v>81.612781954887211</v>
      </c>
      <c r="N290" s="314">
        <f t="shared" si="51"/>
        <v>81.612781954887211</v>
      </c>
    </row>
    <row r="291" spans="1:14" ht="34" outlineLevel="1" x14ac:dyDescent="0.3">
      <c r="A291" s="213" t="s">
        <v>17</v>
      </c>
      <c r="B291" s="214" t="s">
        <v>455</v>
      </c>
      <c r="C291" s="214" t="s">
        <v>62</v>
      </c>
      <c r="D291" s="293" t="s">
        <v>468</v>
      </c>
      <c r="E291" s="293" t="s">
        <v>18</v>
      </c>
      <c r="F291" s="294">
        <v>1296863.18</v>
      </c>
      <c r="G291" s="238">
        <f>[2]потребность!L287+160000+1000000</f>
        <v>2660000</v>
      </c>
      <c r="H291" s="169">
        <v>1833684.4</v>
      </c>
      <c r="I291" s="217">
        <f>'[2]прил 12'!F286</f>
        <v>2738369</v>
      </c>
      <c r="J291" s="238">
        <v>2170900</v>
      </c>
      <c r="K291" s="331">
        <v>2170900</v>
      </c>
      <c r="L291" s="313">
        <f t="shared" si="48"/>
        <v>0</v>
      </c>
      <c r="M291" s="314">
        <f t="shared" si="50"/>
        <v>81.612781954887211</v>
      </c>
      <c r="N291" s="314">
        <f t="shared" si="51"/>
        <v>81.612781954887211</v>
      </c>
    </row>
    <row r="292" spans="1:14" ht="38.25" customHeight="1" outlineLevel="1" x14ac:dyDescent="0.3">
      <c r="A292" s="213" t="s">
        <v>469</v>
      </c>
      <c r="B292" s="214" t="s">
        <v>455</v>
      </c>
      <c r="C292" s="214" t="s">
        <v>62</v>
      </c>
      <c r="D292" s="293" t="s">
        <v>470</v>
      </c>
      <c r="E292" s="293" t="s">
        <v>6</v>
      </c>
      <c r="F292" s="294">
        <v>3750776.94</v>
      </c>
      <c r="G292" s="237">
        <f t="shared" ref="G292:K293" si="55">G293</f>
        <v>5151000</v>
      </c>
      <c r="H292" s="215">
        <f t="shared" si="55"/>
        <v>4821119.8099999996</v>
      </c>
      <c r="I292" s="215">
        <f t="shared" si="55"/>
        <v>3700000</v>
      </c>
      <c r="J292" s="237">
        <f t="shared" si="55"/>
        <v>3348000</v>
      </c>
      <c r="K292" s="330">
        <f t="shared" si="55"/>
        <v>3348000</v>
      </c>
      <c r="L292" s="313">
        <f t="shared" si="48"/>
        <v>0</v>
      </c>
      <c r="M292" s="314">
        <f t="shared" si="50"/>
        <v>64.99708794408852</v>
      </c>
      <c r="N292" s="314">
        <f t="shared" si="51"/>
        <v>64.997087944088534</v>
      </c>
    </row>
    <row r="293" spans="1:14" ht="34" outlineLevel="1" x14ac:dyDescent="0.3">
      <c r="A293" s="213" t="s">
        <v>15</v>
      </c>
      <c r="B293" s="214" t="s">
        <v>455</v>
      </c>
      <c r="C293" s="214" t="s">
        <v>62</v>
      </c>
      <c r="D293" s="293" t="s">
        <v>470</v>
      </c>
      <c r="E293" s="293" t="s">
        <v>16</v>
      </c>
      <c r="F293" s="294">
        <v>3750776.94</v>
      </c>
      <c r="G293" s="237">
        <f t="shared" si="55"/>
        <v>5151000</v>
      </c>
      <c r="H293" s="169">
        <v>4821119.8099999996</v>
      </c>
      <c r="I293" s="215">
        <f t="shared" si="55"/>
        <v>3700000</v>
      </c>
      <c r="J293" s="237">
        <f t="shared" si="55"/>
        <v>3348000</v>
      </c>
      <c r="K293" s="330">
        <f t="shared" si="55"/>
        <v>3348000</v>
      </c>
      <c r="L293" s="313">
        <f t="shared" si="48"/>
        <v>0</v>
      </c>
      <c r="M293" s="314">
        <f t="shared" si="50"/>
        <v>64.99708794408852</v>
      </c>
      <c r="N293" s="314">
        <f t="shared" si="51"/>
        <v>64.997087944088534</v>
      </c>
    </row>
    <row r="294" spans="1:14" ht="34" outlineLevel="1" x14ac:dyDescent="0.3">
      <c r="A294" s="213" t="s">
        <v>17</v>
      </c>
      <c r="B294" s="214" t="s">
        <v>455</v>
      </c>
      <c r="C294" s="214" t="s">
        <v>62</v>
      </c>
      <c r="D294" s="293" t="s">
        <v>470</v>
      </c>
      <c r="E294" s="293" t="s">
        <v>18</v>
      </c>
      <c r="F294" s="294">
        <v>3750776.94</v>
      </c>
      <c r="G294" s="238">
        <f>3621000+1530000</f>
        <v>5151000</v>
      </c>
      <c r="H294" s="169">
        <v>4821119.8099999996</v>
      </c>
      <c r="I294" s="217">
        <f>'[2]прил 12'!F289</f>
        <v>3700000</v>
      </c>
      <c r="J294" s="238">
        <v>3348000</v>
      </c>
      <c r="K294" s="331">
        <f>3348000</f>
        <v>3348000</v>
      </c>
      <c r="L294" s="313">
        <f t="shared" si="48"/>
        <v>0</v>
      </c>
      <c r="M294" s="314">
        <f t="shared" si="50"/>
        <v>64.99708794408852</v>
      </c>
      <c r="N294" s="314">
        <f t="shared" si="51"/>
        <v>64.997087944088534</v>
      </c>
    </row>
    <row r="295" spans="1:14" ht="34" outlineLevel="1" x14ac:dyDescent="0.3">
      <c r="A295" s="213" t="s">
        <v>471</v>
      </c>
      <c r="B295" s="214" t="s">
        <v>455</v>
      </c>
      <c r="C295" s="214" t="s">
        <v>62</v>
      </c>
      <c r="D295" s="293" t="s">
        <v>472</v>
      </c>
      <c r="E295" s="293" t="s">
        <v>6</v>
      </c>
      <c r="F295" s="294">
        <v>4678405.62</v>
      </c>
      <c r="G295" s="237">
        <f t="shared" ref="G295:K296" si="56">G296</f>
        <v>23198692.199999999</v>
      </c>
      <c r="H295" s="215">
        <f t="shared" si="56"/>
        <v>1843383.7</v>
      </c>
      <c r="I295" s="215">
        <f t="shared" si="56"/>
        <v>2500000</v>
      </c>
      <c r="J295" s="237">
        <f t="shared" si="56"/>
        <v>3835000</v>
      </c>
      <c r="K295" s="330">
        <f t="shared" si="56"/>
        <v>3635000</v>
      </c>
      <c r="L295" s="313">
        <f t="shared" si="48"/>
        <v>-200000</v>
      </c>
      <c r="M295" s="314">
        <f t="shared" si="50"/>
        <v>16.53110428354233</v>
      </c>
      <c r="N295" s="314">
        <f t="shared" si="51"/>
        <v>15.66898671986346</v>
      </c>
    </row>
    <row r="296" spans="1:14" ht="34" outlineLevel="1" x14ac:dyDescent="0.3">
      <c r="A296" s="213" t="s">
        <v>15</v>
      </c>
      <c r="B296" s="214" t="s">
        <v>455</v>
      </c>
      <c r="C296" s="214" t="s">
        <v>62</v>
      </c>
      <c r="D296" s="293" t="s">
        <v>472</v>
      </c>
      <c r="E296" s="293" t="s">
        <v>16</v>
      </c>
      <c r="F296" s="294">
        <v>4678405.62</v>
      </c>
      <c r="G296" s="237">
        <f t="shared" si="56"/>
        <v>23198692.199999999</v>
      </c>
      <c r="H296" s="169">
        <v>1843383.7</v>
      </c>
      <c r="I296" s="215">
        <f t="shared" si="56"/>
        <v>2500000</v>
      </c>
      <c r="J296" s="237">
        <f t="shared" si="56"/>
        <v>3835000</v>
      </c>
      <c r="K296" s="330">
        <f t="shared" si="56"/>
        <v>3635000</v>
      </c>
      <c r="L296" s="313">
        <f t="shared" si="48"/>
        <v>-200000</v>
      </c>
      <c r="M296" s="314">
        <f t="shared" si="50"/>
        <v>16.53110428354233</v>
      </c>
      <c r="N296" s="314">
        <f t="shared" si="51"/>
        <v>15.66898671986346</v>
      </c>
    </row>
    <row r="297" spans="1:14" ht="34" outlineLevel="1" x14ac:dyDescent="0.3">
      <c r="A297" s="213" t="s">
        <v>17</v>
      </c>
      <c r="B297" s="214" t="s">
        <v>455</v>
      </c>
      <c r="C297" s="214" t="s">
        <v>62</v>
      </c>
      <c r="D297" s="293" t="s">
        <v>472</v>
      </c>
      <c r="E297" s="293" t="s">
        <v>18</v>
      </c>
      <c r="F297" s="294">
        <v>4678405.62</v>
      </c>
      <c r="G297" s="238">
        <f>[2]потребность!L293-3000000+22186435-1663742.8</f>
        <v>23198692.199999999</v>
      </c>
      <c r="H297" s="169">
        <v>1843383.7</v>
      </c>
      <c r="I297" s="217">
        <f>'[2]прил 12'!F292</f>
        <v>2500000</v>
      </c>
      <c r="J297" s="238">
        <v>3835000</v>
      </c>
      <c r="K297" s="331">
        <f>3835000-200000</f>
        <v>3635000</v>
      </c>
      <c r="L297" s="313">
        <f t="shared" si="48"/>
        <v>-200000</v>
      </c>
      <c r="M297" s="314">
        <f t="shared" si="50"/>
        <v>16.53110428354233</v>
      </c>
      <c r="N297" s="314">
        <f t="shared" si="51"/>
        <v>15.66898671986346</v>
      </c>
    </row>
    <row r="298" spans="1:14" ht="34" outlineLevel="1" x14ac:dyDescent="0.3">
      <c r="A298" s="213" t="s">
        <v>638</v>
      </c>
      <c r="B298" s="214" t="s">
        <v>455</v>
      </c>
      <c r="C298" s="214" t="s">
        <v>62</v>
      </c>
      <c r="D298" s="293" t="s">
        <v>788</v>
      </c>
      <c r="E298" s="293" t="s">
        <v>6</v>
      </c>
      <c r="F298" s="293"/>
      <c r="G298" s="238">
        <f>G299</f>
        <v>4868718.79</v>
      </c>
      <c r="H298" s="217">
        <f>H299</f>
        <v>4081162.36</v>
      </c>
      <c r="I298" s="217">
        <v>0</v>
      </c>
      <c r="J298" s="238">
        <v>0</v>
      </c>
      <c r="K298" s="331">
        <v>0</v>
      </c>
      <c r="L298" s="313">
        <f t="shared" si="48"/>
        <v>0</v>
      </c>
      <c r="M298" s="314">
        <f t="shared" si="50"/>
        <v>0</v>
      </c>
      <c r="N298" s="314">
        <f t="shared" si="51"/>
        <v>0</v>
      </c>
    </row>
    <row r="299" spans="1:14" ht="34" outlineLevel="1" x14ac:dyDescent="0.3">
      <c r="A299" s="213" t="s">
        <v>15</v>
      </c>
      <c r="B299" s="214" t="s">
        <v>455</v>
      </c>
      <c r="C299" s="214" t="s">
        <v>62</v>
      </c>
      <c r="D299" s="293" t="s">
        <v>788</v>
      </c>
      <c r="E299" s="293" t="s">
        <v>16</v>
      </c>
      <c r="F299" s="293"/>
      <c r="G299" s="238">
        <f>G300</f>
        <v>4868718.79</v>
      </c>
      <c r="H299" s="171">
        <v>4081162.36</v>
      </c>
      <c r="I299" s="217">
        <v>0</v>
      </c>
      <c r="J299" s="238">
        <v>0</v>
      </c>
      <c r="K299" s="331">
        <v>0</v>
      </c>
      <c r="L299" s="313">
        <f t="shared" si="48"/>
        <v>0</v>
      </c>
      <c r="M299" s="314">
        <f t="shared" si="50"/>
        <v>0</v>
      </c>
      <c r="N299" s="314">
        <f t="shared" si="51"/>
        <v>0</v>
      </c>
    </row>
    <row r="300" spans="1:14" ht="34" outlineLevel="1" x14ac:dyDescent="0.3">
      <c r="A300" s="213" t="s">
        <v>17</v>
      </c>
      <c r="B300" s="214" t="s">
        <v>455</v>
      </c>
      <c r="C300" s="214" t="s">
        <v>62</v>
      </c>
      <c r="D300" s="293" t="s">
        <v>788</v>
      </c>
      <c r="E300" s="293" t="s">
        <v>18</v>
      </c>
      <c r="F300" s="293"/>
      <c r="G300" s="238">
        <f>6000000-1131281.21</f>
        <v>4868718.79</v>
      </c>
      <c r="H300" s="171">
        <v>4081162.36</v>
      </c>
      <c r="I300" s="217">
        <v>0</v>
      </c>
      <c r="J300" s="238"/>
      <c r="K300" s="331"/>
      <c r="L300" s="313">
        <f t="shared" si="48"/>
        <v>0</v>
      </c>
      <c r="M300" s="314">
        <f t="shared" si="50"/>
        <v>0</v>
      </c>
      <c r="N300" s="314">
        <f t="shared" si="51"/>
        <v>0</v>
      </c>
    </row>
    <row r="301" spans="1:14" ht="34" outlineLevel="1" x14ac:dyDescent="0.3">
      <c r="A301" s="213" t="s">
        <v>616</v>
      </c>
      <c r="B301" s="214" t="s">
        <v>455</v>
      </c>
      <c r="C301" s="214" t="s">
        <v>62</v>
      </c>
      <c r="D301" s="293" t="s">
        <v>755</v>
      </c>
      <c r="E301" s="293" t="s">
        <v>6</v>
      </c>
      <c r="F301" s="293"/>
      <c r="G301" s="237">
        <f>G302</f>
        <v>49178.97</v>
      </c>
      <c r="H301" s="215">
        <f>H302</f>
        <v>41223.870000000003</v>
      </c>
      <c r="I301" s="215">
        <v>0</v>
      </c>
      <c r="J301" s="237">
        <f>J302</f>
        <v>60606.06</v>
      </c>
      <c r="K301" s="330">
        <f>K302</f>
        <v>60606.06</v>
      </c>
      <c r="L301" s="313">
        <f t="shared" si="48"/>
        <v>0</v>
      </c>
      <c r="M301" s="314">
        <f t="shared" si="50"/>
        <v>123.23572453835449</v>
      </c>
      <c r="N301" s="314">
        <f t="shared" si="51"/>
        <v>123.2357245383545</v>
      </c>
    </row>
    <row r="302" spans="1:14" ht="34" outlineLevel="1" x14ac:dyDescent="0.3">
      <c r="A302" s="213" t="s">
        <v>15</v>
      </c>
      <c r="B302" s="214" t="s">
        <v>455</v>
      </c>
      <c r="C302" s="214" t="s">
        <v>62</v>
      </c>
      <c r="D302" s="293" t="s">
        <v>755</v>
      </c>
      <c r="E302" s="293" t="s">
        <v>16</v>
      </c>
      <c r="F302" s="293"/>
      <c r="G302" s="237">
        <f>G303</f>
        <v>49178.97</v>
      </c>
      <c r="H302" s="171">
        <v>41223.870000000003</v>
      </c>
      <c r="I302" s="215">
        <v>0</v>
      </c>
      <c r="J302" s="237">
        <f>J303</f>
        <v>60606.06</v>
      </c>
      <c r="K302" s="330">
        <f>K303</f>
        <v>60606.06</v>
      </c>
      <c r="L302" s="313">
        <f t="shared" si="48"/>
        <v>0</v>
      </c>
      <c r="M302" s="314">
        <f t="shared" si="50"/>
        <v>123.23572453835449</v>
      </c>
      <c r="N302" s="314">
        <f t="shared" si="51"/>
        <v>123.2357245383545</v>
      </c>
    </row>
    <row r="303" spans="1:14" ht="34" outlineLevel="1" x14ac:dyDescent="0.3">
      <c r="A303" s="213" t="s">
        <v>17</v>
      </c>
      <c r="B303" s="214" t="s">
        <v>455</v>
      </c>
      <c r="C303" s="214" t="s">
        <v>62</v>
      </c>
      <c r="D303" s="293" t="s">
        <v>755</v>
      </c>
      <c r="E303" s="293" t="s">
        <v>18</v>
      </c>
      <c r="F303" s="293"/>
      <c r="G303" s="238">
        <f>62000-1393.94-11427.09</f>
        <v>49178.97</v>
      </c>
      <c r="H303" s="171">
        <v>41223.870000000003</v>
      </c>
      <c r="I303" s="217">
        <v>0</v>
      </c>
      <c r="J303" s="238">
        <v>60606.06</v>
      </c>
      <c r="K303" s="331">
        <v>60606.06</v>
      </c>
      <c r="L303" s="313">
        <f t="shared" si="48"/>
        <v>0</v>
      </c>
      <c r="M303" s="314">
        <f t="shared" si="50"/>
        <v>123.23572453835449</v>
      </c>
      <c r="N303" s="314">
        <f t="shared" si="51"/>
        <v>123.2357245383545</v>
      </c>
    </row>
    <row r="304" spans="1:14" s="224" customFormat="1" ht="67.95" outlineLevel="1" x14ac:dyDescent="0.3">
      <c r="A304" s="219" t="s">
        <v>473</v>
      </c>
      <c r="B304" s="220" t="s">
        <v>455</v>
      </c>
      <c r="C304" s="220" t="s">
        <v>62</v>
      </c>
      <c r="D304" s="295" t="s">
        <v>474</v>
      </c>
      <c r="E304" s="295" t="s">
        <v>6</v>
      </c>
      <c r="F304" s="296">
        <v>15876002.58</v>
      </c>
      <c r="G304" s="237">
        <f>G305+G313</f>
        <v>15345827.210000001</v>
      </c>
      <c r="H304" s="215">
        <f>H305+H313</f>
        <v>12358989.689999999</v>
      </c>
      <c r="I304" s="215">
        <f>I305+I313</f>
        <v>19974076.27</v>
      </c>
      <c r="J304" s="237">
        <f>J305+J313</f>
        <v>13175249.5</v>
      </c>
      <c r="K304" s="330">
        <f>K305+K313</f>
        <v>12564908.65</v>
      </c>
      <c r="L304" s="313">
        <f t="shared" si="48"/>
        <v>-610340.84999999963</v>
      </c>
      <c r="M304" s="314">
        <f t="shared" si="50"/>
        <v>85.85558353879054</v>
      </c>
      <c r="N304" s="314">
        <f t="shared" si="51"/>
        <v>81.878340463863466</v>
      </c>
    </row>
    <row r="305" spans="1:14" s="224" customFormat="1" ht="50.95" outlineLevel="1" x14ac:dyDescent="0.3">
      <c r="A305" s="219" t="s">
        <v>501</v>
      </c>
      <c r="B305" s="220" t="s">
        <v>455</v>
      </c>
      <c r="C305" s="220" t="s">
        <v>62</v>
      </c>
      <c r="D305" s="295" t="s">
        <v>502</v>
      </c>
      <c r="E305" s="295" t="s">
        <v>6</v>
      </c>
      <c r="F305" s="294">
        <v>8247922.1500000004</v>
      </c>
      <c r="G305" s="237">
        <f>G306+G310</f>
        <v>6967934.4000000004</v>
      </c>
      <c r="H305" s="215">
        <f>H306+H310</f>
        <v>3981096.88</v>
      </c>
      <c r="I305" s="215">
        <f>I306+I310</f>
        <v>6616389.0700000003</v>
      </c>
      <c r="J305" s="237">
        <f>J306+J310</f>
        <v>6968867.6299999999</v>
      </c>
      <c r="K305" s="330">
        <f>K306+K310</f>
        <v>6582382.6000000006</v>
      </c>
      <c r="L305" s="313">
        <f t="shared" si="48"/>
        <v>-386485.02999999933</v>
      </c>
      <c r="M305" s="314">
        <f t="shared" si="50"/>
        <v>100.01339320875351</v>
      </c>
      <c r="N305" s="314">
        <f t="shared" si="51"/>
        <v>94.466770525279344</v>
      </c>
    </row>
    <row r="306" spans="1:14" ht="34" outlineLevel="1" x14ac:dyDescent="0.3">
      <c r="A306" s="213" t="s">
        <v>500</v>
      </c>
      <c r="B306" s="214" t="s">
        <v>455</v>
      </c>
      <c r="C306" s="214" t="s">
        <v>62</v>
      </c>
      <c r="D306" s="293" t="s">
        <v>503</v>
      </c>
      <c r="E306" s="293" t="s">
        <v>6</v>
      </c>
      <c r="F306" s="294">
        <v>8247922.1500000004</v>
      </c>
      <c r="G306" s="237">
        <f t="shared" ref="G306:K308" si="57">G307</f>
        <v>6616389.0600000005</v>
      </c>
      <c r="H306" s="215">
        <f t="shared" si="57"/>
        <v>3981096.88</v>
      </c>
      <c r="I306" s="215">
        <f t="shared" si="57"/>
        <v>6616389.0700000003</v>
      </c>
      <c r="J306" s="237">
        <f t="shared" si="57"/>
        <v>6968867.6299999999</v>
      </c>
      <c r="K306" s="330">
        <f t="shared" si="57"/>
        <v>6582382.6000000006</v>
      </c>
      <c r="L306" s="313">
        <f t="shared" si="48"/>
        <v>-386485.02999999933</v>
      </c>
      <c r="M306" s="314">
        <f t="shared" si="50"/>
        <v>105.32735555306054</v>
      </c>
      <c r="N306" s="314">
        <f t="shared" si="51"/>
        <v>99.486026899391561</v>
      </c>
    </row>
    <row r="307" spans="1:14" ht="34" outlineLevel="1" x14ac:dyDescent="0.3">
      <c r="A307" s="213" t="s">
        <v>499</v>
      </c>
      <c r="B307" s="214" t="s">
        <v>455</v>
      </c>
      <c r="C307" s="214" t="s">
        <v>62</v>
      </c>
      <c r="D307" s="293" t="s">
        <v>504</v>
      </c>
      <c r="E307" s="293" t="s">
        <v>6</v>
      </c>
      <c r="F307" s="294">
        <v>6850012.1100000003</v>
      </c>
      <c r="G307" s="237">
        <f t="shared" si="57"/>
        <v>6616389.0600000005</v>
      </c>
      <c r="H307" s="215">
        <f t="shared" si="57"/>
        <v>3981096.88</v>
      </c>
      <c r="I307" s="215">
        <f t="shared" si="57"/>
        <v>6616389.0700000003</v>
      </c>
      <c r="J307" s="237">
        <f t="shared" si="57"/>
        <v>6968867.6299999999</v>
      </c>
      <c r="K307" s="330">
        <f t="shared" si="57"/>
        <v>6582382.6000000006</v>
      </c>
      <c r="L307" s="313">
        <f t="shared" si="48"/>
        <v>-386485.02999999933</v>
      </c>
      <c r="M307" s="314">
        <f t="shared" si="50"/>
        <v>105.32735555306054</v>
      </c>
      <c r="N307" s="314">
        <f t="shared" si="51"/>
        <v>99.486026899391561</v>
      </c>
    </row>
    <row r="308" spans="1:14" ht="34" outlineLevel="1" x14ac:dyDescent="0.3">
      <c r="A308" s="213" t="s">
        <v>15</v>
      </c>
      <c r="B308" s="214" t="s">
        <v>455</v>
      </c>
      <c r="C308" s="214" t="s">
        <v>62</v>
      </c>
      <c r="D308" s="293" t="s">
        <v>504</v>
      </c>
      <c r="E308" s="293" t="s">
        <v>16</v>
      </c>
      <c r="F308" s="294">
        <v>6850012.1100000003</v>
      </c>
      <c r="G308" s="237">
        <f t="shared" si="57"/>
        <v>6616389.0600000005</v>
      </c>
      <c r="H308" s="169">
        <v>3981096.88</v>
      </c>
      <c r="I308" s="215">
        <f t="shared" si="57"/>
        <v>6616389.0700000003</v>
      </c>
      <c r="J308" s="237">
        <f t="shared" si="57"/>
        <v>6968867.6299999999</v>
      </c>
      <c r="K308" s="330">
        <f t="shared" si="57"/>
        <v>6582382.6000000006</v>
      </c>
      <c r="L308" s="313">
        <f t="shared" si="48"/>
        <v>-386485.02999999933</v>
      </c>
      <c r="M308" s="314">
        <f t="shared" si="50"/>
        <v>105.32735555306054</v>
      </c>
      <c r="N308" s="314">
        <f t="shared" si="51"/>
        <v>99.486026899391561</v>
      </c>
    </row>
    <row r="309" spans="1:14" ht="34" outlineLevel="1" x14ac:dyDescent="0.3">
      <c r="A309" s="213" t="s">
        <v>17</v>
      </c>
      <c r="B309" s="214" t="s">
        <v>455</v>
      </c>
      <c r="C309" s="214" t="s">
        <v>62</v>
      </c>
      <c r="D309" s="293" t="s">
        <v>504</v>
      </c>
      <c r="E309" s="293" t="s">
        <v>18</v>
      </c>
      <c r="F309" s="294">
        <v>6850012.1100000003</v>
      </c>
      <c r="G309" s="237">
        <f>6583307.11+33081.96-0.01</f>
        <v>6616389.0600000005</v>
      </c>
      <c r="H309" s="169">
        <v>3981096.88</v>
      </c>
      <c r="I309" s="215">
        <f>'[2]прил 12'!F298</f>
        <v>6616389.0700000003</v>
      </c>
      <c r="J309" s="238">
        <f>33081.95+6935785.68</f>
        <v>6968867.6299999999</v>
      </c>
      <c r="K309" s="331">
        <f>33081.95+6547529.41+1771.24</f>
        <v>6582382.6000000006</v>
      </c>
      <c r="L309" s="313">
        <f t="shared" si="48"/>
        <v>-386485.02999999933</v>
      </c>
      <c r="M309" s="314">
        <f t="shared" si="50"/>
        <v>105.32735555306054</v>
      </c>
      <c r="N309" s="314">
        <f t="shared" si="51"/>
        <v>99.486026899391561</v>
      </c>
    </row>
    <row r="310" spans="1:14" ht="50.95" outlineLevel="1" x14ac:dyDescent="0.3">
      <c r="A310" s="189" t="s">
        <v>614</v>
      </c>
      <c r="B310" s="214" t="s">
        <v>455</v>
      </c>
      <c r="C310" s="214" t="s">
        <v>62</v>
      </c>
      <c r="D310" s="293" t="s">
        <v>655</v>
      </c>
      <c r="E310" s="293" t="s">
        <v>6</v>
      </c>
      <c r="F310" s="294">
        <v>1397910.04</v>
      </c>
      <c r="G310" s="237">
        <f>G311</f>
        <v>351545.34</v>
      </c>
      <c r="H310" s="215">
        <f>H311</f>
        <v>0</v>
      </c>
      <c r="I310" s="215">
        <v>0</v>
      </c>
      <c r="J310" s="237">
        <v>0</v>
      </c>
      <c r="K310" s="330">
        <v>0</v>
      </c>
      <c r="L310" s="313">
        <f t="shared" si="48"/>
        <v>0</v>
      </c>
      <c r="M310" s="314">
        <f t="shared" si="50"/>
        <v>0</v>
      </c>
      <c r="N310" s="314">
        <f t="shared" si="51"/>
        <v>0</v>
      </c>
    </row>
    <row r="311" spans="1:14" ht="34" outlineLevel="1" x14ac:dyDescent="0.3">
      <c r="A311" s="213" t="s">
        <v>15</v>
      </c>
      <c r="B311" s="214" t="s">
        <v>455</v>
      </c>
      <c r="C311" s="214" t="s">
        <v>62</v>
      </c>
      <c r="D311" s="293" t="s">
        <v>655</v>
      </c>
      <c r="E311" s="293" t="s">
        <v>16</v>
      </c>
      <c r="F311" s="294">
        <v>1397910.04</v>
      </c>
      <c r="G311" s="237">
        <f>G312</f>
        <v>351545.34</v>
      </c>
      <c r="H311" s="217">
        <v>0</v>
      </c>
      <c r="I311" s="215">
        <v>0</v>
      </c>
      <c r="J311" s="237">
        <v>0</v>
      </c>
      <c r="K311" s="330">
        <v>0</v>
      </c>
      <c r="L311" s="313">
        <f t="shared" si="48"/>
        <v>0</v>
      </c>
      <c r="M311" s="314">
        <f t="shared" si="50"/>
        <v>0</v>
      </c>
      <c r="N311" s="314">
        <f t="shared" si="51"/>
        <v>0</v>
      </c>
    </row>
    <row r="312" spans="1:14" ht="34" outlineLevel="1" x14ac:dyDescent="0.3">
      <c r="A312" s="213" t="s">
        <v>17</v>
      </c>
      <c r="B312" s="214" t="s">
        <v>455</v>
      </c>
      <c r="C312" s="214" t="s">
        <v>62</v>
      </c>
      <c r="D312" s="293" t="s">
        <v>655</v>
      </c>
      <c r="E312" s="293" t="s">
        <v>18</v>
      </c>
      <c r="F312" s="294">
        <v>1397910.04</v>
      </c>
      <c r="G312" s="237">
        <f>215859.46+109286.29+26399.58+0.01</f>
        <v>351545.34</v>
      </c>
      <c r="H312" s="217">
        <v>0</v>
      </c>
      <c r="I312" s="215">
        <v>0</v>
      </c>
      <c r="J312" s="238">
        <v>0</v>
      </c>
      <c r="K312" s="331">
        <v>0</v>
      </c>
      <c r="L312" s="313">
        <f t="shared" si="48"/>
        <v>0</v>
      </c>
      <c r="M312" s="314">
        <f t="shared" si="50"/>
        <v>0</v>
      </c>
      <c r="N312" s="314">
        <f t="shared" si="51"/>
        <v>0</v>
      </c>
    </row>
    <row r="313" spans="1:14" s="224" customFormat="1" ht="50.95" outlineLevel="1" x14ac:dyDescent="0.3">
      <c r="A313" s="233" t="s">
        <v>505</v>
      </c>
      <c r="B313" s="214" t="s">
        <v>455</v>
      </c>
      <c r="C313" s="214" t="s">
        <v>62</v>
      </c>
      <c r="D313" s="295" t="s">
        <v>507</v>
      </c>
      <c r="E313" s="295" t="s">
        <v>6</v>
      </c>
      <c r="F313" s="295"/>
      <c r="G313" s="237">
        <f t="shared" ref="G313:K319" si="58">G314</f>
        <v>8377892.8099999996</v>
      </c>
      <c r="H313" s="215">
        <f t="shared" si="58"/>
        <v>8377892.8099999996</v>
      </c>
      <c r="I313" s="215">
        <f t="shared" si="58"/>
        <v>13357687.199999999</v>
      </c>
      <c r="J313" s="237">
        <f t="shared" si="58"/>
        <v>6206381.8700000001</v>
      </c>
      <c r="K313" s="330">
        <f t="shared" si="58"/>
        <v>5982526.0499999998</v>
      </c>
      <c r="L313" s="313">
        <f t="shared" si="48"/>
        <v>-223855.8200000003</v>
      </c>
      <c r="M313" s="314">
        <f t="shared" si="50"/>
        <v>74.080464034965388</v>
      </c>
      <c r="N313" s="314">
        <f t="shared" si="51"/>
        <v>71.408481651366458</v>
      </c>
    </row>
    <row r="314" spans="1:14" s="224" customFormat="1" ht="34" outlineLevel="1" x14ac:dyDescent="0.3">
      <c r="A314" s="233" t="s">
        <v>506</v>
      </c>
      <c r="B314" s="214" t="s">
        <v>455</v>
      </c>
      <c r="C314" s="214" t="s">
        <v>62</v>
      </c>
      <c r="D314" s="295" t="s">
        <v>508</v>
      </c>
      <c r="E314" s="295" t="s">
        <v>6</v>
      </c>
      <c r="F314" s="294">
        <v>7628080.4299999997</v>
      </c>
      <c r="G314" s="273">
        <f>G315+G318+G321</f>
        <v>8377892.8099999996</v>
      </c>
      <c r="H314" s="221">
        <f>H315+H318+H321</f>
        <v>8377892.8099999996</v>
      </c>
      <c r="I314" s="221">
        <f>I315+I318+I321</f>
        <v>13357687.199999999</v>
      </c>
      <c r="J314" s="273">
        <f>J315+J318+J321</f>
        <v>6206381.8700000001</v>
      </c>
      <c r="K314" s="333">
        <f>K315+K318+K321</f>
        <v>5982526.0499999998</v>
      </c>
      <c r="L314" s="313">
        <f t="shared" si="48"/>
        <v>-223855.8200000003</v>
      </c>
      <c r="M314" s="314">
        <f t="shared" si="50"/>
        <v>74.080464034965388</v>
      </c>
      <c r="N314" s="314">
        <f t="shared" si="51"/>
        <v>71.408481651366458</v>
      </c>
    </row>
    <row r="315" spans="1:14" s="224" customFormat="1" ht="57.25" customHeight="1" outlineLevel="1" x14ac:dyDescent="0.3">
      <c r="A315" s="189" t="s">
        <v>516</v>
      </c>
      <c r="B315" s="214" t="s">
        <v>455</v>
      </c>
      <c r="C315" s="214" t="s">
        <v>62</v>
      </c>
      <c r="D315" s="293" t="s">
        <v>531</v>
      </c>
      <c r="E315" s="293" t="s">
        <v>6</v>
      </c>
      <c r="F315" s="294">
        <v>6501429.3700000001</v>
      </c>
      <c r="G315" s="237">
        <f t="shared" ref="G315:K316" si="59">G316</f>
        <v>6855579.5599999996</v>
      </c>
      <c r="H315" s="215">
        <f t="shared" si="59"/>
        <v>6855579.5599999996</v>
      </c>
      <c r="I315" s="215">
        <f t="shared" si="59"/>
        <v>12956956.59</v>
      </c>
      <c r="J315" s="237">
        <f t="shared" si="59"/>
        <v>5803050.2599999998</v>
      </c>
      <c r="K315" s="330">
        <f t="shared" si="59"/>
        <v>5803050.2599999998</v>
      </c>
      <c r="L315" s="313">
        <f t="shared" si="48"/>
        <v>0</v>
      </c>
      <c r="M315" s="314">
        <f t="shared" si="50"/>
        <v>84.647114211303816</v>
      </c>
      <c r="N315" s="314">
        <f t="shared" si="51"/>
        <v>84.647114211303816</v>
      </c>
    </row>
    <row r="316" spans="1:14" s="224" customFormat="1" ht="34" outlineLevel="1" x14ac:dyDescent="0.3">
      <c r="A316" s="213" t="s">
        <v>15</v>
      </c>
      <c r="B316" s="214" t="s">
        <v>455</v>
      </c>
      <c r="C316" s="214" t="s">
        <v>62</v>
      </c>
      <c r="D316" s="293" t="s">
        <v>531</v>
      </c>
      <c r="E316" s="293" t="s">
        <v>16</v>
      </c>
      <c r="F316" s="294">
        <v>6501429.3700000001</v>
      </c>
      <c r="G316" s="237">
        <f t="shared" si="59"/>
        <v>6855579.5599999996</v>
      </c>
      <c r="H316" s="169">
        <v>6855579.5599999996</v>
      </c>
      <c r="I316" s="215">
        <f t="shared" si="59"/>
        <v>12956956.59</v>
      </c>
      <c r="J316" s="237">
        <f t="shared" si="59"/>
        <v>5803050.2599999998</v>
      </c>
      <c r="K316" s="330">
        <f t="shared" si="59"/>
        <v>5803050.2599999998</v>
      </c>
      <c r="L316" s="313">
        <f t="shared" si="48"/>
        <v>0</v>
      </c>
      <c r="M316" s="314">
        <f t="shared" si="50"/>
        <v>84.647114211303816</v>
      </c>
      <c r="N316" s="314">
        <f t="shared" si="51"/>
        <v>84.647114211303816</v>
      </c>
    </row>
    <row r="317" spans="1:14" s="224" customFormat="1" ht="34" outlineLevel="1" x14ac:dyDescent="0.3">
      <c r="A317" s="213" t="s">
        <v>17</v>
      </c>
      <c r="B317" s="214" t="s">
        <v>455</v>
      </c>
      <c r="C317" s="214" t="s">
        <v>62</v>
      </c>
      <c r="D317" s="293" t="s">
        <v>531</v>
      </c>
      <c r="E317" s="293" t="s">
        <v>18</v>
      </c>
      <c r="F317" s="294">
        <v>6501429.3700000001</v>
      </c>
      <c r="G317" s="237">
        <v>6855579.5599999996</v>
      </c>
      <c r="H317" s="169">
        <v>6855579.5599999996</v>
      </c>
      <c r="I317" s="215">
        <f>'[2]прил 12'!F306</f>
        <v>12956956.59</v>
      </c>
      <c r="J317" s="272">
        <v>5803050.2599999998</v>
      </c>
      <c r="K317" s="332">
        <v>5803050.2599999998</v>
      </c>
      <c r="L317" s="313">
        <f t="shared" si="48"/>
        <v>0</v>
      </c>
      <c r="M317" s="314">
        <f t="shared" si="50"/>
        <v>84.647114211303816</v>
      </c>
      <c r="N317" s="314">
        <f t="shared" si="51"/>
        <v>84.647114211303816</v>
      </c>
    </row>
    <row r="318" spans="1:14" ht="40.75" customHeight="1" outlineLevel="1" x14ac:dyDescent="0.3">
      <c r="A318" s="189" t="s">
        <v>510</v>
      </c>
      <c r="B318" s="214" t="s">
        <v>455</v>
      </c>
      <c r="C318" s="214" t="s">
        <v>62</v>
      </c>
      <c r="D318" s="293" t="s">
        <v>509</v>
      </c>
      <c r="E318" s="293" t="s">
        <v>6</v>
      </c>
      <c r="F318" s="294">
        <v>201075.14</v>
      </c>
      <c r="G318" s="237">
        <f t="shared" si="58"/>
        <v>212028.24</v>
      </c>
      <c r="H318" s="215">
        <f t="shared" si="58"/>
        <v>212028.24</v>
      </c>
      <c r="I318" s="215">
        <f t="shared" si="58"/>
        <v>400730.61</v>
      </c>
      <c r="J318" s="237">
        <f t="shared" si="58"/>
        <v>403331.61</v>
      </c>
      <c r="K318" s="330">
        <f t="shared" si="58"/>
        <v>179475.78999999998</v>
      </c>
      <c r="L318" s="313">
        <f t="shared" si="48"/>
        <v>-223855.82</v>
      </c>
      <c r="M318" s="314">
        <f t="shared" si="50"/>
        <v>190.2254199723584</v>
      </c>
      <c r="N318" s="314">
        <f t="shared" si="51"/>
        <v>84.647115874753283</v>
      </c>
    </row>
    <row r="319" spans="1:14" ht="34" outlineLevel="1" x14ac:dyDescent="0.3">
      <c r="A319" s="213" t="s">
        <v>15</v>
      </c>
      <c r="B319" s="214" t="s">
        <v>455</v>
      </c>
      <c r="C319" s="214" t="s">
        <v>62</v>
      </c>
      <c r="D319" s="293" t="s">
        <v>509</v>
      </c>
      <c r="E319" s="293" t="s">
        <v>16</v>
      </c>
      <c r="F319" s="294">
        <v>201075.14</v>
      </c>
      <c r="G319" s="237">
        <f t="shared" si="58"/>
        <v>212028.24</v>
      </c>
      <c r="H319" s="169">
        <v>212028.24</v>
      </c>
      <c r="I319" s="215">
        <f t="shared" si="58"/>
        <v>400730.61</v>
      </c>
      <c r="J319" s="237">
        <f t="shared" si="58"/>
        <v>403331.61</v>
      </c>
      <c r="K319" s="330">
        <f t="shared" si="58"/>
        <v>179475.78999999998</v>
      </c>
      <c r="L319" s="313">
        <f t="shared" si="48"/>
        <v>-223855.82</v>
      </c>
      <c r="M319" s="314">
        <f t="shared" si="50"/>
        <v>190.2254199723584</v>
      </c>
      <c r="N319" s="314">
        <f t="shared" si="51"/>
        <v>84.647115874753283</v>
      </c>
    </row>
    <row r="320" spans="1:14" ht="34" outlineLevel="1" x14ac:dyDescent="0.3">
      <c r="A320" s="213" t="s">
        <v>17</v>
      </c>
      <c r="B320" s="214" t="s">
        <v>455</v>
      </c>
      <c r="C320" s="214" t="s">
        <v>62</v>
      </c>
      <c r="D320" s="293" t="s">
        <v>509</v>
      </c>
      <c r="E320" s="293" t="s">
        <v>18</v>
      </c>
      <c r="F320" s="294">
        <v>201075.14</v>
      </c>
      <c r="G320" s="238">
        <f>403331.62-191303.38</f>
        <v>212028.24</v>
      </c>
      <c r="H320" s="169">
        <v>212028.24</v>
      </c>
      <c r="I320" s="217">
        <f>'[2]прил 12'!F309</f>
        <v>400730.61</v>
      </c>
      <c r="J320" s="238">
        <v>403331.61</v>
      </c>
      <c r="K320" s="331">
        <f>403331.61-223855.82</f>
        <v>179475.78999999998</v>
      </c>
      <c r="L320" s="313">
        <f t="shared" si="48"/>
        <v>-223855.82</v>
      </c>
      <c r="M320" s="314">
        <f t="shared" si="50"/>
        <v>190.2254199723584</v>
      </c>
      <c r="N320" s="314">
        <f t="shared" si="51"/>
        <v>84.647115874753283</v>
      </c>
    </row>
    <row r="321" spans="1:14" ht="50.95" outlineLevel="1" x14ac:dyDescent="0.3">
      <c r="A321" s="213" t="s">
        <v>614</v>
      </c>
      <c r="B321" s="214" t="s">
        <v>455</v>
      </c>
      <c r="C321" s="214" t="s">
        <v>62</v>
      </c>
      <c r="D321" s="293" t="s">
        <v>613</v>
      </c>
      <c r="E321" s="293" t="s">
        <v>6</v>
      </c>
      <c r="F321" s="294">
        <v>925575.92</v>
      </c>
      <c r="G321" s="237">
        <f>G322</f>
        <v>1310285.0099999998</v>
      </c>
      <c r="H321" s="215">
        <f>H322</f>
        <v>1310285.01</v>
      </c>
      <c r="I321" s="215">
        <v>0</v>
      </c>
      <c r="J321" s="237">
        <v>0</v>
      </c>
      <c r="K321" s="330">
        <v>0</v>
      </c>
      <c r="L321" s="313">
        <f t="shared" si="48"/>
        <v>0</v>
      </c>
      <c r="M321" s="314">
        <f t="shared" si="50"/>
        <v>0</v>
      </c>
      <c r="N321" s="314">
        <f t="shared" si="51"/>
        <v>0</v>
      </c>
    </row>
    <row r="322" spans="1:14" ht="34" outlineLevel="1" x14ac:dyDescent="0.3">
      <c r="A322" s="213" t="s">
        <v>15</v>
      </c>
      <c r="B322" s="214" t="s">
        <v>455</v>
      </c>
      <c r="C322" s="214" t="s">
        <v>62</v>
      </c>
      <c r="D322" s="293" t="s">
        <v>613</v>
      </c>
      <c r="E322" s="293" t="s">
        <v>16</v>
      </c>
      <c r="F322" s="294">
        <v>925575.92</v>
      </c>
      <c r="G322" s="237">
        <f>G323</f>
        <v>1310285.0099999998</v>
      </c>
      <c r="H322" s="169">
        <v>1310285.01</v>
      </c>
      <c r="I322" s="215">
        <v>0</v>
      </c>
      <c r="J322" s="237">
        <v>0</v>
      </c>
      <c r="K322" s="330">
        <v>0</v>
      </c>
      <c r="L322" s="313">
        <f t="shared" si="48"/>
        <v>0</v>
      </c>
      <c r="M322" s="314">
        <f t="shared" si="50"/>
        <v>0</v>
      </c>
      <c r="N322" s="314">
        <f t="shared" si="51"/>
        <v>0</v>
      </c>
    </row>
    <row r="323" spans="1:14" ht="38.25" customHeight="1" outlineLevel="1" x14ac:dyDescent="0.3">
      <c r="A323" s="213" t="s">
        <v>17</v>
      </c>
      <c r="B323" s="214" t="s">
        <v>455</v>
      </c>
      <c r="C323" s="214" t="s">
        <v>62</v>
      </c>
      <c r="D323" s="293" t="s">
        <v>613</v>
      </c>
      <c r="E323" s="293" t="s">
        <v>18</v>
      </c>
      <c r="F323" s="294">
        <v>925575.92</v>
      </c>
      <c r="G323" s="238">
        <f>[2]потребность!L313-7169178.83</f>
        <v>1310285.0099999998</v>
      </c>
      <c r="H323" s="169">
        <v>1310285.01</v>
      </c>
      <c r="I323" s="217">
        <v>0</v>
      </c>
      <c r="J323" s="238">
        <v>0</v>
      </c>
      <c r="K323" s="331">
        <v>0</v>
      </c>
      <c r="L323" s="313">
        <f t="shared" si="48"/>
        <v>0</v>
      </c>
      <c r="M323" s="314">
        <f t="shared" si="50"/>
        <v>0</v>
      </c>
      <c r="N323" s="314">
        <f t="shared" si="51"/>
        <v>0</v>
      </c>
    </row>
    <row r="324" spans="1:14" ht="34" outlineLevel="1" x14ac:dyDescent="0.3">
      <c r="A324" s="213" t="s">
        <v>284</v>
      </c>
      <c r="B324" s="214" t="s">
        <v>455</v>
      </c>
      <c r="C324" s="214" t="s">
        <v>285</v>
      </c>
      <c r="D324" s="293" t="s">
        <v>126</v>
      </c>
      <c r="E324" s="293" t="s">
        <v>6</v>
      </c>
      <c r="F324" s="294">
        <v>2418556.7000000002</v>
      </c>
      <c r="G324" s="238">
        <f t="shared" ref="G324:K325" si="60">G325</f>
        <v>7460868.7599999998</v>
      </c>
      <c r="H324" s="217">
        <f t="shared" si="60"/>
        <v>6020120.7999999998</v>
      </c>
      <c r="I324" s="217">
        <f t="shared" si="60"/>
        <v>300000</v>
      </c>
      <c r="J324" s="238">
        <f t="shared" si="60"/>
        <v>3059819.92</v>
      </c>
      <c r="K324" s="331">
        <f t="shared" si="60"/>
        <v>3059819.92</v>
      </c>
      <c r="L324" s="313">
        <f t="shared" si="48"/>
        <v>0</v>
      </c>
      <c r="M324" s="314">
        <f t="shared" si="50"/>
        <v>41.011576780503503</v>
      </c>
      <c r="N324" s="314">
        <f t="shared" si="51"/>
        <v>41.011576780503503</v>
      </c>
    </row>
    <row r="325" spans="1:14" ht="50.95" outlineLevel="1" x14ac:dyDescent="0.3">
      <c r="A325" s="219" t="s">
        <v>737</v>
      </c>
      <c r="B325" s="220" t="s">
        <v>455</v>
      </c>
      <c r="C325" s="220" t="s">
        <v>285</v>
      </c>
      <c r="D325" s="295" t="s">
        <v>134</v>
      </c>
      <c r="E325" s="295" t="s">
        <v>6</v>
      </c>
      <c r="F325" s="296">
        <v>2418556.7000000002</v>
      </c>
      <c r="G325" s="272">
        <f t="shared" si="60"/>
        <v>7460868.7599999998</v>
      </c>
      <c r="H325" s="223">
        <f t="shared" si="60"/>
        <v>6020120.7999999998</v>
      </c>
      <c r="I325" s="223">
        <f t="shared" si="60"/>
        <v>300000</v>
      </c>
      <c r="J325" s="272">
        <f t="shared" si="60"/>
        <v>3059819.92</v>
      </c>
      <c r="K325" s="332">
        <f t="shared" si="60"/>
        <v>3059819.92</v>
      </c>
      <c r="L325" s="313">
        <f t="shared" si="48"/>
        <v>0</v>
      </c>
      <c r="M325" s="314">
        <f t="shared" si="50"/>
        <v>41.011576780503503</v>
      </c>
      <c r="N325" s="314">
        <f t="shared" si="51"/>
        <v>41.011576780503503</v>
      </c>
    </row>
    <row r="326" spans="1:14" ht="50.95" outlineLevel="1" x14ac:dyDescent="0.3">
      <c r="A326" s="213" t="s">
        <v>738</v>
      </c>
      <c r="B326" s="214" t="s">
        <v>455</v>
      </c>
      <c r="C326" s="214" t="s">
        <v>285</v>
      </c>
      <c r="D326" s="293" t="s">
        <v>335</v>
      </c>
      <c r="E326" s="293" t="s">
        <v>6</v>
      </c>
      <c r="F326" s="294">
        <v>2418556.7000000002</v>
      </c>
      <c r="G326" s="238">
        <f>G327+G330</f>
        <v>7460868.7599999998</v>
      </c>
      <c r="H326" s="217">
        <f>H327+H330</f>
        <v>6020120.7999999998</v>
      </c>
      <c r="I326" s="217">
        <f>I327+I330</f>
        <v>300000</v>
      </c>
      <c r="J326" s="238">
        <f>J330+J327</f>
        <v>3059819.92</v>
      </c>
      <c r="K326" s="331">
        <f>K330+K327</f>
        <v>3059819.92</v>
      </c>
      <c r="L326" s="313">
        <f t="shared" si="48"/>
        <v>0</v>
      </c>
      <c r="M326" s="314">
        <f t="shared" si="50"/>
        <v>41.011576780503503</v>
      </c>
      <c r="N326" s="314">
        <f t="shared" si="51"/>
        <v>41.011576780503503</v>
      </c>
    </row>
    <row r="327" spans="1:14" ht="37.549999999999997" customHeight="1" outlineLevel="1" x14ac:dyDescent="0.3">
      <c r="A327" s="185" t="s">
        <v>514</v>
      </c>
      <c r="B327" s="214" t="s">
        <v>455</v>
      </c>
      <c r="C327" s="214" t="s">
        <v>285</v>
      </c>
      <c r="D327" s="293" t="s">
        <v>532</v>
      </c>
      <c r="E327" s="293" t="s">
        <v>6</v>
      </c>
      <c r="F327" s="294">
        <v>2346000</v>
      </c>
      <c r="G327" s="238">
        <f>G328</f>
        <v>7160868.7599999998</v>
      </c>
      <c r="H327" s="217">
        <f>H328</f>
        <v>5839517.1600000001</v>
      </c>
      <c r="I327" s="217">
        <v>0</v>
      </c>
      <c r="J327" s="238">
        <f>J328</f>
        <v>2759819.92</v>
      </c>
      <c r="K327" s="331">
        <f>K328</f>
        <v>2759819.92</v>
      </c>
      <c r="L327" s="313">
        <f t="shared" si="48"/>
        <v>0</v>
      </c>
      <c r="M327" s="314">
        <f t="shared" si="50"/>
        <v>38.540294655532826</v>
      </c>
      <c r="N327" s="314">
        <f t="shared" si="51"/>
        <v>38.540294655532833</v>
      </c>
    </row>
    <row r="328" spans="1:14" outlineLevel="1" x14ac:dyDescent="0.3">
      <c r="A328" s="213" t="s">
        <v>19</v>
      </c>
      <c r="B328" s="214" t="s">
        <v>455</v>
      </c>
      <c r="C328" s="214" t="s">
        <v>285</v>
      </c>
      <c r="D328" s="293" t="s">
        <v>532</v>
      </c>
      <c r="E328" s="293" t="s">
        <v>20</v>
      </c>
      <c r="F328" s="294">
        <v>2346000</v>
      </c>
      <c r="G328" s="238">
        <f>G329</f>
        <v>7160868.7599999998</v>
      </c>
      <c r="H328" s="169">
        <v>5839517.1600000001</v>
      </c>
      <c r="I328" s="217">
        <v>0</v>
      </c>
      <c r="J328" s="238">
        <f>J329</f>
        <v>2759819.92</v>
      </c>
      <c r="K328" s="331">
        <f>K329</f>
        <v>2759819.92</v>
      </c>
      <c r="L328" s="313">
        <f t="shared" ref="L328:L391" si="61">K328-J328</f>
        <v>0</v>
      </c>
      <c r="M328" s="314">
        <f t="shared" si="50"/>
        <v>38.540294655532826</v>
      </c>
      <c r="N328" s="314">
        <f t="shared" si="51"/>
        <v>38.540294655532833</v>
      </c>
    </row>
    <row r="329" spans="1:14" ht="50.95" outlineLevel="1" x14ac:dyDescent="0.3">
      <c r="A329" s="213" t="s">
        <v>47</v>
      </c>
      <c r="B329" s="214" t="s">
        <v>455</v>
      </c>
      <c r="C329" s="214" t="s">
        <v>285</v>
      </c>
      <c r="D329" s="293" t="s">
        <v>532</v>
      </c>
      <c r="E329" s="293" t="s">
        <v>48</v>
      </c>
      <c r="F329" s="294">
        <v>2346000</v>
      </c>
      <c r="G329" s="238">
        <v>7160868.7599999998</v>
      </c>
      <c r="H329" s="169">
        <v>5839517.1600000001</v>
      </c>
      <c r="I329" s="217">
        <v>0</v>
      </c>
      <c r="J329" s="238">
        <v>2759819.92</v>
      </c>
      <c r="K329" s="331">
        <v>2759819.92</v>
      </c>
      <c r="L329" s="313">
        <f t="shared" si="61"/>
        <v>0</v>
      </c>
      <c r="M329" s="314">
        <f t="shared" si="50"/>
        <v>38.540294655532826</v>
      </c>
      <c r="N329" s="314">
        <f t="shared" si="51"/>
        <v>38.540294655532833</v>
      </c>
    </row>
    <row r="330" spans="1:14" s="224" customFormat="1" ht="39.4" customHeight="1" outlineLevel="1" x14ac:dyDescent="0.3">
      <c r="A330" s="213" t="s">
        <v>295</v>
      </c>
      <c r="B330" s="214" t="s">
        <v>455</v>
      </c>
      <c r="C330" s="214" t="s">
        <v>285</v>
      </c>
      <c r="D330" s="293" t="s">
        <v>341</v>
      </c>
      <c r="E330" s="293" t="s">
        <v>6</v>
      </c>
      <c r="F330" s="294">
        <v>72556.7</v>
      </c>
      <c r="G330" s="238">
        <f t="shared" ref="G330:K331" si="62">G331</f>
        <v>300000</v>
      </c>
      <c r="H330" s="217">
        <f t="shared" si="62"/>
        <v>180603.64</v>
      </c>
      <c r="I330" s="217">
        <f t="shared" si="62"/>
        <v>300000</v>
      </c>
      <c r="J330" s="238">
        <f t="shared" si="62"/>
        <v>300000</v>
      </c>
      <c r="K330" s="331">
        <f t="shared" si="62"/>
        <v>300000</v>
      </c>
      <c r="L330" s="313">
        <f t="shared" si="61"/>
        <v>0</v>
      </c>
      <c r="M330" s="314">
        <f t="shared" si="50"/>
        <v>100</v>
      </c>
      <c r="N330" s="314">
        <f t="shared" si="51"/>
        <v>100</v>
      </c>
    </row>
    <row r="331" spans="1:14" outlineLevel="2" x14ac:dyDescent="0.3">
      <c r="A331" s="213" t="s">
        <v>19</v>
      </c>
      <c r="B331" s="214" t="s">
        <v>455</v>
      </c>
      <c r="C331" s="214" t="s">
        <v>285</v>
      </c>
      <c r="D331" s="293" t="s">
        <v>341</v>
      </c>
      <c r="E331" s="293" t="s">
        <v>20</v>
      </c>
      <c r="F331" s="294">
        <v>72556.7</v>
      </c>
      <c r="G331" s="238">
        <f t="shared" si="62"/>
        <v>300000</v>
      </c>
      <c r="H331" s="169">
        <v>180603.64</v>
      </c>
      <c r="I331" s="217">
        <f t="shared" si="62"/>
        <v>300000</v>
      </c>
      <c r="J331" s="238">
        <f t="shared" si="62"/>
        <v>300000</v>
      </c>
      <c r="K331" s="331">
        <f t="shared" si="62"/>
        <v>300000</v>
      </c>
      <c r="L331" s="313">
        <f t="shared" si="61"/>
        <v>0</v>
      </c>
      <c r="M331" s="314">
        <f t="shared" si="50"/>
        <v>100</v>
      </c>
      <c r="N331" s="314">
        <f t="shared" si="51"/>
        <v>100</v>
      </c>
    </row>
    <row r="332" spans="1:14" s="224" customFormat="1" ht="59.3" customHeight="1" outlineLevel="3" x14ac:dyDescent="0.3">
      <c r="A332" s="213" t="s">
        <v>47</v>
      </c>
      <c r="B332" s="214" t="s">
        <v>455</v>
      </c>
      <c r="C332" s="214" t="s">
        <v>285</v>
      </c>
      <c r="D332" s="293" t="s">
        <v>341</v>
      </c>
      <c r="E332" s="293" t="s">
        <v>48</v>
      </c>
      <c r="F332" s="294">
        <v>72556.7</v>
      </c>
      <c r="G332" s="238">
        <v>300000</v>
      </c>
      <c r="H332" s="169">
        <v>180603.64</v>
      </c>
      <c r="I332" s="217">
        <v>300000</v>
      </c>
      <c r="J332" s="272">
        <v>300000</v>
      </c>
      <c r="K332" s="332">
        <v>300000</v>
      </c>
      <c r="L332" s="313">
        <f t="shared" si="61"/>
        <v>0</v>
      </c>
      <c r="M332" s="314">
        <f t="shared" ref="M332:M395" si="63">J332/G332%</f>
        <v>100</v>
      </c>
      <c r="N332" s="314">
        <f t="shared" ref="N332:N395" si="64">K332/G332*100</f>
        <v>100</v>
      </c>
    </row>
    <row r="333" spans="1:14" ht="27" customHeight="1" outlineLevel="3" x14ac:dyDescent="0.3">
      <c r="A333" s="219" t="s">
        <v>64</v>
      </c>
      <c r="B333" s="214" t="s">
        <v>455</v>
      </c>
      <c r="C333" s="220" t="s">
        <v>65</v>
      </c>
      <c r="D333" s="295" t="s">
        <v>126</v>
      </c>
      <c r="E333" s="295" t="s">
        <v>6</v>
      </c>
      <c r="F333" s="294">
        <v>514749.4</v>
      </c>
      <c r="G333" s="273">
        <f>G334</f>
        <v>555000</v>
      </c>
      <c r="H333" s="221">
        <f>H334</f>
        <v>53200</v>
      </c>
      <c r="I333" s="221">
        <f>I334</f>
        <v>515000</v>
      </c>
      <c r="J333" s="273">
        <f>J334</f>
        <v>515000</v>
      </c>
      <c r="K333" s="333">
        <f>K334</f>
        <v>515000</v>
      </c>
      <c r="L333" s="313">
        <f t="shared" si="61"/>
        <v>0</v>
      </c>
      <c r="M333" s="314">
        <f t="shared" si="63"/>
        <v>92.792792792792795</v>
      </c>
      <c r="N333" s="314">
        <f t="shared" si="64"/>
        <v>92.792792792792795</v>
      </c>
    </row>
    <row r="334" spans="1:14" ht="23.3" customHeight="1" outlineLevel="3" x14ac:dyDescent="0.3">
      <c r="A334" s="213" t="s">
        <v>66</v>
      </c>
      <c r="B334" s="214" t="s">
        <v>455</v>
      </c>
      <c r="C334" s="214" t="s">
        <v>67</v>
      </c>
      <c r="D334" s="293" t="s">
        <v>126</v>
      </c>
      <c r="E334" s="293" t="s">
        <v>6</v>
      </c>
      <c r="F334" s="294">
        <v>514749.4</v>
      </c>
      <c r="G334" s="237">
        <f>G335+G344</f>
        <v>555000</v>
      </c>
      <c r="H334" s="215">
        <f>H335+H344</f>
        <v>53200</v>
      </c>
      <c r="I334" s="215">
        <f>I335+I344</f>
        <v>515000</v>
      </c>
      <c r="J334" s="237">
        <f>J335+J344</f>
        <v>515000</v>
      </c>
      <c r="K334" s="330">
        <f>K335+K344</f>
        <v>515000</v>
      </c>
      <c r="L334" s="313">
        <f t="shared" si="61"/>
        <v>0</v>
      </c>
      <c r="M334" s="314">
        <f t="shared" si="63"/>
        <v>92.792792792792795</v>
      </c>
      <c r="N334" s="314">
        <f t="shared" si="64"/>
        <v>92.792792792792795</v>
      </c>
    </row>
    <row r="335" spans="1:14" ht="43.5" customHeight="1" outlineLevel="3" x14ac:dyDescent="0.3">
      <c r="A335" s="219" t="s">
        <v>735</v>
      </c>
      <c r="B335" s="220" t="s">
        <v>455</v>
      </c>
      <c r="C335" s="220" t="s">
        <v>67</v>
      </c>
      <c r="D335" s="295" t="s">
        <v>135</v>
      </c>
      <c r="E335" s="295" t="s">
        <v>6</v>
      </c>
      <c r="F335" s="296">
        <v>469935.4</v>
      </c>
      <c r="G335" s="273">
        <f>G336+G340</f>
        <v>470000</v>
      </c>
      <c r="H335" s="221">
        <f>H336+H340</f>
        <v>8200</v>
      </c>
      <c r="I335" s="221">
        <f>I336+I340</f>
        <v>470000</v>
      </c>
      <c r="J335" s="273">
        <f>J336+J340</f>
        <v>470000</v>
      </c>
      <c r="K335" s="333">
        <f>K336+K340</f>
        <v>470000</v>
      </c>
      <c r="L335" s="313">
        <f t="shared" si="61"/>
        <v>0</v>
      </c>
      <c r="M335" s="314">
        <f t="shared" si="63"/>
        <v>100</v>
      </c>
      <c r="N335" s="314">
        <f t="shared" si="64"/>
        <v>100</v>
      </c>
    </row>
    <row r="336" spans="1:14" ht="62.5" customHeight="1" outlineLevel="3" x14ac:dyDescent="0.3">
      <c r="A336" s="213" t="s">
        <v>736</v>
      </c>
      <c r="B336" s="214" t="s">
        <v>455</v>
      </c>
      <c r="C336" s="214" t="s">
        <v>67</v>
      </c>
      <c r="D336" s="293" t="s">
        <v>371</v>
      </c>
      <c r="E336" s="293" t="s">
        <v>6</v>
      </c>
      <c r="F336" s="294">
        <v>439940.4</v>
      </c>
      <c r="G336" s="237">
        <f t="shared" ref="G336:K338" si="65">G337</f>
        <v>440000</v>
      </c>
      <c r="H336" s="215">
        <f t="shared" si="65"/>
        <v>0</v>
      </c>
      <c r="I336" s="215">
        <f t="shared" si="65"/>
        <v>440000</v>
      </c>
      <c r="J336" s="237">
        <f t="shared" si="65"/>
        <v>440000</v>
      </c>
      <c r="K336" s="330">
        <f t="shared" si="65"/>
        <v>440000</v>
      </c>
      <c r="L336" s="313">
        <f t="shared" si="61"/>
        <v>0</v>
      </c>
      <c r="M336" s="314">
        <f t="shared" si="63"/>
        <v>100</v>
      </c>
      <c r="N336" s="314">
        <f t="shared" si="64"/>
        <v>100</v>
      </c>
    </row>
    <row r="337" spans="1:14" ht="30.25" customHeight="1" outlineLevel="7" x14ac:dyDescent="0.3">
      <c r="A337" s="213" t="s">
        <v>240</v>
      </c>
      <c r="B337" s="214" t="s">
        <v>455</v>
      </c>
      <c r="C337" s="214" t="s">
        <v>67</v>
      </c>
      <c r="D337" s="293" t="s">
        <v>344</v>
      </c>
      <c r="E337" s="293" t="s">
        <v>6</v>
      </c>
      <c r="F337" s="294">
        <v>439940.4</v>
      </c>
      <c r="G337" s="237">
        <f t="shared" si="65"/>
        <v>440000</v>
      </c>
      <c r="H337" s="215">
        <f t="shared" si="65"/>
        <v>0</v>
      </c>
      <c r="I337" s="215">
        <f t="shared" si="65"/>
        <v>440000</v>
      </c>
      <c r="J337" s="237">
        <f t="shared" si="65"/>
        <v>440000</v>
      </c>
      <c r="K337" s="330">
        <f t="shared" si="65"/>
        <v>440000</v>
      </c>
      <c r="L337" s="313">
        <f t="shared" si="61"/>
        <v>0</v>
      </c>
      <c r="M337" s="314">
        <f t="shared" si="63"/>
        <v>100</v>
      </c>
      <c r="N337" s="314">
        <f t="shared" si="64"/>
        <v>100</v>
      </c>
    </row>
    <row r="338" spans="1:14" ht="25.5" customHeight="1" outlineLevel="5" x14ac:dyDescent="0.3">
      <c r="A338" s="213" t="s">
        <v>15</v>
      </c>
      <c r="B338" s="214" t="s">
        <v>455</v>
      </c>
      <c r="C338" s="214" t="s">
        <v>67</v>
      </c>
      <c r="D338" s="293" t="s">
        <v>344</v>
      </c>
      <c r="E338" s="293" t="s">
        <v>16</v>
      </c>
      <c r="F338" s="294">
        <v>439940.4</v>
      </c>
      <c r="G338" s="237">
        <f t="shared" si="65"/>
        <v>440000</v>
      </c>
      <c r="H338" s="215">
        <v>0</v>
      </c>
      <c r="I338" s="215">
        <f t="shared" si="65"/>
        <v>440000</v>
      </c>
      <c r="J338" s="237">
        <f t="shared" si="65"/>
        <v>440000</v>
      </c>
      <c r="K338" s="330">
        <f t="shared" si="65"/>
        <v>440000</v>
      </c>
      <c r="L338" s="313">
        <f t="shared" si="61"/>
        <v>0</v>
      </c>
      <c r="M338" s="314">
        <f t="shared" si="63"/>
        <v>100</v>
      </c>
      <c r="N338" s="314">
        <f t="shared" si="64"/>
        <v>100</v>
      </c>
    </row>
    <row r="339" spans="1:14" ht="34" outlineLevel="6" x14ac:dyDescent="0.3">
      <c r="A339" s="213" t="s">
        <v>17</v>
      </c>
      <c r="B339" s="214" t="s">
        <v>455</v>
      </c>
      <c r="C339" s="214" t="s">
        <v>67</v>
      </c>
      <c r="D339" s="293" t="s">
        <v>344</v>
      </c>
      <c r="E339" s="293" t="s">
        <v>18</v>
      </c>
      <c r="F339" s="294">
        <v>439940.4</v>
      </c>
      <c r="G339" s="237">
        <v>440000</v>
      </c>
      <c r="H339" s="215">
        <v>0</v>
      </c>
      <c r="I339" s="215">
        <f>'[2]прил 12'!F331</f>
        <v>440000</v>
      </c>
      <c r="J339" s="238">
        <v>440000</v>
      </c>
      <c r="K339" s="331">
        <v>440000</v>
      </c>
      <c r="L339" s="313">
        <f t="shared" si="61"/>
        <v>0</v>
      </c>
      <c r="M339" s="314">
        <f t="shared" si="63"/>
        <v>100</v>
      </c>
      <c r="N339" s="314">
        <f t="shared" si="64"/>
        <v>100</v>
      </c>
    </row>
    <row r="340" spans="1:14" ht="44.5" customHeight="1" outlineLevel="7" x14ac:dyDescent="0.3">
      <c r="A340" s="213" t="s">
        <v>345</v>
      </c>
      <c r="B340" s="214" t="s">
        <v>455</v>
      </c>
      <c r="C340" s="214" t="s">
        <v>67</v>
      </c>
      <c r="D340" s="293" t="s">
        <v>242</v>
      </c>
      <c r="E340" s="293" t="s">
        <v>6</v>
      </c>
      <c r="F340" s="294">
        <v>29995</v>
      </c>
      <c r="G340" s="238">
        <f t="shared" ref="G340:K342" si="66">G341</f>
        <v>30000</v>
      </c>
      <c r="H340" s="217">
        <f t="shared" si="66"/>
        <v>8200</v>
      </c>
      <c r="I340" s="217">
        <f t="shared" si="66"/>
        <v>30000</v>
      </c>
      <c r="J340" s="238">
        <f t="shared" si="66"/>
        <v>30000</v>
      </c>
      <c r="K340" s="331">
        <f t="shared" si="66"/>
        <v>30000</v>
      </c>
      <c r="L340" s="313">
        <f t="shared" si="61"/>
        <v>0</v>
      </c>
      <c r="M340" s="314">
        <f t="shared" si="63"/>
        <v>100</v>
      </c>
      <c r="N340" s="314">
        <f t="shared" si="64"/>
        <v>100</v>
      </c>
    </row>
    <row r="341" spans="1:14" s="224" customFormat="1" ht="27" customHeight="1" outlineLevel="3" x14ac:dyDescent="0.3">
      <c r="A341" s="213" t="s">
        <v>68</v>
      </c>
      <c r="B341" s="214" t="s">
        <v>455</v>
      </c>
      <c r="C341" s="214" t="s">
        <v>67</v>
      </c>
      <c r="D341" s="293" t="s">
        <v>241</v>
      </c>
      <c r="E341" s="293" t="s">
        <v>6</v>
      </c>
      <c r="F341" s="294">
        <v>29995</v>
      </c>
      <c r="G341" s="237">
        <f t="shared" si="66"/>
        <v>30000</v>
      </c>
      <c r="H341" s="215">
        <f t="shared" si="66"/>
        <v>8200</v>
      </c>
      <c r="I341" s="215">
        <f t="shared" si="66"/>
        <v>30000</v>
      </c>
      <c r="J341" s="237">
        <f t="shared" si="66"/>
        <v>30000</v>
      </c>
      <c r="K341" s="330">
        <f t="shared" si="66"/>
        <v>30000</v>
      </c>
      <c r="L341" s="313">
        <f t="shared" si="61"/>
        <v>0</v>
      </c>
      <c r="M341" s="314">
        <f t="shared" si="63"/>
        <v>100</v>
      </c>
      <c r="N341" s="314">
        <f t="shared" si="64"/>
        <v>100</v>
      </c>
    </row>
    <row r="342" spans="1:14" ht="34" outlineLevel="5" x14ac:dyDescent="0.3">
      <c r="A342" s="213" t="s">
        <v>15</v>
      </c>
      <c r="B342" s="214" t="s">
        <v>455</v>
      </c>
      <c r="C342" s="214" t="s">
        <v>67</v>
      </c>
      <c r="D342" s="293" t="s">
        <v>241</v>
      </c>
      <c r="E342" s="293" t="s">
        <v>16</v>
      </c>
      <c r="F342" s="294">
        <v>29995</v>
      </c>
      <c r="G342" s="237">
        <f t="shared" si="66"/>
        <v>30000</v>
      </c>
      <c r="H342" s="169">
        <v>8200</v>
      </c>
      <c r="I342" s="215">
        <f t="shared" si="66"/>
        <v>30000</v>
      </c>
      <c r="J342" s="237">
        <f t="shared" si="66"/>
        <v>30000</v>
      </c>
      <c r="K342" s="330">
        <f t="shared" si="66"/>
        <v>30000</v>
      </c>
      <c r="L342" s="313">
        <f t="shared" si="61"/>
        <v>0</v>
      </c>
      <c r="M342" s="314">
        <f t="shared" si="63"/>
        <v>100</v>
      </c>
      <c r="N342" s="314">
        <f t="shared" si="64"/>
        <v>100</v>
      </c>
    </row>
    <row r="343" spans="1:14" ht="34" outlineLevel="5" x14ac:dyDescent="0.3">
      <c r="A343" s="213" t="s">
        <v>17</v>
      </c>
      <c r="B343" s="214" t="s">
        <v>455</v>
      </c>
      <c r="C343" s="214" t="s">
        <v>67</v>
      </c>
      <c r="D343" s="293" t="s">
        <v>241</v>
      </c>
      <c r="E343" s="293" t="s">
        <v>18</v>
      </c>
      <c r="F343" s="294">
        <v>29995</v>
      </c>
      <c r="G343" s="237">
        <v>30000</v>
      </c>
      <c r="H343" s="169">
        <v>8200</v>
      </c>
      <c r="I343" s="215">
        <f>'[2]прил 12'!F335</f>
        <v>30000</v>
      </c>
      <c r="J343" s="238">
        <v>30000</v>
      </c>
      <c r="K343" s="331">
        <v>30000</v>
      </c>
      <c r="L343" s="313">
        <f t="shared" si="61"/>
        <v>0</v>
      </c>
      <c r="M343" s="314">
        <f t="shared" si="63"/>
        <v>100</v>
      </c>
      <c r="N343" s="314">
        <f t="shared" si="64"/>
        <v>100</v>
      </c>
    </row>
    <row r="344" spans="1:14" ht="67.95" outlineLevel="6" x14ac:dyDescent="0.3">
      <c r="A344" s="219" t="s">
        <v>734</v>
      </c>
      <c r="B344" s="220" t="s">
        <v>455</v>
      </c>
      <c r="C344" s="220" t="s">
        <v>67</v>
      </c>
      <c r="D344" s="295" t="s">
        <v>346</v>
      </c>
      <c r="E344" s="295" t="s">
        <v>6</v>
      </c>
      <c r="F344" s="296">
        <v>44814</v>
      </c>
      <c r="G344" s="273">
        <f>G345</f>
        <v>85000</v>
      </c>
      <c r="H344" s="221">
        <f>H345</f>
        <v>45000</v>
      </c>
      <c r="I344" s="221">
        <f>I345</f>
        <v>45000</v>
      </c>
      <c r="J344" s="273">
        <f>J345</f>
        <v>45000</v>
      </c>
      <c r="K344" s="333">
        <f>K345</f>
        <v>45000</v>
      </c>
      <c r="L344" s="313">
        <f t="shared" si="61"/>
        <v>0</v>
      </c>
      <c r="M344" s="314">
        <f t="shared" si="63"/>
        <v>52.941176470588232</v>
      </c>
      <c r="N344" s="314">
        <f t="shared" si="64"/>
        <v>52.941176470588239</v>
      </c>
    </row>
    <row r="345" spans="1:14" ht="41.3" customHeight="1" outlineLevel="7" x14ac:dyDescent="0.3">
      <c r="A345" s="213" t="s">
        <v>347</v>
      </c>
      <c r="B345" s="214" t="s">
        <v>455</v>
      </c>
      <c r="C345" s="214" t="s">
        <v>67</v>
      </c>
      <c r="D345" s="293" t="s">
        <v>348</v>
      </c>
      <c r="E345" s="293" t="s">
        <v>6</v>
      </c>
      <c r="F345" s="294">
        <v>44814</v>
      </c>
      <c r="G345" s="237">
        <f>G347</f>
        <v>85000</v>
      </c>
      <c r="H345" s="215">
        <f>H347</f>
        <v>45000</v>
      </c>
      <c r="I345" s="215">
        <f t="shared" ref="I345:K347" si="67">I346</f>
        <v>45000</v>
      </c>
      <c r="J345" s="237">
        <f t="shared" si="67"/>
        <v>45000</v>
      </c>
      <c r="K345" s="330">
        <f t="shared" si="67"/>
        <v>45000</v>
      </c>
      <c r="L345" s="313">
        <f t="shared" si="61"/>
        <v>0</v>
      </c>
      <c r="M345" s="314">
        <f t="shared" si="63"/>
        <v>52.941176470588232</v>
      </c>
      <c r="N345" s="314">
        <f t="shared" si="64"/>
        <v>52.941176470588239</v>
      </c>
    </row>
    <row r="346" spans="1:14" s="224" customFormat="1" outlineLevel="1" x14ac:dyDescent="0.3">
      <c r="A346" s="213" t="s">
        <v>349</v>
      </c>
      <c r="B346" s="214" t="s">
        <v>455</v>
      </c>
      <c r="C346" s="214" t="s">
        <v>67</v>
      </c>
      <c r="D346" s="293" t="s">
        <v>350</v>
      </c>
      <c r="E346" s="293" t="s">
        <v>6</v>
      </c>
      <c r="F346" s="294">
        <v>44814</v>
      </c>
      <c r="G346" s="237">
        <f>G347</f>
        <v>85000</v>
      </c>
      <c r="H346" s="215">
        <f>H347</f>
        <v>45000</v>
      </c>
      <c r="I346" s="215">
        <f t="shared" si="67"/>
        <v>45000</v>
      </c>
      <c r="J346" s="237">
        <f t="shared" si="67"/>
        <v>45000</v>
      </c>
      <c r="K346" s="330">
        <f t="shared" si="67"/>
        <v>45000</v>
      </c>
      <c r="L346" s="313">
        <f t="shared" si="61"/>
        <v>0</v>
      </c>
      <c r="M346" s="314">
        <f t="shared" si="63"/>
        <v>52.941176470588232</v>
      </c>
      <c r="N346" s="314">
        <f t="shared" si="64"/>
        <v>52.941176470588239</v>
      </c>
    </row>
    <row r="347" spans="1:14" ht="34" outlineLevel="2" x14ac:dyDescent="0.3">
      <c r="A347" s="213" t="s">
        <v>15</v>
      </c>
      <c r="B347" s="214" t="s">
        <v>455</v>
      </c>
      <c r="C347" s="214" t="s">
        <v>67</v>
      </c>
      <c r="D347" s="293" t="s">
        <v>350</v>
      </c>
      <c r="E347" s="293" t="s">
        <v>16</v>
      </c>
      <c r="F347" s="294">
        <v>44814</v>
      </c>
      <c r="G347" s="237">
        <f>G348</f>
        <v>85000</v>
      </c>
      <c r="H347" s="170">
        <v>45000</v>
      </c>
      <c r="I347" s="215">
        <f t="shared" si="67"/>
        <v>45000</v>
      </c>
      <c r="J347" s="237">
        <f t="shared" si="67"/>
        <v>45000</v>
      </c>
      <c r="K347" s="330">
        <f t="shared" si="67"/>
        <v>45000</v>
      </c>
      <c r="L347" s="313">
        <f t="shared" si="61"/>
        <v>0</v>
      </c>
      <c r="M347" s="314">
        <f t="shared" si="63"/>
        <v>52.941176470588232</v>
      </c>
      <c r="N347" s="314">
        <f t="shared" si="64"/>
        <v>52.941176470588239</v>
      </c>
    </row>
    <row r="348" spans="1:14" s="224" customFormat="1" ht="34" outlineLevel="3" x14ac:dyDescent="0.3">
      <c r="A348" s="213" t="s">
        <v>17</v>
      </c>
      <c r="B348" s="214" t="s">
        <v>455</v>
      </c>
      <c r="C348" s="214" t="s">
        <v>67</v>
      </c>
      <c r="D348" s="293" t="s">
        <v>350</v>
      </c>
      <c r="E348" s="293" t="s">
        <v>18</v>
      </c>
      <c r="F348" s="294">
        <v>44814</v>
      </c>
      <c r="G348" s="238">
        <f>45000+40000</f>
        <v>85000</v>
      </c>
      <c r="H348" s="170">
        <v>45000</v>
      </c>
      <c r="I348" s="217">
        <f>'[2]прил 12'!F340</f>
        <v>45000</v>
      </c>
      <c r="J348" s="272">
        <v>45000</v>
      </c>
      <c r="K348" s="332">
        <v>45000</v>
      </c>
      <c r="L348" s="313">
        <f t="shared" si="61"/>
        <v>0</v>
      </c>
      <c r="M348" s="314">
        <f t="shared" si="63"/>
        <v>52.941176470588232</v>
      </c>
      <c r="N348" s="314">
        <f t="shared" si="64"/>
        <v>52.941176470588239</v>
      </c>
    </row>
    <row r="349" spans="1:14" outlineLevel="3" x14ac:dyDescent="0.3">
      <c r="A349" s="219" t="s">
        <v>69</v>
      </c>
      <c r="B349" s="220" t="s">
        <v>455</v>
      </c>
      <c r="C349" s="220" t="s">
        <v>70</v>
      </c>
      <c r="D349" s="295" t="s">
        <v>126</v>
      </c>
      <c r="E349" s="295" t="s">
        <v>6</v>
      </c>
      <c r="F349" s="294">
        <v>16476920</v>
      </c>
      <c r="G349" s="273">
        <f t="shared" ref="G349:K354" si="68">G350</f>
        <v>19483462.579999998</v>
      </c>
      <c r="H349" s="221">
        <f t="shared" si="68"/>
        <v>14464275.869999999</v>
      </c>
      <c r="I349" s="221">
        <f t="shared" si="68"/>
        <v>23510454.439999998</v>
      </c>
      <c r="J349" s="273">
        <f t="shared" si="68"/>
        <v>25296418.239999998</v>
      </c>
      <c r="K349" s="333">
        <f t="shared" si="68"/>
        <v>23993033.129999999</v>
      </c>
      <c r="L349" s="313">
        <f t="shared" si="61"/>
        <v>-1303385.1099999994</v>
      </c>
      <c r="M349" s="314">
        <f t="shared" si="63"/>
        <v>129.83533155942757</v>
      </c>
      <c r="N349" s="314">
        <f t="shared" si="64"/>
        <v>123.14563200192725</v>
      </c>
    </row>
    <row r="350" spans="1:14" outlineLevel="5" x14ac:dyDescent="0.3">
      <c r="A350" s="213" t="s">
        <v>251</v>
      </c>
      <c r="B350" s="214" t="s">
        <v>455</v>
      </c>
      <c r="C350" s="214" t="s">
        <v>250</v>
      </c>
      <c r="D350" s="293" t="s">
        <v>126</v>
      </c>
      <c r="E350" s="293" t="s">
        <v>6</v>
      </c>
      <c r="F350" s="294">
        <v>16476920</v>
      </c>
      <c r="G350" s="237">
        <f t="shared" si="68"/>
        <v>19483462.579999998</v>
      </c>
      <c r="H350" s="215">
        <f t="shared" si="68"/>
        <v>14464275.869999999</v>
      </c>
      <c r="I350" s="215">
        <f t="shared" si="68"/>
        <v>23510454.439999998</v>
      </c>
      <c r="J350" s="237">
        <f t="shared" si="68"/>
        <v>25296418.239999998</v>
      </c>
      <c r="K350" s="330">
        <f t="shared" si="68"/>
        <v>23993033.129999999</v>
      </c>
      <c r="L350" s="313">
        <f t="shared" si="61"/>
        <v>-1303385.1099999994</v>
      </c>
      <c r="M350" s="314">
        <f t="shared" si="63"/>
        <v>129.83533155942757</v>
      </c>
      <c r="N350" s="314">
        <f t="shared" si="64"/>
        <v>123.14563200192725</v>
      </c>
    </row>
    <row r="351" spans="1:14" ht="50.95" outlineLevel="6" x14ac:dyDescent="0.3">
      <c r="A351" s="219" t="s">
        <v>733</v>
      </c>
      <c r="B351" s="220" t="s">
        <v>455</v>
      </c>
      <c r="C351" s="220" t="s">
        <v>250</v>
      </c>
      <c r="D351" s="295" t="s">
        <v>136</v>
      </c>
      <c r="E351" s="295" t="s">
        <v>6</v>
      </c>
      <c r="F351" s="296">
        <v>16476920</v>
      </c>
      <c r="G351" s="273">
        <f>G352+G359</f>
        <v>19483462.579999998</v>
      </c>
      <c r="H351" s="221">
        <f>H352+H359</f>
        <v>14464275.869999999</v>
      </c>
      <c r="I351" s="221">
        <f>I352+I359+I366</f>
        <v>23510454.439999998</v>
      </c>
      <c r="J351" s="273">
        <f>J352+J359+J366</f>
        <v>25296418.239999998</v>
      </c>
      <c r="K351" s="333">
        <f>K352+K359+K366</f>
        <v>23993033.129999999</v>
      </c>
      <c r="L351" s="313">
        <f t="shared" si="61"/>
        <v>-1303385.1099999994</v>
      </c>
      <c r="M351" s="314">
        <f t="shared" si="63"/>
        <v>129.83533155942757</v>
      </c>
      <c r="N351" s="314">
        <f t="shared" si="64"/>
        <v>123.14563200192725</v>
      </c>
    </row>
    <row r="352" spans="1:14" ht="34" outlineLevel="7" x14ac:dyDescent="0.3">
      <c r="A352" s="213" t="s">
        <v>351</v>
      </c>
      <c r="B352" s="214" t="s">
        <v>455</v>
      </c>
      <c r="C352" s="214" t="s">
        <v>250</v>
      </c>
      <c r="D352" s="293" t="s">
        <v>225</v>
      </c>
      <c r="E352" s="293" t="s">
        <v>6</v>
      </c>
      <c r="F352" s="294">
        <v>16476920</v>
      </c>
      <c r="G352" s="237">
        <f>G353+G356+G363</f>
        <v>19483462.579999998</v>
      </c>
      <c r="H352" s="215">
        <f>H353+H356+H363</f>
        <v>14464275.869999999</v>
      </c>
      <c r="I352" s="215">
        <f>I353+I356+I363</f>
        <v>19052341.359999999</v>
      </c>
      <c r="J352" s="237">
        <f>J353+J356+J363</f>
        <v>20792637.34</v>
      </c>
      <c r="K352" s="330">
        <f>K353+K356+K363</f>
        <v>19926134.469999999</v>
      </c>
      <c r="L352" s="313">
        <f t="shared" si="61"/>
        <v>-866502.87000000104</v>
      </c>
      <c r="M352" s="314">
        <f t="shared" si="63"/>
        <v>106.71941527141016</v>
      </c>
      <c r="N352" s="314">
        <f t="shared" si="64"/>
        <v>102.27203911102747</v>
      </c>
    </row>
    <row r="353" spans="1:14" ht="50.95" outlineLevel="7" x14ac:dyDescent="0.3">
      <c r="A353" s="213" t="s">
        <v>73</v>
      </c>
      <c r="B353" s="214" t="s">
        <v>455</v>
      </c>
      <c r="C353" s="214" t="s">
        <v>250</v>
      </c>
      <c r="D353" s="293" t="s">
        <v>137</v>
      </c>
      <c r="E353" s="293" t="s">
        <v>6</v>
      </c>
      <c r="F353" s="294">
        <v>16476920</v>
      </c>
      <c r="G353" s="237">
        <f t="shared" si="68"/>
        <v>18193102.579999998</v>
      </c>
      <c r="H353" s="215">
        <f t="shared" si="68"/>
        <v>13952527.77</v>
      </c>
      <c r="I353" s="215">
        <f t="shared" si="68"/>
        <v>18953228.359999999</v>
      </c>
      <c r="J353" s="237">
        <f t="shared" si="68"/>
        <v>20693524.34</v>
      </c>
      <c r="K353" s="330">
        <f t="shared" si="68"/>
        <v>19827021.469999999</v>
      </c>
      <c r="L353" s="313">
        <f t="shared" si="61"/>
        <v>-866502.87000000104</v>
      </c>
      <c r="M353" s="314">
        <f t="shared" si="63"/>
        <v>113.74378970824229</v>
      </c>
      <c r="N353" s="314">
        <f t="shared" si="64"/>
        <v>108.980979922557</v>
      </c>
    </row>
    <row r="354" spans="1:14" ht="34" outlineLevel="7" x14ac:dyDescent="0.3">
      <c r="A354" s="213" t="s">
        <v>37</v>
      </c>
      <c r="B354" s="214" t="s">
        <v>455</v>
      </c>
      <c r="C354" s="214" t="s">
        <v>250</v>
      </c>
      <c r="D354" s="293" t="s">
        <v>137</v>
      </c>
      <c r="E354" s="293" t="s">
        <v>38</v>
      </c>
      <c r="F354" s="294">
        <v>16476920</v>
      </c>
      <c r="G354" s="237">
        <f t="shared" si="68"/>
        <v>18193102.579999998</v>
      </c>
      <c r="H354" s="169">
        <v>13952527.77</v>
      </c>
      <c r="I354" s="215">
        <f t="shared" si="68"/>
        <v>18953228.359999999</v>
      </c>
      <c r="J354" s="237">
        <f t="shared" si="68"/>
        <v>20693524.34</v>
      </c>
      <c r="K354" s="330">
        <f t="shared" si="68"/>
        <v>19827021.469999999</v>
      </c>
      <c r="L354" s="313">
        <f t="shared" si="61"/>
        <v>-866502.87000000104</v>
      </c>
      <c r="M354" s="314">
        <f t="shared" si="63"/>
        <v>113.74378970824229</v>
      </c>
      <c r="N354" s="314">
        <f t="shared" si="64"/>
        <v>108.980979922557</v>
      </c>
    </row>
    <row r="355" spans="1:14" outlineLevel="7" x14ac:dyDescent="0.3">
      <c r="A355" s="213" t="s">
        <v>74</v>
      </c>
      <c r="B355" s="214" t="s">
        <v>455</v>
      </c>
      <c r="C355" s="214" t="s">
        <v>250</v>
      </c>
      <c r="D355" s="293" t="s">
        <v>137</v>
      </c>
      <c r="E355" s="293" t="s">
        <v>75</v>
      </c>
      <c r="F355" s="294">
        <v>16476920</v>
      </c>
      <c r="G355" s="237">
        <f>[2]потребность!I348</f>
        <v>18193102.579999998</v>
      </c>
      <c r="H355" s="169">
        <v>13952527.77</v>
      </c>
      <c r="I355" s="215">
        <f>'[2]прил 12'!F347</f>
        <v>18953228.359999999</v>
      </c>
      <c r="J355" s="238">
        <v>20693524.34</v>
      </c>
      <c r="K355" s="331">
        <f>20693524.34-310402.87-556100</f>
        <v>19827021.469999999</v>
      </c>
      <c r="L355" s="313">
        <f t="shared" si="61"/>
        <v>-866502.87000000104</v>
      </c>
      <c r="M355" s="314">
        <f t="shared" si="63"/>
        <v>113.74378970824229</v>
      </c>
      <c r="N355" s="314">
        <f t="shared" si="64"/>
        <v>108.980979922557</v>
      </c>
    </row>
    <row r="356" spans="1:14" ht="77.95" customHeight="1" outlineLevel="7" x14ac:dyDescent="0.3">
      <c r="A356" s="213" t="s">
        <v>641</v>
      </c>
      <c r="B356" s="214" t="s">
        <v>455</v>
      </c>
      <c r="C356" s="214" t="s">
        <v>250</v>
      </c>
      <c r="D356" s="293" t="s">
        <v>642</v>
      </c>
      <c r="E356" s="293" t="s">
        <v>6</v>
      </c>
      <c r="F356" s="293" t="s">
        <v>838</v>
      </c>
      <c r="G356" s="237">
        <f t="shared" ref="G356:K357" si="69">G357</f>
        <v>98360</v>
      </c>
      <c r="H356" s="215">
        <f t="shared" si="69"/>
        <v>0</v>
      </c>
      <c r="I356" s="215">
        <f t="shared" si="69"/>
        <v>99113</v>
      </c>
      <c r="J356" s="237">
        <f t="shared" si="69"/>
        <v>99113</v>
      </c>
      <c r="K356" s="330">
        <f t="shared" si="69"/>
        <v>99113</v>
      </c>
      <c r="L356" s="313">
        <f t="shared" si="61"/>
        <v>0</v>
      </c>
      <c r="M356" s="314">
        <f t="shared" si="63"/>
        <v>100.76555510370069</v>
      </c>
      <c r="N356" s="314">
        <f t="shared" si="64"/>
        <v>100.76555510370069</v>
      </c>
    </row>
    <row r="357" spans="1:14" s="224" customFormat="1" ht="34" outlineLevel="1" x14ac:dyDescent="0.3">
      <c r="A357" s="213" t="s">
        <v>37</v>
      </c>
      <c r="B357" s="214" t="s">
        <v>455</v>
      </c>
      <c r="C357" s="214" t="s">
        <v>250</v>
      </c>
      <c r="D357" s="293" t="s">
        <v>642</v>
      </c>
      <c r="E357" s="293" t="s">
        <v>38</v>
      </c>
      <c r="F357" s="293" t="s">
        <v>838</v>
      </c>
      <c r="G357" s="237">
        <f t="shared" si="69"/>
        <v>98360</v>
      </c>
      <c r="H357" s="215">
        <v>0</v>
      </c>
      <c r="I357" s="215">
        <f t="shared" si="69"/>
        <v>99113</v>
      </c>
      <c r="J357" s="237">
        <f t="shared" si="69"/>
        <v>99113</v>
      </c>
      <c r="K357" s="330">
        <f t="shared" si="69"/>
        <v>99113</v>
      </c>
      <c r="L357" s="313">
        <f t="shared" si="61"/>
        <v>0</v>
      </c>
      <c r="M357" s="314">
        <f t="shared" si="63"/>
        <v>100.76555510370069</v>
      </c>
      <c r="N357" s="314">
        <f t="shared" si="64"/>
        <v>100.76555510370069</v>
      </c>
    </row>
    <row r="358" spans="1:14" ht="16.5" customHeight="1" outlineLevel="2" x14ac:dyDescent="0.3">
      <c r="A358" s="213" t="s">
        <v>74</v>
      </c>
      <c r="B358" s="214" t="s">
        <v>455</v>
      </c>
      <c r="C358" s="214" t="s">
        <v>250</v>
      </c>
      <c r="D358" s="293" t="s">
        <v>642</v>
      </c>
      <c r="E358" s="293" t="s">
        <v>75</v>
      </c>
      <c r="F358" s="293" t="s">
        <v>838</v>
      </c>
      <c r="G358" s="237">
        <v>98360</v>
      </c>
      <c r="H358" s="215">
        <v>0</v>
      </c>
      <c r="I358" s="215">
        <v>99113</v>
      </c>
      <c r="J358" s="238">
        <v>99113</v>
      </c>
      <c r="K358" s="331">
        <v>99113</v>
      </c>
      <c r="L358" s="313">
        <f t="shared" si="61"/>
        <v>0</v>
      </c>
      <c r="M358" s="314">
        <f t="shared" si="63"/>
        <v>100.76555510370069</v>
      </c>
      <c r="N358" s="314">
        <f t="shared" si="64"/>
        <v>100.76555510370069</v>
      </c>
    </row>
    <row r="359" spans="1:14" s="224" customFormat="1" ht="31.75" customHeight="1" outlineLevel="3" x14ac:dyDescent="0.3">
      <c r="A359" s="233" t="s">
        <v>541</v>
      </c>
      <c r="B359" s="220" t="s">
        <v>455</v>
      </c>
      <c r="C359" s="220" t="s">
        <v>250</v>
      </c>
      <c r="D359" s="293" t="s">
        <v>855</v>
      </c>
      <c r="E359" s="295" t="s">
        <v>6</v>
      </c>
      <c r="F359" s="295"/>
      <c r="G359" s="237">
        <f>G360</f>
        <v>0</v>
      </c>
      <c r="H359" s="215">
        <v>0</v>
      </c>
      <c r="I359" s="215">
        <v>0</v>
      </c>
      <c r="J359" s="272"/>
      <c r="K359" s="332"/>
      <c r="L359" s="313">
        <f t="shared" si="61"/>
        <v>0</v>
      </c>
      <c r="M359" s="314"/>
      <c r="N359" s="314"/>
    </row>
    <row r="360" spans="1:14" ht="93.75" customHeight="1" outlineLevel="3" x14ac:dyDescent="0.3">
      <c r="A360" s="213" t="s">
        <v>856</v>
      </c>
      <c r="B360" s="214" t="s">
        <v>455</v>
      </c>
      <c r="C360" s="214" t="s">
        <v>250</v>
      </c>
      <c r="D360" s="293" t="s">
        <v>855</v>
      </c>
      <c r="E360" s="293" t="s">
        <v>6</v>
      </c>
      <c r="F360" s="293"/>
      <c r="G360" s="237">
        <f>G361</f>
        <v>0</v>
      </c>
      <c r="H360" s="215">
        <v>0</v>
      </c>
      <c r="I360" s="215">
        <v>0</v>
      </c>
      <c r="J360" s="238"/>
      <c r="K360" s="331"/>
      <c r="L360" s="313">
        <f t="shared" si="61"/>
        <v>0</v>
      </c>
      <c r="M360" s="314"/>
      <c r="N360" s="314"/>
    </row>
    <row r="361" spans="1:14" ht="34" outlineLevel="7" x14ac:dyDescent="0.3">
      <c r="A361" s="213" t="s">
        <v>37</v>
      </c>
      <c r="B361" s="214" t="s">
        <v>455</v>
      </c>
      <c r="C361" s="214" t="s">
        <v>250</v>
      </c>
      <c r="D361" s="293" t="s">
        <v>855</v>
      </c>
      <c r="E361" s="293" t="s">
        <v>38</v>
      </c>
      <c r="F361" s="293"/>
      <c r="G361" s="237">
        <f>G362</f>
        <v>0</v>
      </c>
      <c r="H361" s="215">
        <v>0</v>
      </c>
      <c r="I361" s="215">
        <v>0</v>
      </c>
      <c r="J361" s="238"/>
      <c r="K361" s="331"/>
      <c r="L361" s="313">
        <f t="shared" si="61"/>
        <v>0</v>
      </c>
      <c r="M361" s="314"/>
      <c r="N361" s="314"/>
    </row>
    <row r="362" spans="1:14" outlineLevel="7" x14ac:dyDescent="0.3">
      <c r="A362" s="213" t="s">
        <v>74</v>
      </c>
      <c r="B362" s="214" t="s">
        <v>455</v>
      </c>
      <c r="C362" s="214" t="s">
        <v>250</v>
      </c>
      <c r="D362" s="293" t="s">
        <v>475</v>
      </c>
      <c r="E362" s="293" t="s">
        <v>75</v>
      </c>
      <c r="F362" s="293" t="s">
        <v>838</v>
      </c>
      <c r="G362" s="237">
        <v>0</v>
      </c>
      <c r="H362" s="215">
        <v>0</v>
      </c>
      <c r="I362" s="215">
        <v>0</v>
      </c>
      <c r="J362" s="238"/>
      <c r="K362" s="331"/>
      <c r="L362" s="313">
        <f t="shared" si="61"/>
        <v>0</v>
      </c>
      <c r="M362" s="314"/>
      <c r="N362" s="314"/>
    </row>
    <row r="363" spans="1:14" ht="50.95" outlineLevel="7" x14ac:dyDescent="0.3">
      <c r="A363" s="235" t="s">
        <v>805</v>
      </c>
      <c r="B363" s="214" t="s">
        <v>455</v>
      </c>
      <c r="C363" s="214" t="s">
        <v>250</v>
      </c>
      <c r="D363" s="319">
        <v>292270100</v>
      </c>
      <c r="E363" s="293" t="s">
        <v>6</v>
      </c>
      <c r="F363" s="293" t="s">
        <v>838</v>
      </c>
      <c r="G363" s="237">
        <f>G364</f>
        <v>1192000</v>
      </c>
      <c r="H363" s="215">
        <f>H364</f>
        <v>511748.1</v>
      </c>
      <c r="I363" s="215">
        <v>0</v>
      </c>
      <c r="J363" s="237">
        <v>0</v>
      </c>
      <c r="K363" s="330">
        <v>0</v>
      </c>
      <c r="L363" s="313">
        <f t="shared" si="61"/>
        <v>0</v>
      </c>
      <c r="M363" s="314">
        <f t="shared" si="63"/>
        <v>0</v>
      </c>
      <c r="N363" s="314">
        <f t="shared" si="64"/>
        <v>0</v>
      </c>
    </row>
    <row r="364" spans="1:14" ht="34" outlineLevel="7" x14ac:dyDescent="0.3">
      <c r="A364" s="213" t="s">
        <v>37</v>
      </c>
      <c r="B364" s="214" t="s">
        <v>455</v>
      </c>
      <c r="C364" s="214" t="s">
        <v>250</v>
      </c>
      <c r="D364" s="319">
        <v>292270100</v>
      </c>
      <c r="E364" s="293" t="s">
        <v>38</v>
      </c>
      <c r="F364" s="293" t="s">
        <v>838</v>
      </c>
      <c r="G364" s="237">
        <f>G365</f>
        <v>1192000</v>
      </c>
      <c r="H364" s="169">
        <v>511748.1</v>
      </c>
      <c r="I364" s="215">
        <v>0</v>
      </c>
      <c r="J364" s="237">
        <v>0</v>
      </c>
      <c r="K364" s="330">
        <v>0</v>
      </c>
      <c r="L364" s="313">
        <f t="shared" si="61"/>
        <v>0</v>
      </c>
      <c r="M364" s="314">
        <f t="shared" si="63"/>
        <v>0</v>
      </c>
      <c r="N364" s="314">
        <f t="shared" si="64"/>
        <v>0</v>
      </c>
    </row>
    <row r="365" spans="1:14" outlineLevel="7" x14ac:dyDescent="0.3">
      <c r="A365" s="213" t="s">
        <v>74</v>
      </c>
      <c r="B365" s="214" t="s">
        <v>455</v>
      </c>
      <c r="C365" s="214" t="s">
        <v>250</v>
      </c>
      <c r="D365" s="319">
        <v>292270100</v>
      </c>
      <c r="E365" s="293" t="s">
        <v>75</v>
      </c>
      <c r="F365" s="293" t="s">
        <v>838</v>
      </c>
      <c r="G365" s="237">
        <f>500000+300000+392000</f>
        <v>1192000</v>
      </c>
      <c r="H365" s="169">
        <v>511748.1</v>
      </c>
      <c r="I365" s="215">
        <v>0</v>
      </c>
      <c r="J365" s="237">
        <v>0</v>
      </c>
      <c r="K365" s="330">
        <v>0</v>
      </c>
      <c r="L365" s="313">
        <f t="shared" si="61"/>
        <v>0</v>
      </c>
      <c r="M365" s="314">
        <f t="shared" si="63"/>
        <v>0</v>
      </c>
      <c r="N365" s="314">
        <f t="shared" si="64"/>
        <v>0</v>
      </c>
    </row>
    <row r="366" spans="1:14" outlineLevel="7" x14ac:dyDescent="0.3">
      <c r="A366" s="233" t="s">
        <v>541</v>
      </c>
      <c r="B366" s="220" t="s">
        <v>455</v>
      </c>
      <c r="C366" s="220" t="s">
        <v>250</v>
      </c>
      <c r="D366" s="295" t="s">
        <v>542</v>
      </c>
      <c r="E366" s="300" t="s">
        <v>6</v>
      </c>
      <c r="F366" s="300" t="s">
        <v>838</v>
      </c>
      <c r="G366" s="238">
        <v>0</v>
      </c>
      <c r="H366" s="217">
        <v>0</v>
      </c>
      <c r="I366" s="215">
        <f t="shared" ref="I366:K368" si="70">I367</f>
        <v>4458113.08</v>
      </c>
      <c r="J366" s="237">
        <f t="shared" si="70"/>
        <v>4503780.8999999994</v>
      </c>
      <c r="K366" s="330">
        <f t="shared" si="70"/>
        <v>4066898.66</v>
      </c>
      <c r="L366" s="313">
        <f t="shared" si="61"/>
        <v>-436882.23999999929</v>
      </c>
      <c r="M366" s="314"/>
      <c r="N366" s="314"/>
    </row>
    <row r="367" spans="1:14" ht="84.9" outlineLevel="7" x14ac:dyDescent="0.3">
      <c r="A367" s="213" t="s">
        <v>521</v>
      </c>
      <c r="B367" s="214" t="s">
        <v>455</v>
      </c>
      <c r="C367" s="214" t="s">
        <v>250</v>
      </c>
      <c r="D367" s="293" t="s">
        <v>543</v>
      </c>
      <c r="E367" s="301" t="s">
        <v>6</v>
      </c>
      <c r="F367" s="301" t="s">
        <v>838</v>
      </c>
      <c r="G367" s="238">
        <v>0</v>
      </c>
      <c r="H367" s="217">
        <v>0</v>
      </c>
      <c r="I367" s="215">
        <f t="shared" si="70"/>
        <v>4458113.08</v>
      </c>
      <c r="J367" s="237">
        <f t="shared" si="70"/>
        <v>4503780.8999999994</v>
      </c>
      <c r="K367" s="330">
        <f t="shared" si="70"/>
        <v>4066898.66</v>
      </c>
      <c r="L367" s="313">
        <f t="shared" si="61"/>
        <v>-436882.23999999929</v>
      </c>
      <c r="M367" s="314"/>
      <c r="N367" s="314"/>
    </row>
    <row r="368" spans="1:14" ht="34" outlineLevel="7" x14ac:dyDescent="0.3">
      <c r="A368" s="213" t="s">
        <v>37</v>
      </c>
      <c r="B368" s="214" t="s">
        <v>455</v>
      </c>
      <c r="C368" s="214" t="s">
        <v>250</v>
      </c>
      <c r="D368" s="293" t="s">
        <v>543</v>
      </c>
      <c r="E368" s="301" t="s">
        <v>38</v>
      </c>
      <c r="F368" s="301" t="s">
        <v>838</v>
      </c>
      <c r="G368" s="238">
        <v>0</v>
      </c>
      <c r="H368" s="217">
        <v>0</v>
      </c>
      <c r="I368" s="215">
        <f t="shared" si="70"/>
        <v>4458113.08</v>
      </c>
      <c r="J368" s="237">
        <f t="shared" si="70"/>
        <v>4503780.8999999994</v>
      </c>
      <c r="K368" s="330">
        <f t="shared" si="70"/>
        <v>4066898.66</v>
      </c>
      <c r="L368" s="313">
        <f t="shared" si="61"/>
        <v>-436882.23999999929</v>
      </c>
      <c r="M368" s="314"/>
      <c r="N368" s="314"/>
    </row>
    <row r="369" spans="1:14" outlineLevel="7" x14ac:dyDescent="0.3">
      <c r="A369" s="213" t="s">
        <v>74</v>
      </c>
      <c r="B369" s="214" t="s">
        <v>455</v>
      </c>
      <c r="C369" s="214" t="s">
        <v>250</v>
      </c>
      <c r="D369" s="293" t="s">
        <v>543</v>
      </c>
      <c r="E369" s="301" t="s">
        <v>75</v>
      </c>
      <c r="F369" s="301" t="s">
        <v>838</v>
      </c>
      <c r="G369" s="238">
        <v>0</v>
      </c>
      <c r="H369" s="217">
        <v>0</v>
      </c>
      <c r="I369" s="215">
        <f>4368667.47+89445.61</f>
        <v>4458113.08</v>
      </c>
      <c r="J369" s="238">
        <f>4368667.47+135113.43</f>
        <v>4503780.8999999994</v>
      </c>
      <c r="K369" s="331">
        <f>3931785.23+135113.43</f>
        <v>4066898.66</v>
      </c>
      <c r="L369" s="313">
        <f t="shared" si="61"/>
        <v>-436882.23999999929</v>
      </c>
      <c r="M369" s="314"/>
      <c r="N369" s="314"/>
    </row>
    <row r="370" spans="1:14" outlineLevel="7" x14ac:dyDescent="0.3">
      <c r="A370" s="219" t="s">
        <v>79</v>
      </c>
      <c r="B370" s="220" t="s">
        <v>455</v>
      </c>
      <c r="C370" s="220" t="s">
        <v>80</v>
      </c>
      <c r="D370" s="295" t="s">
        <v>126</v>
      </c>
      <c r="E370" s="295" t="s">
        <v>6</v>
      </c>
      <c r="F370" s="294">
        <v>33822841.700000003</v>
      </c>
      <c r="G370" s="273">
        <f>G371+G401</f>
        <v>41452318.13000001</v>
      </c>
      <c r="H370" s="221">
        <f>H371+H401</f>
        <v>27370092.920000002</v>
      </c>
      <c r="I370" s="221">
        <f>I371+I401</f>
        <v>39865848.490000002</v>
      </c>
      <c r="J370" s="273">
        <f>J371+J401</f>
        <v>43751559.600000001</v>
      </c>
      <c r="K370" s="333">
        <f>K371+K401</f>
        <v>43158414.460000001</v>
      </c>
      <c r="L370" s="313">
        <f t="shared" si="61"/>
        <v>-593145.1400000006</v>
      </c>
      <c r="M370" s="314">
        <f t="shared" si="63"/>
        <v>105.54671384791861</v>
      </c>
      <c r="N370" s="314">
        <f t="shared" si="64"/>
        <v>104.11580439156489</v>
      </c>
    </row>
    <row r="371" spans="1:14" outlineLevel="7" x14ac:dyDescent="0.3">
      <c r="A371" s="213" t="s">
        <v>81</v>
      </c>
      <c r="B371" s="214" t="s">
        <v>455</v>
      </c>
      <c r="C371" s="214" t="s">
        <v>82</v>
      </c>
      <c r="D371" s="293" t="s">
        <v>126</v>
      </c>
      <c r="E371" s="293" t="s">
        <v>6</v>
      </c>
      <c r="F371" s="294">
        <v>33822841.700000003</v>
      </c>
      <c r="G371" s="237">
        <f>G372</f>
        <v>39083239.790000007</v>
      </c>
      <c r="H371" s="215">
        <f>H372</f>
        <v>25298078.920000002</v>
      </c>
      <c r="I371" s="215">
        <f>I372</f>
        <v>36253940.93</v>
      </c>
      <c r="J371" s="237">
        <f>J372</f>
        <v>38078949.649999999</v>
      </c>
      <c r="K371" s="330">
        <f>K372</f>
        <v>37521560.649999999</v>
      </c>
      <c r="L371" s="313">
        <f t="shared" si="61"/>
        <v>-557389</v>
      </c>
      <c r="M371" s="314">
        <f t="shared" si="63"/>
        <v>97.430381551283347</v>
      </c>
      <c r="N371" s="314">
        <f t="shared" si="64"/>
        <v>96.004222913987832</v>
      </c>
    </row>
    <row r="372" spans="1:14" ht="50.95" outlineLevel="7" x14ac:dyDescent="0.3">
      <c r="A372" s="219" t="s">
        <v>733</v>
      </c>
      <c r="B372" s="220" t="s">
        <v>455</v>
      </c>
      <c r="C372" s="220" t="s">
        <v>82</v>
      </c>
      <c r="D372" s="295" t="s">
        <v>136</v>
      </c>
      <c r="E372" s="295" t="s">
        <v>6</v>
      </c>
      <c r="F372" s="296">
        <v>33822841.700000003</v>
      </c>
      <c r="G372" s="273">
        <f>G373+G393+G383</f>
        <v>39083239.790000007</v>
      </c>
      <c r="H372" s="221">
        <f>H373+H393+H383</f>
        <v>25298078.920000002</v>
      </c>
      <c r="I372" s="221">
        <f>I373+I393+I383</f>
        <v>36253940.93</v>
      </c>
      <c r="J372" s="273">
        <f>J373+J393+J383</f>
        <v>38078949.649999999</v>
      </c>
      <c r="K372" s="333">
        <f>K373+K393+K383</f>
        <v>37521560.649999999</v>
      </c>
      <c r="L372" s="313">
        <f t="shared" si="61"/>
        <v>-557389</v>
      </c>
      <c r="M372" s="314">
        <f t="shared" si="63"/>
        <v>97.430381551283347</v>
      </c>
      <c r="N372" s="314">
        <f t="shared" si="64"/>
        <v>96.004222913987832</v>
      </c>
    </row>
    <row r="373" spans="1:14" ht="34" outlineLevel="7" x14ac:dyDescent="0.3">
      <c r="A373" s="213" t="s">
        <v>353</v>
      </c>
      <c r="B373" s="214" t="s">
        <v>455</v>
      </c>
      <c r="C373" s="214" t="s">
        <v>82</v>
      </c>
      <c r="D373" s="293" t="s">
        <v>224</v>
      </c>
      <c r="E373" s="293" t="s">
        <v>6</v>
      </c>
      <c r="F373" s="294">
        <v>8468322.4199999999</v>
      </c>
      <c r="G373" s="237">
        <f>G387+G374</f>
        <v>10660454.050000001</v>
      </c>
      <c r="H373" s="215">
        <f>H387+H374</f>
        <v>7987098.5700000003</v>
      </c>
      <c r="I373" s="215">
        <f>I377+I387+I374+I380</f>
        <v>9978834.7300000004</v>
      </c>
      <c r="J373" s="237">
        <f>J377+J387+J374+J380</f>
        <v>10667747.949999999</v>
      </c>
      <c r="K373" s="330">
        <f>K377+K387+K374+K380</f>
        <v>10510329.949999999</v>
      </c>
      <c r="L373" s="313">
        <f t="shared" si="61"/>
        <v>-157418</v>
      </c>
      <c r="M373" s="314">
        <f t="shared" si="63"/>
        <v>100.06842016264775</v>
      </c>
      <c r="N373" s="314">
        <f t="shared" si="64"/>
        <v>98.591766361020987</v>
      </c>
    </row>
    <row r="374" spans="1:14" ht="50.95" outlineLevel="7" x14ac:dyDescent="0.3">
      <c r="A374" s="189" t="s">
        <v>84</v>
      </c>
      <c r="B374" s="214" t="s">
        <v>455</v>
      </c>
      <c r="C374" s="214" t="s">
        <v>82</v>
      </c>
      <c r="D374" s="293" t="s">
        <v>141</v>
      </c>
      <c r="E374" s="293" t="s">
        <v>6</v>
      </c>
      <c r="F374" s="294">
        <v>8234876.1399999997</v>
      </c>
      <c r="G374" s="237">
        <f t="shared" ref="G374:K375" si="71">G375</f>
        <v>9380236.4600000009</v>
      </c>
      <c r="H374" s="215">
        <f t="shared" si="71"/>
        <v>6706880.9800000004</v>
      </c>
      <c r="I374" s="215">
        <f t="shared" si="71"/>
        <v>9805789.5800000001</v>
      </c>
      <c r="J374" s="237">
        <f t="shared" si="71"/>
        <v>10494546.92</v>
      </c>
      <c r="K374" s="330">
        <f t="shared" si="71"/>
        <v>10337128.92</v>
      </c>
      <c r="L374" s="313">
        <f t="shared" si="61"/>
        <v>-157418</v>
      </c>
      <c r="M374" s="314">
        <f t="shared" si="63"/>
        <v>111.87934296487872</v>
      </c>
      <c r="N374" s="314">
        <f t="shared" si="64"/>
        <v>110.20115499305867</v>
      </c>
    </row>
    <row r="375" spans="1:14" ht="34" outlineLevel="7" x14ac:dyDescent="0.3">
      <c r="A375" s="213" t="s">
        <v>37</v>
      </c>
      <c r="B375" s="214" t="s">
        <v>455</v>
      </c>
      <c r="C375" s="214" t="s">
        <v>82</v>
      </c>
      <c r="D375" s="293" t="s">
        <v>141</v>
      </c>
      <c r="E375" s="293" t="s">
        <v>38</v>
      </c>
      <c r="F375" s="294">
        <v>8234876.1399999997</v>
      </c>
      <c r="G375" s="237">
        <f t="shared" si="71"/>
        <v>9380236.4600000009</v>
      </c>
      <c r="H375" s="169">
        <v>6706880.9800000004</v>
      </c>
      <c r="I375" s="215">
        <f t="shared" si="71"/>
        <v>9805789.5800000001</v>
      </c>
      <c r="J375" s="237">
        <f t="shared" si="71"/>
        <v>10494546.92</v>
      </c>
      <c r="K375" s="330">
        <f t="shared" si="71"/>
        <v>10337128.92</v>
      </c>
      <c r="L375" s="313">
        <f t="shared" si="61"/>
        <v>-157418</v>
      </c>
      <c r="M375" s="314">
        <f t="shared" si="63"/>
        <v>111.87934296487872</v>
      </c>
      <c r="N375" s="314">
        <f t="shared" si="64"/>
        <v>110.20115499305867</v>
      </c>
    </row>
    <row r="376" spans="1:14" outlineLevel="7" x14ac:dyDescent="0.3">
      <c r="A376" s="213" t="s">
        <v>74</v>
      </c>
      <c r="B376" s="214" t="s">
        <v>455</v>
      </c>
      <c r="C376" s="214" t="s">
        <v>82</v>
      </c>
      <c r="D376" s="293" t="s">
        <v>141</v>
      </c>
      <c r="E376" s="293" t="s">
        <v>75</v>
      </c>
      <c r="F376" s="294">
        <v>8234876.1399999997</v>
      </c>
      <c r="G376" s="238">
        <f>[2]потребность!I362+85565.85-34359.85</f>
        <v>9380236.4600000009</v>
      </c>
      <c r="H376" s="169">
        <v>6706880.9800000004</v>
      </c>
      <c r="I376" s="217">
        <f>'[2]прил 12'!F361</f>
        <v>9805789.5800000001</v>
      </c>
      <c r="J376" s="238">
        <v>10494546.92</v>
      </c>
      <c r="K376" s="331">
        <f>10494546.92-157418</f>
        <v>10337128.92</v>
      </c>
      <c r="L376" s="313">
        <f t="shared" si="61"/>
        <v>-157418</v>
      </c>
      <c r="M376" s="314">
        <f t="shared" si="63"/>
        <v>111.87934296487872</v>
      </c>
      <c r="N376" s="314">
        <f t="shared" si="64"/>
        <v>110.20115499305867</v>
      </c>
    </row>
    <row r="377" spans="1:14" ht="75.400000000000006" customHeight="1" outlineLevel="7" x14ac:dyDescent="0.3">
      <c r="A377" s="185" t="s">
        <v>372</v>
      </c>
      <c r="B377" s="214" t="s">
        <v>455</v>
      </c>
      <c r="C377" s="214" t="s">
        <v>82</v>
      </c>
      <c r="D377" s="293" t="s">
        <v>286</v>
      </c>
      <c r="E377" s="301" t="s">
        <v>6</v>
      </c>
      <c r="F377" s="294">
        <v>226442.89</v>
      </c>
      <c r="G377" s="302">
        <v>0</v>
      </c>
      <c r="H377" s="236">
        <v>0</v>
      </c>
      <c r="I377" s="215">
        <f t="shared" ref="I377:K378" si="72">I378</f>
        <v>168005</v>
      </c>
      <c r="J377" s="237">
        <f t="shared" si="72"/>
        <v>168005</v>
      </c>
      <c r="K377" s="330">
        <f t="shared" si="72"/>
        <v>168005</v>
      </c>
      <c r="L377" s="313">
        <f t="shared" si="61"/>
        <v>0</v>
      </c>
      <c r="M377" s="314"/>
      <c r="N377" s="314"/>
    </row>
    <row r="378" spans="1:14" ht="34" outlineLevel="7" x14ac:dyDescent="0.3">
      <c r="A378" s="213" t="s">
        <v>37</v>
      </c>
      <c r="B378" s="214" t="s">
        <v>455</v>
      </c>
      <c r="C378" s="214" t="s">
        <v>82</v>
      </c>
      <c r="D378" s="293" t="s">
        <v>286</v>
      </c>
      <c r="E378" s="301" t="s">
        <v>38</v>
      </c>
      <c r="F378" s="294">
        <v>226442.89</v>
      </c>
      <c r="G378" s="302">
        <v>0</v>
      </c>
      <c r="H378" s="236">
        <v>0</v>
      </c>
      <c r="I378" s="215">
        <f t="shared" si="72"/>
        <v>168005</v>
      </c>
      <c r="J378" s="237">
        <f t="shared" si="72"/>
        <v>168005</v>
      </c>
      <c r="K378" s="330">
        <f t="shared" si="72"/>
        <v>168005</v>
      </c>
      <c r="L378" s="313">
        <f t="shared" si="61"/>
        <v>0</v>
      </c>
      <c r="M378" s="314"/>
      <c r="N378" s="314"/>
    </row>
    <row r="379" spans="1:14" outlineLevel="7" x14ac:dyDescent="0.3">
      <c r="A379" s="213" t="s">
        <v>74</v>
      </c>
      <c r="B379" s="214" t="s">
        <v>455</v>
      </c>
      <c r="C379" s="214" t="s">
        <v>82</v>
      </c>
      <c r="D379" s="293" t="s">
        <v>286</v>
      </c>
      <c r="E379" s="301" t="s">
        <v>75</v>
      </c>
      <c r="F379" s="294">
        <v>226442.89</v>
      </c>
      <c r="G379" s="302">
        <v>0</v>
      </c>
      <c r="H379" s="236">
        <v>0</v>
      </c>
      <c r="I379" s="217">
        <v>168005</v>
      </c>
      <c r="J379" s="238">
        <v>168005</v>
      </c>
      <c r="K379" s="331">
        <v>168005</v>
      </c>
      <c r="L379" s="313">
        <f t="shared" si="61"/>
        <v>0</v>
      </c>
      <c r="M379" s="314"/>
      <c r="N379" s="314"/>
    </row>
    <row r="380" spans="1:14" ht="67.95" outlineLevel="7" x14ac:dyDescent="0.3">
      <c r="A380" s="213" t="s">
        <v>296</v>
      </c>
      <c r="B380" s="214" t="s">
        <v>455</v>
      </c>
      <c r="C380" s="214" t="s">
        <v>82</v>
      </c>
      <c r="D380" s="293" t="s">
        <v>297</v>
      </c>
      <c r="E380" s="301" t="s">
        <v>6</v>
      </c>
      <c r="F380" s="294">
        <v>7003.39</v>
      </c>
      <c r="G380" s="238">
        <v>0</v>
      </c>
      <c r="H380" s="217">
        <v>0</v>
      </c>
      <c r="I380" s="215">
        <f t="shared" ref="I380:K381" si="73">I381</f>
        <v>5040.1499999999996</v>
      </c>
      <c r="J380" s="237">
        <f t="shared" si="73"/>
        <v>5196.03</v>
      </c>
      <c r="K380" s="330">
        <f t="shared" si="73"/>
        <v>5196.03</v>
      </c>
      <c r="L380" s="313">
        <f t="shared" si="61"/>
        <v>0</v>
      </c>
      <c r="M380" s="314"/>
      <c r="N380" s="314"/>
    </row>
    <row r="381" spans="1:14" ht="34" outlineLevel="7" x14ac:dyDescent="0.3">
      <c r="A381" s="213" t="s">
        <v>37</v>
      </c>
      <c r="B381" s="214" t="s">
        <v>455</v>
      </c>
      <c r="C381" s="214" t="s">
        <v>82</v>
      </c>
      <c r="D381" s="293" t="s">
        <v>297</v>
      </c>
      <c r="E381" s="301" t="s">
        <v>38</v>
      </c>
      <c r="F381" s="294">
        <v>7003.39</v>
      </c>
      <c r="G381" s="238">
        <v>0</v>
      </c>
      <c r="H381" s="217">
        <v>0</v>
      </c>
      <c r="I381" s="215">
        <f t="shared" si="73"/>
        <v>5040.1499999999996</v>
      </c>
      <c r="J381" s="237">
        <f t="shared" si="73"/>
        <v>5196.03</v>
      </c>
      <c r="K381" s="330">
        <f t="shared" si="73"/>
        <v>5196.03</v>
      </c>
      <c r="L381" s="313">
        <f t="shared" si="61"/>
        <v>0</v>
      </c>
      <c r="M381" s="314"/>
      <c r="N381" s="314"/>
    </row>
    <row r="382" spans="1:14" outlineLevel="7" x14ac:dyDescent="0.3">
      <c r="A382" s="213" t="s">
        <v>74</v>
      </c>
      <c r="B382" s="214" t="s">
        <v>455</v>
      </c>
      <c r="C382" s="214" t="s">
        <v>82</v>
      </c>
      <c r="D382" s="293" t="s">
        <v>297</v>
      </c>
      <c r="E382" s="301" t="s">
        <v>75</v>
      </c>
      <c r="F382" s="294">
        <v>7003.39</v>
      </c>
      <c r="G382" s="238">
        <v>0</v>
      </c>
      <c r="H382" s="217">
        <v>0</v>
      </c>
      <c r="I382" s="217">
        <v>5040.1499999999996</v>
      </c>
      <c r="J382" s="238">
        <v>5196.03</v>
      </c>
      <c r="K382" s="331">
        <v>5196.03</v>
      </c>
      <c r="L382" s="313">
        <f t="shared" si="61"/>
        <v>0</v>
      </c>
      <c r="M382" s="314"/>
      <c r="N382" s="314"/>
    </row>
    <row r="383" spans="1:14" ht="34" outlineLevel="7" x14ac:dyDescent="0.3">
      <c r="A383" s="213" t="s">
        <v>612</v>
      </c>
      <c r="B383" s="214" t="s">
        <v>455</v>
      </c>
      <c r="C383" s="214" t="s">
        <v>82</v>
      </c>
      <c r="D383" s="293" t="s">
        <v>611</v>
      </c>
      <c r="E383" s="293" t="s">
        <v>6</v>
      </c>
      <c r="F383" s="294">
        <v>23473533.550000001</v>
      </c>
      <c r="G383" s="237">
        <f>G384+G390</f>
        <v>26656285.740000002</v>
      </c>
      <c r="H383" s="215">
        <f>H384+H390</f>
        <v>16802005.420000002</v>
      </c>
      <c r="I383" s="215">
        <f>I384+I390</f>
        <v>25737149.199999999</v>
      </c>
      <c r="J383" s="237">
        <f>J384+J390</f>
        <v>26664701.699999999</v>
      </c>
      <c r="K383" s="330">
        <f>K384+K390</f>
        <v>26264730.699999999</v>
      </c>
      <c r="L383" s="313">
        <f t="shared" si="61"/>
        <v>-399971</v>
      </c>
      <c r="M383" s="314">
        <f t="shared" si="63"/>
        <v>100.03157214055283</v>
      </c>
      <c r="N383" s="314">
        <f t="shared" si="64"/>
        <v>98.531096778376579</v>
      </c>
    </row>
    <row r="384" spans="1:14" ht="36.700000000000003" customHeight="1" outlineLevel="3" x14ac:dyDescent="0.3">
      <c r="A384" s="189" t="s">
        <v>84</v>
      </c>
      <c r="B384" s="214" t="s">
        <v>455</v>
      </c>
      <c r="C384" s="214" t="s">
        <v>82</v>
      </c>
      <c r="D384" s="293" t="s">
        <v>610</v>
      </c>
      <c r="E384" s="293" t="s">
        <v>6</v>
      </c>
      <c r="F384" s="294">
        <v>23473533.550000001</v>
      </c>
      <c r="G384" s="237">
        <f t="shared" ref="G384:K385" si="74">G385</f>
        <v>24239342.940000001</v>
      </c>
      <c r="H384" s="215">
        <f t="shared" si="74"/>
        <v>16802005.420000002</v>
      </c>
      <c r="I384" s="215">
        <f t="shared" si="74"/>
        <v>25737149.199999999</v>
      </c>
      <c r="J384" s="237">
        <f t="shared" si="74"/>
        <v>26664701.699999999</v>
      </c>
      <c r="K384" s="330">
        <f t="shared" si="74"/>
        <v>26264730.699999999</v>
      </c>
      <c r="L384" s="313">
        <f t="shared" si="61"/>
        <v>-399971</v>
      </c>
      <c r="M384" s="314">
        <f t="shared" si="63"/>
        <v>110.00587666919654</v>
      </c>
      <c r="N384" s="314">
        <f t="shared" si="64"/>
        <v>108.35578656159728</v>
      </c>
    </row>
    <row r="385" spans="1:14" ht="34" outlineLevel="3" x14ac:dyDescent="0.3">
      <c r="A385" s="213" t="s">
        <v>37</v>
      </c>
      <c r="B385" s="214" t="s">
        <v>455</v>
      </c>
      <c r="C385" s="214" t="s">
        <v>82</v>
      </c>
      <c r="D385" s="293" t="s">
        <v>610</v>
      </c>
      <c r="E385" s="293" t="s">
        <v>38</v>
      </c>
      <c r="F385" s="294">
        <v>23473533.550000001</v>
      </c>
      <c r="G385" s="237">
        <f t="shared" si="74"/>
        <v>24239342.940000001</v>
      </c>
      <c r="H385" s="169">
        <v>16802005.420000002</v>
      </c>
      <c r="I385" s="215">
        <f t="shared" si="74"/>
        <v>25737149.199999999</v>
      </c>
      <c r="J385" s="237">
        <f t="shared" si="74"/>
        <v>26664701.699999999</v>
      </c>
      <c r="K385" s="330">
        <f t="shared" si="74"/>
        <v>26264730.699999999</v>
      </c>
      <c r="L385" s="313">
        <f t="shared" si="61"/>
        <v>-399971</v>
      </c>
      <c r="M385" s="314">
        <f t="shared" si="63"/>
        <v>110.00587666919654</v>
      </c>
      <c r="N385" s="314">
        <f t="shared" si="64"/>
        <v>108.35578656159728</v>
      </c>
    </row>
    <row r="386" spans="1:14" ht="21.25" customHeight="1" outlineLevel="3" x14ac:dyDescent="0.3">
      <c r="A386" s="213" t="s">
        <v>74</v>
      </c>
      <c r="B386" s="214" t="s">
        <v>455</v>
      </c>
      <c r="C386" s="214" t="s">
        <v>82</v>
      </c>
      <c r="D386" s="293" t="s">
        <v>610</v>
      </c>
      <c r="E386" s="293" t="s">
        <v>75</v>
      </c>
      <c r="F386" s="294">
        <v>23473533.550000001</v>
      </c>
      <c r="G386" s="238">
        <f>[2]потребность!L366</f>
        <v>24239342.940000001</v>
      </c>
      <c r="H386" s="169">
        <v>16802005.420000002</v>
      </c>
      <c r="I386" s="217">
        <f>'[2]прил 12'!F365</f>
        <v>25737149.199999999</v>
      </c>
      <c r="J386" s="238">
        <v>26664701.699999999</v>
      </c>
      <c r="K386" s="331">
        <f>26664701.7-399971</f>
        <v>26264730.699999999</v>
      </c>
      <c r="L386" s="313">
        <f t="shared" si="61"/>
        <v>-399971</v>
      </c>
      <c r="M386" s="314">
        <f t="shared" si="63"/>
        <v>110.00587666919654</v>
      </c>
      <c r="N386" s="314">
        <f t="shared" si="64"/>
        <v>108.35578656159728</v>
      </c>
    </row>
    <row r="387" spans="1:14" ht="84.9" outlineLevel="7" x14ac:dyDescent="0.3">
      <c r="A387" s="185" t="s">
        <v>804</v>
      </c>
      <c r="B387" s="214" t="s">
        <v>455</v>
      </c>
      <c r="C387" s="214" t="s">
        <v>82</v>
      </c>
      <c r="D387" s="293" t="s">
        <v>803</v>
      </c>
      <c r="E387" s="293" t="s">
        <v>6</v>
      </c>
      <c r="F387" s="293" t="s">
        <v>838</v>
      </c>
      <c r="G387" s="237">
        <f>G388</f>
        <v>1280217.5899999999</v>
      </c>
      <c r="H387" s="215">
        <f>H388</f>
        <v>1280217.5900000001</v>
      </c>
      <c r="I387" s="215">
        <v>0</v>
      </c>
      <c r="J387" s="237">
        <f>J388</f>
        <v>0</v>
      </c>
      <c r="K387" s="330">
        <f>K388</f>
        <v>0</v>
      </c>
      <c r="L387" s="313">
        <f t="shared" si="61"/>
        <v>0</v>
      </c>
      <c r="M387" s="314">
        <f t="shared" si="63"/>
        <v>0</v>
      </c>
      <c r="N387" s="314">
        <f t="shared" si="64"/>
        <v>0</v>
      </c>
    </row>
    <row r="388" spans="1:14" ht="34" outlineLevel="7" x14ac:dyDescent="0.3">
      <c r="A388" s="213" t="s">
        <v>37</v>
      </c>
      <c r="B388" s="214" t="s">
        <v>455</v>
      </c>
      <c r="C388" s="214" t="s">
        <v>82</v>
      </c>
      <c r="D388" s="293" t="s">
        <v>803</v>
      </c>
      <c r="E388" s="293" t="s">
        <v>38</v>
      </c>
      <c r="F388" s="293" t="s">
        <v>838</v>
      </c>
      <c r="G388" s="237">
        <f>G389</f>
        <v>1280217.5899999999</v>
      </c>
      <c r="H388" s="169">
        <v>1280217.5900000001</v>
      </c>
      <c r="I388" s="215">
        <v>0</v>
      </c>
      <c r="J388" s="237">
        <f>J389</f>
        <v>0</v>
      </c>
      <c r="K388" s="330">
        <f>K389</f>
        <v>0</v>
      </c>
      <c r="L388" s="313">
        <f t="shared" si="61"/>
        <v>0</v>
      </c>
      <c r="M388" s="314">
        <f t="shared" si="63"/>
        <v>0</v>
      </c>
      <c r="N388" s="314">
        <f t="shared" si="64"/>
        <v>0</v>
      </c>
    </row>
    <row r="389" spans="1:14" outlineLevel="7" x14ac:dyDescent="0.3">
      <c r="A389" s="213" t="s">
        <v>74</v>
      </c>
      <c r="B389" s="214" t="s">
        <v>455</v>
      </c>
      <c r="C389" s="214" t="s">
        <v>82</v>
      </c>
      <c r="D389" s="293" t="s">
        <v>803</v>
      </c>
      <c r="E389" s="293" t="s">
        <v>75</v>
      </c>
      <c r="F389" s="293" t="s">
        <v>838</v>
      </c>
      <c r="G389" s="238">
        <f>1273913.69+39400-33096.1</f>
        <v>1280217.5899999999</v>
      </c>
      <c r="H389" s="169">
        <v>1280217.5900000001</v>
      </c>
      <c r="I389" s="217">
        <v>0</v>
      </c>
      <c r="J389" s="238"/>
      <c r="K389" s="331"/>
      <c r="L389" s="313">
        <f t="shared" si="61"/>
        <v>0</v>
      </c>
      <c r="M389" s="314">
        <f t="shared" si="63"/>
        <v>0</v>
      </c>
      <c r="N389" s="314">
        <f t="shared" si="64"/>
        <v>0</v>
      </c>
    </row>
    <row r="390" spans="1:14" ht="44.15" customHeight="1" outlineLevel="7" x14ac:dyDescent="0.3">
      <c r="A390" s="213" t="s">
        <v>789</v>
      </c>
      <c r="B390" s="214" t="s">
        <v>455</v>
      </c>
      <c r="C390" s="214" t="s">
        <v>82</v>
      </c>
      <c r="D390" s="293" t="s">
        <v>790</v>
      </c>
      <c r="E390" s="293" t="s">
        <v>6</v>
      </c>
      <c r="F390" s="293" t="s">
        <v>838</v>
      </c>
      <c r="G390" s="238">
        <f>G391</f>
        <v>2416942.7999999998</v>
      </c>
      <c r="H390" s="217">
        <f>H391</f>
        <v>0</v>
      </c>
      <c r="I390" s="217">
        <v>0</v>
      </c>
      <c r="J390" s="238">
        <f>J391</f>
        <v>0</v>
      </c>
      <c r="K390" s="331">
        <f>K391</f>
        <v>0</v>
      </c>
      <c r="L390" s="313">
        <f t="shared" si="61"/>
        <v>0</v>
      </c>
      <c r="M390" s="314">
        <f t="shared" si="63"/>
        <v>0</v>
      </c>
      <c r="N390" s="314">
        <f t="shared" si="64"/>
        <v>0</v>
      </c>
    </row>
    <row r="391" spans="1:14" ht="34" outlineLevel="7" x14ac:dyDescent="0.3">
      <c r="A391" s="213" t="s">
        <v>37</v>
      </c>
      <c r="B391" s="214" t="s">
        <v>455</v>
      </c>
      <c r="C391" s="214" t="s">
        <v>82</v>
      </c>
      <c r="D391" s="293" t="s">
        <v>790</v>
      </c>
      <c r="E391" s="293" t="s">
        <v>38</v>
      </c>
      <c r="F391" s="293" t="s">
        <v>838</v>
      </c>
      <c r="G391" s="238">
        <f>G392</f>
        <v>2416942.7999999998</v>
      </c>
      <c r="H391" s="217">
        <v>0</v>
      </c>
      <c r="I391" s="217">
        <v>0</v>
      </c>
      <c r="J391" s="238">
        <f>J392</f>
        <v>0</v>
      </c>
      <c r="K391" s="331">
        <f>K392</f>
        <v>0</v>
      </c>
      <c r="L391" s="313">
        <f t="shared" si="61"/>
        <v>0</v>
      </c>
      <c r="M391" s="314">
        <f t="shared" si="63"/>
        <v>0</v>
      </c>
      <c r="N391" s="314">
        <f t="shared" si="64"/>
        <v>0</v>
      </c>
    </row>
    <row r="392" spans="1:14" outlineLevel="7" x14ac:dyDescent="0.3">
      <c r="A392" s="213" t="s">
        <v>74</v>
      </c>
      <c r="B392" s="214" t="s">
        <v>455</v>
      </c>
      <c r="C392" s="214" t="s">
        <v>82</v>
      </c>
      <c r="D392" s="293" t="s">
        <v>790</v>
      </c>
      <c r="E392" s="293" t="s">
        <v>75</v>
      </c>
      <c r="F392" s="293" t="s">
        <v>838</v>
      </c>
      <c r="G392" s="238">
        <f>2155894.2-2155894.2+900000+1516942.8</f>
        <v>2416942.7999999998</v>
      </c>
      <c r="H392" s="217">
        <v>0</v>
      </c>
      <c r="I392" s="217">
        <v>0</v>
      </c>
      <c r="J392" s="238">
        <v>0</v>
      </c>
      <c r="K392" s="331">
        <v>0</v>
      </c>
      <c r="L392" s="313">
        <f t="shared" ref="L392:L455" si="75">K392-J392</f>
        <v>0</v>
      </c>
      <c r="M392" s="314">
        <f t="shared" si="63"/>
        <v>0</v>
      </c>
      <c r="N392" s="314">
        <f t="shared" si="64"/>
        <v>0</v>
      </c>
    </row>
    <row r="393" spans="1:14" ht="46.9" customHeight="1" outlineLevel="7" x14ac:dyDescent="0.3">
      <c r="A393" s="213" t="s">
        <v>208</v>
      </c>
      <c r="B393" s="214" t="s">
        <v>455</v>
      </c>
      <c r="C393" s="214" t="s">
        <v>82</v>
      </c>
      <c r="D393" s="293" t="s">
        <v>226</v>
      </c>
      <c r="E393" s="293" t="s">
        <v>6</v>
      </c>
      <c r="F393" s="294">
        <v>1880985.73</v>
      </c>
      <c r="G393" s="238">
        <f>G394+G398</f>
        <v>1766500</v>
      </c>
      <c r="H393" s="217">
        <f>H394+H398</f>
        <v>508974.93</v>
      </c>
      <c r="I393" s="217">
        <f>I394+I398</f>
        <v>537957</v>
      </c>
      <c r="J393" s="238">
        <f>J394+J398</f>
        <v>746500</v>
      </c>
      <c r="K393" s="331">
        <f>K394+K398</f>
        <v>746500</v>
      </c>
      <c r="L393" s="313">
        <f t="shared" si="75"/>
        <v>0</v>
      </c>
      <c r="M393" s="314">
        <f t="shared" si="63"/>
        <v>42.25870365128786</v>
      </c>
      <c r="N393" s="314">
        <f t="shared" si="64"/>
        <v>42.25870365128786</v>
      </c>
    </row>
    <row r="394" spans="1:14" ht="32.6" customHeight="1" outlineLevel="7" x14ac:dyDescent="0.3">
      <c r="A394" s="213" t="s">
        <v>83</v>
      </c>
      <c r="B394" s="214" t="s">
        <v>455</v>
      </c>
      <c r="C394" s="214" t="s">
        <v>82</v>
      </c>
      <c r="D394" s="293" t="s">
        <v>140</v>
      </c>
      <c r="E394" s="293" t="s">
        <v>6</v>
      </c>
      <c r="F394" s="294">
        <v>1880985.73</v>
      </c>
      <c r="G394" s="237">
        <f>G395</f>
        <v>746500</v>
      </c>
      <c r="H394" s="215">
        <f>H395</f>
        <v>508974.93</v>
      </c>
      <c r="I394" s="215">
        <f>I395</f>
        <v>537957</v>
      </c>
      <c r="J394" s="237">
        <f>J395</f>
        <v>746500</v>
      </c>
      <c r="K394" s="330">
        <f>K395</f>
        <v>746500</v>
      </c>
      <c r="L394" s="313">
        <f t="shared" si="75"/>
        <v>0</v>
      </c>
      <c r="M394" s="314">
        <f t="shared" si="63"/>
        <v>100</v>
      </c>
      <c r="N394" s="314">
        <f t="shared" si="64"/>
        <v>100</v>
      </c>
    </row>
    <row r="395" spans="1:14" s="224" customFormat="1" ht="34" outlineLevel="1" x14ac:dyDescent="0.3">
      <c r="A395" s="213" t="s">
        <v>37</v>
      </c>
      <c r="B395" s="214" t="s">
        <v>455</v>
      </c>
      <c r="C395" s="214" t="s">
        <v>82</v>
      </c>
      <c r="D395" s="293" t="s">
        <v>140</v>
      </c>
      <c r="E395" s="293" t="s">
        <v>38</v>
      </c>
      <c r="F395" s="294">
        <v>1880985.73</v>
      </c>
      <c r="G395" s="237">
        <f>G396+G397</f>
        <v>746500</v>
      </c>
      <c r="H395" s="169">
        <v>508974.93</v>
      </c>
      <c r="I395" s="215">
        <f>I396+I397</f>
        <v>537957</v>
      </c>
      <c r="J395" s="237">
        <f>J396+J397</f>
        <v>746500</v>
      </c>
      <c r="K395" s="330">
        <f>K396+K397</f>
        <v>746500</v>
      </c>
      <c r="L395" s="313">
        <f t="shared" si="75"/>
        <v>0</v>
      </c>
      <c r="M395" s="314">
        <f t="shared" si="63"/>
        <v>100</v>
      </c>
      <c r="N395" s="314">
        <f t="shared" si="64"/>
        <v>100</v>
      </c>
    </row>
    <row r="396" spans="1:14" outlineLevel="2" x14ac:dyDescent="0.3">
      <c r="A396" s="213" t="s">
        <v>74</v>
      </c>
      <c r="B396" s="214" t="s">
        <v>455</v>
      </c>
      <c r="C396" s="214" t="s">
        <v>82</v>
      </c>
      <c r="D396" s="293" t="s">
        <v>140</v>
      </c>
      <c r="E396" s="293" t="s">
        <v>75</v>
      </c>
      <c r="F396" s="294">
        <v>1766985.73</v>
      </c>
      <c r="G396" s="237">
        <f>632500</f>
        <v>632500</v>
      </c>
      <c r="H396" s="169">
        <v>410474.93</v>
      </c>
      <c r="I396" s="215">
        <v>423957</v>
      </c>
      <c r="J396" s="238">
        <v>632500</v>
      </c>
      <c r="K396" s="331">
        <v>632500</v>
      </c>
      <c r="L396" s="313">
        <f t="shared" si="75"/>
        <v>0</v>
      </c>
      <c r="M396" s="314">
        <f t="shared" ref="M396:M459" si="76">J396/G396%</f>
        <v>100</v>
      </c>
      <c r="N396" s="314">
        <f t="shared" ref="N396:N459" si="77">K396/G396*100</f>
        <v>100</v>
      </c>
    </row>
    <row r="397" spans="1:14" ht="50.95" outlineLevel="4" x14ac:dyDescent="0.3">
      <c r="A397" s="213" t="s">
        <v>354</v>
      </c>
      <c r="B397" s="214" t="s">
        <v>455</v>
      </c>
      <c r="C397" s="214" t="s">
        <v>82</v>
      </c>
      <c r="D397" s="293" t="s">
        <v>140</v>
      </c>
      <c r="E397" s="293" t="s">
        <v>248</v>
      </c>
      <c r="F397" s="294">
        <v>114000</v>
      </c>
      <c r="G397" s="237">
        <v>114000</v>
      </c>
      <c r="H397" s="169">
        <v>98500</v>
      </c>
      <c r="I397" s="215">
        <v>114000</v>
      </c>
      <c r="J397" s="238">
        <v>114000</v>
      </c>
      <c r="K397" s="331">
        <v>114000</v>
      </c>
      <c r="L397" s="313">
        <f t="shared" si="75"/>
        <v>0</v>
      </c>
      <c r="M397" s="314">
        <f t="shared" si="76"/>
        <v>100</v>
      </c>
      <c r="N397" s="314">
        <f t="shared" si="77"/>
        <v>100</v>
      </c>
    </row>
    <row r="398" spans="1:14" ht="34" outlineLevel="4" x14ac:dyDescent="0.3">
      <c r="A398" s="213" t="s">
        <v>822</v>
      </c>
      <c r="B398" s="214" t="s">
        <v>455</v>
      </c>
      <c r="C398" s="214" t="s">
        <v>82</v>
      </c>
      <c r="D398" s="293" t="s">
        <v>823</v>
      </c>
      <c r="E398" s="293" t="s">
        <v>6</v>
      </c>
      <c r="F398" s="293" t="s">
        <v>838</v>
      </c>
      <c r="G398" s="237">
        <f>G399</f>
        <v>1020000</v>
      </c>
      <c r="H398" s="215">
        <f>H399</f>
        <v>0</v>
      </c>
      <c r="I398" s="215">
        <v>0</v>
      </c>
      <c r="J398" s="237">
        <f>J399</f>
        <v>0</v>
      </c>
      <c r="K398" s="274">
        <f>K399</f>
        <v>0</v>
      </c>
      <c r="L398" s="317">
        <f t="shared" si="75"/>
        <v>0</v>
      </c>
      <c r="M398" s="314">
        <f t="shared" si="76"/>
        <v>0</v>
      </c>
      <c r="N398" s="314">
        <f t="shared" si="77"/>
        <v>0</v>
      </c>
    </row>
    <row r="399" spans="1:14" ht="34" outlineLevel="4" x14ac:dyDescent="0.3">
      <c r="A399" s="213" t="s">
        <v>37</v>
      </c>
      <c r="B399" s="214" t="s">
        <v>455</v>
      </c>
      <c r="C399" s="214" t="s">
        <v>82</v>
      </c>
      <c r="D399" s="293" t="s">
        <v>823</v>
      </c>
      <c r="E399" s="293" t="s">
        <v>38</v>
      </c>
      <c r="F399" s="293" t="s">
        <v>838</v>
      </c>
      <c r="G399" s="237">
        <f>G400</f>
        <v>1020000</v>
      </c>
      <c r="H399" s="215">
        <v>0</v>
      </c>
      <c r="I399" s="215">
        <v>0</v>
      </c>
      <c r="J399" s="237">
        <f>J400</f>
        <v>0</v>
      </c>
      <c r="K399" s="274">
        <f>K400</f>
        <v>0</v>
      </c>
      <c r="L399" s="317">
        <f t="shared" si="75"/>
        <v>0</v>
      </c>
      <c r="M399" s="314">
        <f t="shared" si="76"/>
        <v>0</v>
      </c>
      <c r="N399" s="314">
        <f t="shared" si="77"/>
        <v>0</v>
      </c>
    </row>
    <row r="400" spans="1:14" outlineLevel="4" x14ac:dyDescent="0.3">
      <c r="A400" s="213" t="s">
        <v>74</v>
      </c>
      <c r="B400" s="214" t="s">
        <v>455</v>
      </c>
      <c r="C400" s="214" t="s">
        <v>82</v>
      </c>
      <c r="D400" s="293" t="s">
        <v>823</v>
      </c>
      <c r="E400" s="293" t="s">
        <v>75</v>
      </c>
      <c r="F400" s="293" t="s">
        <v>838</v>
      </c>
      <c r="G400" s="237">
        <f>1000000+20000</f>
        <v>1020000</v>
      </c>
      <c r="H400" s="215">
        <v>0</v>
      </c>
      <c r="I400" s="215">
        <v>0</v>
      </c>
      <c r="J400" s="238">
        <v>0</v>
      </c>
      <c r="K400" s="275">
        <v>0</v>
      </c>
      <c r="L400" s="317">
        <f t="shared" si="75"/>
        <v>0</v>
      </c>
      <c r="M400" s="314">
        <f t="shared" si="76"/>
        <v>0</v>
      </c>
      <c r="N400" s="314">
        <f t="shared" si="77"/>
        <v>0</v>
      </c>
    </row>
    <row r="401" spans="1:14" outlineLevel="5" x14ac:dyDescent="0.3">
      <c r="A401" s="213" t="s">
        <v>476</v>
      </c>
      <c r="B401" s="214" t="s">
        <v>455</v>
      </c>
      <c r="C401" s="214" t="s">
        <v>477</v>
      </c>
      <c r="D401" s="293" t="s">
        <v>126</v>
      </c>
      <c r="E401" s="293" t="s">
        <v>6</v>
      </c>
      <c r="F401" s="293"/>
      <c r="G401" s="237">
        <f>G402+G413</f>
        <v>2369078.34</v>
      </c>
      <c r="H401" s="215">
        <f>H402+H413</f>
        <v>2072014</v>
      </c>
      <c r="I401" s="215">
        <f>I402+I413</f>
        <v>3611907.56</v>
      </c>
      <c r="J401" s="237">
        <f>J402+J413</f>
        <v>5672609.9500000002</v>
      </c>
      <c r="K401" s="330">
        <f>K402+K413</f>
        <v>5636853.8100000005</v>
      </c>
      <c r="L401" s="313">
        <f t="shared" si="75"/>
        <v>-35756.139999999665</v>
      </c>
      <c r="M401" s="314">
        <f t="shared" si="76"/>
        <v>239.44374714092402</v>
      </c>
      <c r="N401" s="314">
        <f t="shared" si="77"/>
        <v>237.93446231077363</v>
      </c>
    </row>
    <row r="402" spans="1:14" ht="48.25" customHeight="1" outlineLevel="6" x14ac:dyDescent="0.3">
      <c r="A402" s="219" t="s">
        <v>733</v>
      </c>
      <c r="B402" s="214" t="s">
        <v>455</v>
      </c>
      <c r="C402" s="214" t="s">
        <v>477</v>
      </c>
      <c r="D402" s="293" t="s">
        <v>136</v>
      </c>
      <c r="E402" s="293" t="s">
        <v>6</v>
      </c>
      <c r="F402" s="293" t="s">
        <v>838</v>
      </c>
      <c r="G402" s="237">
        <f>G403</f>
        <v>202147.39</v>
      </c>
      <c r="H402" s="215">
        <f>H403</f>
        <v>0</v>
      </c>
      <c r="I402" s="215">
        <v>208543</v>
      </c>
      <c r="J402" s="237">
        <f>J403</f>
        <v>3405960.55</v>
      </c>
      <c r="K402" s="330">
        <f>K403</f>
        <v>3405960.55</v>
      </c>
      <c r="L402" s="313">
        <f t="shared" si="75"/>
        <v>0</v>
      </c>
      <c r="M402" s="314">
        <f t="shared" si="76"/>
        <v>1684.889698551141</v>
      </c>
      <c r="N402" s="314">
        <f t="shared" si="77"/>
        <v>1684.8896985511412</v>
      </c>
    </row>
    <row r="403" spans="1:14" ht="37.4" customHeight="1" outlineLevel="7" x14ac:dyDescent="0.3">
      <c r="A403" s="213" t="s">
        <v>208</v>
      </c>
      <c r="B403" s="214" t="s">
        <v>455</v>
      </c>
      <c r="C403" s="214" t="s">
        <v>477</v>
      </c>
      <c r="D403" s="293" t="s">
        <v>226</v>
      </c>
      <c r="E403" s="293" t="s">
        <v>6</v>
      </c>
      <c r="F403" s="293" t="s">
        <v>838</v>
      </c>
      <c r="G403" s="237">
        <f>G404+G407</f>
        <v>202147.39</v>
      </c>
      <c r="H403" s="215">
        <f>H404+H407</f>
        <v>0</v>
      </c>
      <c r="I403" s="215">
        <v>208543</v>
      </c>
      <c r="J403" s="237">
        <f>J404+J407+J410</f>
        <v>3405960.55</v>
      </c>
      <c r="K403" s="330">
        <f>K404+K407+K410</f>
        <v>3405960.55</v>
      </c>
      <c r="L403" s="313">
        <f t="shared" si="75"/>
        <v>0</v>
      </c>
      <c r="M403" s="314">
        <f t="shared" si="76"/>
        <v>1684.889698551141</v>
      </c>
      <c r="N403" s="314">
        <f t="shared" si="77"/>
        <v>1684.8896985511412</v>
      </c>
    </row>
    <row r="404" spans="1:14" ht="50.95" outlineLevel="7" x14ac:dyDescent="0.3">
      <c r="A404" s="213" t="s">
        <v>478</v>
      </c>
      <c r="B404" s="214" t="s">
        <v>455</v>
      </c>
      <c r="C404" s="214" t="s">
        <v>477</v>
      </c>
      <c r="D404" s="293" t="s">
        <v>479</v>
      </c>
      <c r="E404" s="293" t="s">
        <v>6</v>
      </c>
      <c r="F404" s="293" t="s">
        <v>838</v>
      </c>
      <c r="G404" s="237">
        <f>G405</f>
        <v>202147.39</v>
      </c>
      <c r="H404" s="215">
        <f>H405</f>
        <v>0</v>
      </c>
      <c r="I404" s="215">
        <v>208543</v>
      </c>
      <c r="J404" s="237">
        <f>J405</f>
        <v>0</v>
      </c>
      <c r="K404" s="330">
        <f>K405</f>
        <v>0</v>
      </c>
      <c r="L404" s="313">
        <f t="shared" si="75"/>
        <v>0</v>
      </c>
      <c r="M404" s="314">
        <f t="shared" si="76"/>
        <v>0</v>
      </c>
      <c r="N404" s="314">
        <f t="shared" si="77"/>
        <v>0</v>
      </c>
    </row>
    <row r="405" spans="1:14" s="224" customFormat="1" ht="34" outlineLevel="7" x14ac:dyDescent="0.3">
      <c r="A405" s="213" t="s">
        <v>37</v>
      </c>
      <c r="B405" s="214" t="s">
        <v>455</v>
      </c>
      <c r="C405" s="214" t="s">
        <v>477</v>
      </c>
      <c r="D405" s="293" t="s">
        <v>479</v>
      </c>
      <c r="E405" s="293" t="s">
        <v>38</v>
      </c>
      <c r="F405" s="293" t="s">
        <v>838</v>
      </c>
      <c r="G405" s="237">
        <f>G406</f>
        <v>202147.39</v>
      </c>
      <c r="H405" s="215">
        <f>H406</f>
        <v>0</v>
      </c>
      <c r="I405" s="215">
        <v>208543</v>
      </c>
      <c r="J405" s="237">
        <f>J406</f>
        <v>0</v>
      </c>
      <c r="K405" s="330">
        <f>K406</f>
        <v>0</v>
      </c>
      <c r="L405" s="313">
        <f t="shared" si="75"/>
        <v>0</v>
      </c>
      <c r="M405" s="314">
        <f t="shared" si="76"/>
        <v>0</v>
      </c>
      <c r="N405" s="314">
        <f t="shared" si="77"/>
        <v>0</v>
      </c>
    </row>
    <row r="406" spans="1:14" ht="24.8" customHeight="1" outlineLevel="7" x14ac:dyDescent="0.3">
      <c r="A406" s="213" t="s">
        <v>74</v>
      </c>
      <c r="B406" s="214" t="s">
        <v>455</v>
      </c>
      <c r="C406" s="214" t="s">
        <v>477</v>
      </c>
      <c r="D406" s="293" t="s">
        <v>479</v>
      </c>
      <c r="E406" s="293" t="s">
        <v>75</v>
      </c>
      <c r="F406" s="293" t="s">
        <v>838</v>
      </c>
      <c r="G406" s="237">
        <v>202147.39</v>
      </c>
      <c r="H406" s="215">
        <v>0</v>
      </c>
      <c r="I406" s="215">
        <v>208543</v>
      </c>
      <c r="J406" s="238">
        <v>0</v>
      </c>
      <c r="K406" s="331">
        <v>0</v>
      </c>
      <c r="L406" s="313">
        <f t="shared" si="75"/>
        <v>0</v>
      </c>
      <c r="M406" s="314">
        <f t="shared" si="76"/>
        <v>0</v>
      </c>
      <c r="N406" s="314">
        <f t="shared" si="77"/>
        <v>0</v>
      </c>
    </row>
    <row r="407" spans="1:14" ht="40.1" customHeight="1" outlineLevel="7" x14ac:dyDescent="0.3">
      <c r="A407" s="315" t="s">
        <v>846</v>
      </c>
      <c r="B407" s="214" t="s">
        <v>455</v>
      </c>
      <c r="C407" s="214" t="s">
        <v>477</v>
      </c>
      <c r="D407" s="293" t="s">
        <v>857</v>
      </c>
      <c r="E407" s="293" t="s">
        <v>6</v>
      </c>
      <c r="F407" s="293" t="s">
        <v>838</v>
      </c>
      <c r="G407" s="237">
        <f>G408</f>
        <v>0</v>
      </c>
      <c r="H407" s="216"/>
      <c r="I407" s="215">
        <v>0</v>
      </c>
      <c r="J407" s="237">
        <f>J408</f>
        <v>3303781.73</v>
      </c>
      <c r="K407" s="330">
        <f>K408</f>
        <v>3303781.73</v>
      </c>
      <c r="L407" s="313">
        <f t="shared" si="75"/>
        <v>0</v>
      </c>
      <c r="M407" s="314"/>
      <c r="N407" s="314"/>
    </row>
    <row r="408" spans="1:14" ht="24.8" customHeight="1" outlineLevel="7" x14ac:dyDescent="0.3">
      <c r="A408" s="213" t="s">
        <v>37</v>
      </c>
      <c r="B408" s="214" t="s">
        <v>455</v>
      </c>
      <c r="C408" s="214" t="s">
        <v>477</v>
      </c>
      <c r="D408" s="293" t="s">
        <v>857</v>
      </c>
      <c r="E408" s="293" t="s">
        <v>38</v>
      </c>
      <c r="F408" s="293" t="s">
        <v>838</v>
      </c>
      <c r="G408" s="237">
        <f>G409</f>
        <v>0</v>
      </c>
      <c r="H408" s="216"/>
      <c r="I408" s="215">
        <v>0</v>
      </c>
      <c r="J408" s="237">
        <f>J409</f>
        <v>3303781.73</v>
      </c>
      <c r="K408" s="330">
        <f>K409</f>
        <v>3303781.73</v>
      </c>
      <c r="L408" s="313">
        <f t="shared" si="75"/>
        <v>0</v>
      </c>
      <c r="M408" s="314"/>
      <c r="N408" s="314"/>
    </row>
    <row r="409" spans="1:14" ht="23.3" customHeight="1" outlineLevel="7" x14ac:dyDescent="0.3">
      <c r="A409" s="213" t="s">
        <v>74</v>
      </c>
      <c r="B409" s="214" t="s">
        <v>455</v>
      </c>
      <c r="C409" s="214" t="s">
        <v>477</v>
      </c>
      <c r="D409" s="293" t="s">
        <v>857</v>
      </c>
      <c r="E409" s="293" t="s">
        <v>75</v>
      </c>
      <c r="F409" s="293" t="s">
        <v>838</v>
      </c>
      <c r="G409" s="237">
        <v>0</v>
      </c>
      <c r="H409" s="216"/>
      <c r="I409" s="215">
        <v>0</v>
      </c>
      <c r="J409" s="237">
        <v>3303781.73</v>
      </c>
      <c r="K409" s="330">
        <v>3303781.73</v>
      </c>
      <c r="L409" s="313">
        <f t="shared" si="75"/>
        <v>0</v>
      </c>
      <c r="M409" s="314"/>
      <c r="N409" s="314"/>
    </row>
    <row r="410" spans="1:14" ht="44.15" customHeight="1" outlineLevel="7" x14ac:dyDescent="0.3">
      <c r="A410" s="213" t="s">
        <v>858</v>
      </c>
      <c r="B410" s="214" t="s">
        <v>455</v>
      </c>
      <c r="C410" s="214" t="s">
        <v>477</v>
      </c>
      <c r="D410" s="293" t="s">
        <v>859</v>
      </c>
      <c r="E410" s="293" t="s">
        <v>6</v>
      </c>
      <c r="F410" s="293"/>
      <c r="G410" s="237">
        <v>0</v>
      </c>
      <c r="H410" s="216"/>
      <c r="I410" s="215"/>
      <c r="J410" s="237">
        <f>J411</f>
        <v>102178.82</v>
      </c>
      <c r="K410" s="330">
        <f>K411</f>
        <v>102178.82</v>
      </c>
      <c r="L410" s="313">
        <f t="shared" si="75"/>
        <v>0</v>
      </c>
      <c r="M410" s="314"/>
      <c r="N410" s="314"/>
    </row>
    <row r="411" spans="1:14" ht="23.3" customHeight="1" outlineLevel="7" x14ac:dyDescent="0.3">
      <c r="A411" s="213" t="s">
        <v>37</v>
      </c>
      <c r="B411" s="214" t="s">
        <v>455</v>
      </c>
      <c r="C411" s="214" t="s">
        <v>477</v>
      </c>
      <c r="D411" s="293" t="s">
        <v>859</v>
      </c>
      <c r="E411" s="293" t="s">
        <v>38</v>
      </c>
      <c r="F411" s="293"/>
      <c r="G411" s="237">
        <v>0</v>
      </c>
      <c r="H411" s="216"/>
      <c r="I411" s="215"/>
      <c r="J411" s="237">
        <f>J412</f>
        <v>102178.82</v>
      </c>
      <c r="K411" s="330">
        <f>K412</f>
        <v>102178.82</v>
      </c>
      <c r="L411" s="313">
        <f t="shared" si="75"/>
        <v>0</v>
      </c>
      <c r="M411" s="314"/>
      <c r="N411" s="314"/>
    </row>
    <row r="412" spans="1:14" ht="23.3" customHeight="1" outlineLevel="7" x14ac:dyDescent="0.3">
      <c r="A412" s="213" t="s">
        <v>74</v>
      </c>
      <c r="B412" s="214" t="s">
        <v>455</v>
      </c>
      <c r="C412" s="214" t="s">
        <v>477</v>
      </c>
      <c r="D412" s="293" t="s">
        <v>859</v>
      </c>
      <c r="E412" s="293" t="s">
        <v>75</v>
      </c>
      <c r="F412" s="293"/>
      <c r="G412" s="237">
        <v>0</v>
      </c>
      <c r="H412" s="216"/>
      <c r="I412" s="215"/>
      <c r="J412" s="237">
        <v>102178.82</v>
      </c>
      <c r="K412" s="330">
        <v>102178.82</v>
      </c>
      <c r="L412" s="313">
        <f t="shared" si="75"/>
        <v>0</v>
      </c>
      <c r="M412" s="314"/>
      <c r="N412" s="314"/>
    </row>
    <row r="413" spans="1:14" ht="42.45" customHeight="1" outlineLevel="7" x14ac:dyDescent="0.3">
      <c r="A413" s="219" t="s">
        <v>741</v>
      </c>
      <c r="B413" s="220" t="s">
        <v>455</v>
      </c>
      <c r="C413" s="214" t="s">
        <v>477</v>
      </c>
      <c r="D413" s="293" t="s">
        <v>319</v>
      </c>
      <c r="E413" s="295" t="s">
        <v>6</v>
      </c>
      <c r="F413" s="295" t="s">
        <v>838</v>
      </c>
      <c r="G413" s="237">
        <f t="shared" ref="G413:K416" si="78">G414</f>
        <v>2166930.9499999997</v>
      </c>
      <c r="H413" s="215">
        <f t="shared" si="78"/>
        <v>2072014</v>
      </c>
      <c r="I413" s="215">
        <f t="shared" si="78"/>
        <v>3403364.56</v>
      </c>
      <c r="J413" s="237">
        <f>J414</f>
        <v>2266649.4000000004</v>
      </c>
      <c r="K413" s="330">
        <f>K414</f>
        <v>2230893.2600000002</v>
      </c>
      <c r="L413" s="313">
        <f t="shared" si="75"/>
        <v>-35756.14000000013</v>
      </c>
      <c r="M413" s="314">
        <f t="shared" si="76"/>
        <v>104.60182868309674</v>
      </c>
      <c r="N413" s="314">
        <f t="shared" si="77"/>
        <v>102.95174657042028</v>
      </c>
    </row>
    <row r="414" spans="1:14" ht="40.75" customHeight="1" outlineLevel="7" x14ac:dyDescent="0.3">
      <c r="A414" s="213" t="s">
        <v>332</v>
      </c>
      <c r="B414" s="214" t="s">
        <v>455</v>
      </c>
      <c r="C414" s="214" t="s">
        <v>477</v>
      </c>
      <c r="D414" s="293" t="s">
        <v>320</v>
      </c>
      <c r="E414" s="293" t="s">
        <v>6</v>
      </c>
      <c r="F414" s="293" t="s">
        <v>838</v>
      </c>
      <c r="G414" s="237">
        <f t="shared" si="78"/>
        <v>2166930.9499999997</v>
      </c>
      <c r="H414" s="215">
        <f t="shared" si="78"/>
        <v>2072014</v>
      </c>
      <c r="I414" s="215">
        <f t="shared" si="78"/>
        <v>3403364.56</v>
      </c>
      <c r="J414" s="237">
        <f>J415+J418</f>
        <v>2266649.4000000004</v>
      </c>
      <c r="K414" s="330">
        <f>K415+K418</f>
        <v>2230893.2600000002</v>
      </c>
      <c r="L414" s="313">
        <f t="shared" si="75"/>
        <v>-35756.14000000013</v>
      </c>
      <c r="M414" s="314">
        <f t="shared" si="76"/>
        <v>104.60182868309674</v>
      </c>
      <c r="N414" s="314">
        <f t="shared" si="77"/>
        <v>102.95174657042028</v>
      </c>
    </row>
    <row r="415" spans="1:14" ht="75.400000000000006" customHeight="1" outlineLevel="7" x14ac:dyDescent="0.3">
      <c r="A415" s="213" t="s">
        <v>753</v>
      </c>
      <c r="B415" s="214" t="s">
        <v>455</v>
      </c>
      <c r="C415" s="214" t="s">
        <v>477</v>
      </c>
      <c r="D415" s="293" t="s">
        <v>785</v>
      </c>
      <c r="E415" s="293" t="s">
        <v>6</v>
      </c>
      <c r="F415" s="293" t="s">
        <v>838</v>
      </c>
      <c r="G415" s="237">
        <f t="shared" si="78"/>
        <v>2166930.9499999997</v>
      </c>
      <c r="H415" s="215">
        <f t="shared" si="78"/>
        <v>2072014</v>
      </c>
      <c r="I415" s="215">
        <f t="shared" si="78"/>
        <v>3403364.56</v>
      </c>
      <c r="J415" s="237">
        <f t="shared" si="78"/>
        <v>1174110.1200000001</v>
      </c>
      <c r="K415" s="330">
        <f t="shared" si="78"/>
        <v>1138353.9800000002</v>
      </c>
      <c r="L415" s="313">
        <f t="shared" si="75"/>
        <v>-35756.139999999898</v>
      </c>
      <c r="M415" s="314">
        <f t="shared" si="76"/>
        <v>54.183088759704148</v>
      </c>
      <c r="N415" s="314">
        <f t="shared" si="77"/>
        <v>52.53300664702769</v>
      </c>
    </row>
    <row r="416" spans="1:14" ht="23.3" customHeight="1" outlineLevel="7" x14ac:dyDescent="0.3">
      <c r="A416" s="213" t="s">
        <v>15</v>
      </c>
      <c r="B416" s="214" t="s">
        <v>455</v>
      </c>
      <c r="C416" s="214" t="s">
        <v>477</v>
      </c>
      <c r="D416" s="293" t="s">
        <v>785</v>
      </c>
      <c r="E416" s="293" t="s">
        <v>16</v>
      </c>
      <c r="F416" s="293" t="s">
        <v>838</v>
      </c>
      <c r="G416" s="237">
        <f t="shared" si="78"/>
        <v>2166930.9499999997</v>
      </c>
      <c r="H416" s="169">
        <v>2072014</v>
      </c>
      <c r="I416" s="215">
        <f t="shared" si="78"/>
        <v>3403364.56</v>
      </c>
      <c r="J416" s="237">
        <f t="shared" si="78"/>
        <v>1174110.1200000001</v>
      </c>
      <c r="K416" s="330">
        <f t="shared" si="78"/>
        <v>1138353.9800000002</v>
      </c>
      <c r="L416" s="313">
        <f t="shared" si="75"/>
        <v>-35756.139999999898</v>
      </c>
      <c r="M416" s="314">
        <f t="shared" si="76"/>
        <v>54.183088759704148</v>
      </c>
      <c r="N416" s="314">
        <f t="shared" si="77"/>
        <v>52.53300664702769</v>
      </c>
    </row>
    <row r="417" spans="1:14" ht="23.3" customHeight="1" outlineLevel="7" x14ac:dyDescent="0.3">
      <c r="A417" s="213" t="s">
        <v>17</v>
      </c>
      <c r="B417" s="214" t="s">
        <v>455</v>
      </c>
      <c r="C417" s="214" t="s">
        <v>477</v>
      </c>
      <c r="D417" s="293" t="s">
        <v>785</v>
      </c>
      <c r="E417" s="293" t="s">
        <v>18</v>
      </c>
      <c r="F417" s="293" t="s">
        <v>838</v>
      </c>
      <c r="G417" s="237">
        <f>2430452.42+72913.58+2255.05-338690.1</f>
        <v>2166930.9499999997</v>
      </c>
      <c r="H417" s="169">
        <v>2072014</v>
      </c>
      <c r="I417" s="215">
        <f>3301263.62+102100.94</f>
        <v>3403364.56</v>
      </c>
      <c r="J417" s="238">
        <f>102100.94+1104785.36-32776.18</f>
        <v>1174110.1200000001</v>
      </c>
      <c r="K417" s="331">
        <f>102100.94+1104785.36-32776.18-35756.14</f>
        <v>1138353.9800000002</v>
      </c>
      <c r="L417" s="313">
        <f t="shared" si="75"/>
        <v>-35756.139999999898</v>
      </c>
      <c r="M417" s="314">
        <f t="shared" si="76"/>
        <v>54.183088759704148</v>
      </c>
      <c r="N417" s="314">
        <f t="shared" si="77"/>
        <v>52.53300664702769</v>
      </c>
    </row>
    <row r="418" spans="1:14" ht="92.4" customHeight="1" outlineLevel="7" x14ac:dyDescent="0.3">
      <c r="A418" s="213" t="s">
        <v>864</v>
      </c>
      <c r="B418" s="214" t="s">
        <v>455</v>
      </c>
      <c r="C418" s="214" t="s">
        <v>477</v>
      </c>
      <c r="D418" s="293" t="s">
        <v>863</v>
      </c>
      <c r="E418" s="293" t="s">
        <v>6</v>
      </c>
      <c r="F418" s="293"/>
      <c r="G418" s="237">
        <v>0</v>
      </c>
      <c r="H418" s="169"/>
      <c r="I418" s="215"/>
      <c r="J418" s="238">
        <f>J419</f>
        <v>1092539.28</v>
      </c>
      <c r="K418" s="331">
        <f>K419</f>
        <v>1092539.28</v>
      </c>
      <c r="L418" s="313">
        <f t="shared" si="75"/>
        <v>0</v>
      </c>
      <c r="M418" s="314"/>
      <c r="N418" s="314"/>
    </row>
    <row r="419" spans="1:14" ht="23.3" customHeight="1" outlineLevel="7" x14ac:dyDescent="0.3">
      <c r="A419" s="213" t="s">
        <v>15</v>
      </c>
      <c r="B419" s="214" t="s">
        <v>455</v>
      </c>
      <c r="C419" s="214" t="s">
        <v>477</v>
      </c>
      <c r="D419" s="293" t="s">
        <v>863</v>
      </c>
      <c r="E419" s="293" t="s">
        <v>16</v>
      </c>
      <c r="F419" s="293"/>
      <c r="G419" s="237">
        <v>0</v>
      </c>
      <c r="H419" s="169"/>
      <c r="I419" s="215"/>
      <c r="J419" s="238">
        <f>J420</f>
        <v>1092539.28</v>
      </c>
      <c r="K419" s="331">
        <f>K420</f>
        <v>1092539.28</v>
      </c>
      <c r="L419" s="313">
        <f t="shared" si="75"/>
        <v>0</v>
      </c>
      <c r="M419" s="314"/>
      <c r="N419" s="314"/>
    </row>
    <row r="420" spans="1:14" ht="23.3" customHeight="1" outlineLevel="7" x14ac:dyDescent="0.3">
      <c r="A420" s="213" t="s">
        <v>17</v>
      </c>
      <c r="B420" s="214" t="s">
        <v>455</v>
      </c>
      <c r="C420" s="214" t="s">
        <v>477</v>
      </c>
      <c r="D420" s="293" t="s">
        <v>863</v>
      </c>
      <c r="E420" s="293" t="s">
        <v>18</v>
      </c>
      <c r="F420" s="293"/>
      <c r="G420" s="237">
        <v>0</v>
      </c>
      <c r="H420" s="169"/>
      <c r="I420" s="215"/>
      <c r="J420" s="238">
        <f>1059763.1+32776.18</f>
        <v>1092539.28</v>
      </c>
      <c r="K420" s="331">
        <f>1059763.1+32776.18</f>
        <v>1092539.28</v>
      </c>
      <c r="L420" s="313">
        <f t="shared" si="75"/>
        <v>0</v>
      </c>
      <c r="M420" s="314"/>
      <c r="N420" s="314"/>
    </row>
    <row r="421" spans="1:14" outlineLevel="7" x14ac:dyDescent="0.3">
      <c r="A421" s="219" t="s">
        <v>85</v>
      </c>
      <c r="B421" s="220" t="s">
        <v>455</v>
      </c>
      <c r="C421" s="220" t="s">
        <v>86</v>
      </c>
      <c r="D421" s="295" t="s">
        <v>126</v>
      </c>
      <c r="E421" s="295" t="s">
        <v>6</v>
      </c>
      <c r="F421" s="303">
        <v>37352716.880000003</v>
      </c>
      <c r="G421" s="273">
        <f>G422+G427+G442</f>
        <v>54369845.619999997</v>
      </c>
      <c r="H421" s="221">
        <f>H422+H427+H442</f>
        <v>25467567.349999998</v>
      </c>
      <c r="I421" s="221">
        <f>I422+I427+I442</f>
        <v>65496624.950000003</v>
      </c>
      <c r="J421" s="273">
        <f>J422+J427+J442</f>
        <v>90525266.789999992</v>
      </c>
      <c r="K421" s="333">
        <f>K422+K427+K442</f>
        <v>90450257.950000003</v>
      </c>
      <c r="L421" s="313">
        <f t="shared" si="75"/>
        <v>-75008.839999988675</v>
      </c>
      <c r="M421" s="314">
        <f t="shared" si="76"/>
        <v>166.49903224426333</v>
      </c>
      <c r="N421" s="314">
        <f t="shared" si="77"/>
        <v>166.36107187460505</v>
      </c>
    </row>
    <row r="422" spans="1:14" outlineLevel="7" x14ac:dyDescent="0.3">
      <c r="A422" s="213" t="s">
        <v>87</v>
      </c>
      <c r="B422" s="214" t="s">
        <v>455</v>
      </c>
      <c r="C422" s="214" t="s">
        <v>88</v>
      </c>
      <c r="D422" s="293" t="s">
        <v>126</v>
      </c>
      <c r="E422" s="293" t="s">
        <v>6</v>
      </c>
      <c r="F422" s="294">
        <v>5273116.22</v>
      </c>
      <c r="G422" s="237">
        <f t="shared" ref="G422:K425" si="79">G423</f>
        <v>5386176</v>
      </c>
      <c r="H422" s="215">
        <f t="shared" si="79"/>
        <v>4028416.23</v>
      </c>
      <c r="I422" s="215">
        <f t="shared" si="79"/>
        <v>5386176</v>
      </c>
      <c r="J422" s="237">
        <f t="shared" si="79"/>
        <v>5533145.6699999999</v>
      </c>
      <c r="K422" s="330">
        <f t="shared" si="79"/>
        <v>5533145.6699999999</v>
      </c>
      <c r="L422" s="313">
        <f t="shared" si="75"/>
        <v>0</v>
      </c>
      <c r="M422" s="314">
        <f t="shared" si="76"/>
        <v>102.72864588903147</v>
      </c>
      <c r="N422" s="314">
        <f t="shared" si="77"/>
        <v>102.72864588903148</v>
      </c>
    </row>
    <row r="423" spans="1:14" ht="34" outlineLevel="7" x14ac:dyDescent="0.3">
      <c r="A423" s="219" t="s">
        <v>132</v>
      </c>
      <c r="B423" s="220" t="s">
        <v>455</v>
      </c>
      <c r="C423" s="220" t="s">
        <v>88</v>
      </c>
      <c r="D423" s="295" t="s">
        <v>127</v>
      </c>
      <c r="E423" s="295" t="s">
        <v>6</v>
      </c>
      <c r="F423" s="294">
        <v>5273116.22</v>
      </c>
      <c r="G423" s="273">
        <f t="shared" si="79"/>
        <v>5386176</v>
      </c>
      <c r="H423" s="221">
        <f t="shared" si="79"/>
        <v>4028416.23</v>
      </c>
      <c r="I423" s="221">
        <f t="shared" si="79"/>
        <v>5386176</v>
      </c>
      <c r="J423" s="273">
        <f t="shared" si="79"/>
        <v>5533145.6699999999</v>
      </c>
      <c r="K423" s="333">
        <f t="shared" si="79"/>
        <v>5533145.6699999999</v>
      </c>
      <c r="L423" s="313">
        <f t="shared" si="75"/>
        <v>0</v>
      </c>
      <c r="M423" s="314">
        <f t="shared" si="76"/>
        <v>102.72864588903147</v>
      </c>
      <c r="N423" s="314">
        <f t="shared" si="77"/>
        <v>102.72864588903148</v>
      </c>
    </row>
    <row r="424" spans="1:14" s="224" customFormat="1" ht="26.5" customHeight="1" outlineLevel="7" x14ac:dyDescent="0.3">
      <c r="A424" s="213" t="s">
        <v>89</v>
      </c>
      <c r="B424" s="214" t="s">
        <v>455</v>
      </c>
      <c r="C424" s="214" t="s">
        <v>88</v>
      </c>
      <c r="D424" s="293" t="s">
        <v>142</v>
      </c>
      <c r="E424" s="293" t="s">
        <v>6</v>
      </c>
      <c r="F424" s="294">
        <v>5273116.22</v>
      </c>
      <c r="G424" s="237">
        <f t="shared" si="79"/>
        <v>5386176</v>
      </c>
      <c r="H424" s="215">
        <f t="shared" si="79"/>
        <v>4028416.23</v>
      </c>
      <c r="I424" s="215">
        <f t="shared" si="79"/>
        <v>5386176</v>
      </c>
      <c r="J424" s="237">
        <f t="shared" si="79"/>
        <v>5533145.6699999999</v>
      </c>
      <c r="K424" s="330">
        <f t="shared" si="79"/>
        <v>5533145.6699999999</v>
      </c>
      <c r="L424" s="313">
        <f t="shared" si="75"/>
        <v>0</v>
      </c>
      <c r="M424" s="314">
        <f t="shared" si="76"/>
        <v>102.72864588903147</v>
      </c>
      <c r="N424" s="314">
        <f t="shared" si="77"/>
        <v>102.72864588903148</v>
      </c>
    </row>
    <row r="425" spans="1:14" ht="25.5" customHeight="1" outlineLevel="7" x14ac:dyDescent="0.3">
      <c r="A425" s="213" t="s">
        <v>90</v>
      </c>
      <c r="B425" s="214" t="s">
        <v>455</v>
      </c>
      <c r="C425" s="214" t="s">
        <v>88</v>
      </c>
      <c r="D425" s="293" t="s">
        <v>142</v>
      </c>
      <c r="E425" s="293" t="s">
        <v>91</v>
      </c>
      <c r="F425" s="294">
        <v>5273116.22</v>
      </c>
      <c r="G425" s="237">
        <f t="shared" si="79"/>
        <v>5386176</v>
      </c>
      <c r="H425" s="171">
        <v>4028416.23</v>
      </c>
      <c r="I425" s="215">
        <f t="shared" si="79"/>
        <v>5386176</v>
      </c>
      <c r="J425" s="237">
        <f t="shared" si="79"/>
        <v>5533145.6699999999</v>
      </c>
      <c r="K425" s="330">
        <f t="shared" si="79"/>
        <v>5533145.6699999999</v>
      </c>
      <c r="L425" s="313">
        <f t="shared" si="75"/>
        <v>0</v>
      </c>
      <c r="M425" s="314">
        <f t="shared" si="76"/>
        <v>102.72864588903147</v>
      </c>
      <c r="N425" s="314">
        <f t="shared" si="77"/>
        <v>102.72864588903148</v>
      </c>
    </row>
    <row r="426" spans="1:14" ht="34" outlineLevel="7" x14ac:dyDescent="0.3">
      <c r="A426" s="213" t="s">
        <v>92</v>
      </c>
      <c r="B426" s="214" t="s">
        <v>455</v>
      </c>
      <c r="C426" s="214" t="s">
        <v>88</v>
      </c>
      <c r="D426" s="293" t="s">
        <v>142</v>
      </c>
      <c r="E426" s="293" t="s">
        <v>93</v>
      </c>
      <c r="F426" s="294">
        <v>5273116.22</v>
      </c>
      <c r="G426" s="238">
        <v>5386176</v>
      </c>
      <c r="H426" s="171">
        <v>4028416.23</v>
      </c>
      <c r="I426" s="217">
        <v>5386176</v>
      </c>
      <c r="J426" s="238">
        <v>5533145.6699999999</v>
      </c>
      <c r="K426" s="331">
        <v>5533145.6699999999</v>
      </c>
      <c r="L426" s="313">
        <f t="shared" si="75"/>
        <v>0</v>
      </c>
      <c r="M426" s="314">
        <f t="shared" si="76"/>
        <v>102.72864588903147</v>
      </c>
      <c r="N426" s="314">
        <f t="shared" si="77"/>
        <v>102.72864588903148</v>
      </c>
    </row>
    <row r="427" spans="1:14" outlineLevel="7" x14ac:dyDescent="0.3">
      <c r="A427" s="213" t="s">
        <v>94</v>
      </c>
      <c r="B427" s="214" t="s">
        <v>455</v>
      </c>
      <c r="C427" s="214" t="s">
        <v>95</v>
      </c>
      <c r="D427" s="293" t="s">
        <v>126</v>
      </c>
      <c r="E427" s="293" t="s">
        <v>6</v>
      </c>
      <c r="F427" s="294">
        <v>679404.39</v>
      </c>
      <c r="G427" s="237">
        <f>G428+G438+G433</f>
        <v>1526800</v>
      </c>
      <c r="H427" s="215">
        <f>H428+H438+H433</f>
        <v>1351800</v>
      </c>
      <c r="I427" s="215">
        <f>I428+I438+I433</f>
        <v>985609.95</v>
      </c>
      <c r="J427" s="237">
        <f>J428+J438+J433</f>
        <v>984438.26</v>
      </c>
      <c r="K427" s="330">
        <f>K428+K438+K433</f>
        <v>909429.41999999993</v>
      </c>
      <c r="L427" s="313">
        <f t="shared" si="75"/>
        <v>-75008.840000000084</v>
      </c>
      <c r="M427" s="314">
        <f t="shared" si="76"/>
        <v>64.477224259889965</v>
      </c>
      <c r="N427" s="314">
        <f t="shared" si="77"/>
        <v>59.564410531831278</v>
      </c>
    </row>
    <row r="428" spans="1:14" ht="50.95" outlineLevel="7" x14ac:dyDescent="0.3">
      <c r="A428" s="219" t="s">
        <v>802</v>
      </c>
      <c r="B428" s="214" t="s">
        <v>455</v>
      </c>
      <c r="C428" s="220" t="s">
        <v>95</v>
      </c>
      <c r="D428" s="295" t="s">
        <v>129</v>
      </c>
      <c r="E428" s="295" t="s">
        <v>6</v>
      </c>
      <c r="F428" s="296">
        <v>60804.39</v>
      </c>
      <c r="G428" s="273">
        <f t="shared" ref="G428:K431" si="80">G429</f>
        <v>150000</v>
      </c>
      <c r="H428" s="221">
        <f t="shared" si="80"/>
        <v>0</v>
      </c>
      <c r="I428" s="221">
        <f t="shared" si="80"/>
        <v>150000</v>
      </c>
      <c r="J428" s="273">
        <f t="shared" si="80"/>
        <v>150000</v>
      </c>
      <c r="K428" s="333">
        <f t="shared" si="80"/>
        <v>150000</v>
      </c>
      <c r="L428" s="313">
        <f t="shared" si="75"/>
        <v>0</v>
      </c>
      <c r="M428" s="314">
        <f t="shared" si="76"/>
        <v>100</v>
      </c>
      <c r="N428" s="314">
        <f t="shared" si="77"/>
        <v>100</v>
      </c>
    </row>
    <row r="429" spans="1:14" ht="34" outlineLevel="7" x14ac:dyDescent="0.3">
      <c r="A429" s="213" t="s">
        <v>355</v>
      </c>
      <c r="B429" s="214" t="s">
        <v>455</v>
      </c>
      <c r="C429" s="214" t="s">
        <v>95</v>
      </c>
      <c r="D429" s="293" t="s">
        <v>404</v>
      </c>
      <c r="E429" s="293" t="s">
        <v>6</v>
      </c>
      <c r="F429" s="294">
        <v>60804.39</v>
      </c>
      <c r="G429" s="237">
        <f t="shared" si="80"/>
        <v>150000</v>
      </c>
      <c r="H429" s="215">
        <f t="shared" si="80"/>
        <v>0</v>
      </c>
      <c r="I429" s="215">
        <f t="shared" si="80"/>
        <v>150000</v>
      </c>
      <c r="J429" s="237">
        <f t="shared" si="80"/>
        <v>150000</v>
      </c>
      <c r="K429" s="330">
        <f t="shared" si="80"/>
        <v>150000</v>
      </c>
      <c r="L429" s="313">
        <f t="shared" si="75"/>
        <v>0</v>
      </c>
      <c r="M429" s="314">
        <f t="shared" si="76"/>
        <v>100</v>
      </c>
      <c r="N429" s="314">
        <f t="shared" si="77"/>
        <v>100</v>
      </c>
    </row>
    <row r="430" spans="1:14" ht="34" outlineLevel="7" x14ac:dyDescent="0.3">
      <c r="A430" s="213" t="s">
        <v>99</v>
      </c>
      <c r="B430" s="214" t="s">
        <v>455</v>
      </c>
      <c r="C430" s="214" t="s">
        <v>95</v>
      </c>
      <c r="D430" s="293" t="s">
        <v>388</v>
      </c>
      <c r="E430" s="293" t="s">
        <v>6</v>
      </c>
      <c r="F430" s="294">
        <v>60804.39</v>
      </c>
      <c r="G430" s="237">
        <f t="shared" si="80"/>
        <v>150000</v>
      </c>
      <c r="H430" s="215">
        <f t="shared" si="80"/>
        <v>0</v>
      </c>
      <c r="I430" s="215">
        <f t="shared" si="80"/>
        <v>150000</v>
      </c>
      <c r="J430" s="237">
        <f t="shared" si="80"/>
        <v>150000</v>
      </c>
      <c r="K430" s="330">
        <f t="shared" si="80"/>
        <v>150000</v>
      </c>
      <c r="L430" s="313">
        <f t="shared" si="75"/>
        <v>0</v>
      </c>
      <c r="M430" s="314">
        <f t="shared" si="76"/>
        <v>100</v>
      </c>
      <c r="N430" s="314">
        <f t="shared" si="77"/>
        <v>100</v>
      </c>
    </row>
    <row r="431" spans="1:14" outlineLevel="7" x14ac:dyDescent="0.3">
      <c r="A431" s="213" t="s">
        <v>90</v>
      </c>
      <c r="B431" s="214" t="s">
        <v>455</v>
      </c>
      <c r="C431" s="214" t="s">
        <v>95</v>
      </c>
      <c r="D431" s="293" t="s">
        <v>388</v>
      </c>
      <c r="E431" s="293" t="s">
        <v>91</v>
      </c>
      <c r="F431" s="294">
        <v>60804.39</v>
      </c>
      <c r="G431" s="237">
        <f t="shared" si="80"/>
        <v>150000</v>
      </c>
      <c r="H431" s="237">
        <v>0</v>
      </c>
      <c r="I431" s="215">
        <f t="shared" si="80"/>
        <v>150000</v>
      </c>
      <c r="J431" s="237">
        <f t="shared" si="80"/>
        <v>150000</v>
      </c>
      <c r="K431" s="330">
        <f t="shared" si="80"/>
        <v>150000</v>
      </c>
      <c r="L431" s="313">
        <f t="shared" si="75"/>
        <v>0</v>
      </c>
      <c r="M431" s="314">
        <f t="shared" si="76"/>
        <v>100</v>
      </c>
      <c r="N431" s="314">
        <f t="shared" si="77"/>
        <v>100</v>
      </c>
    </row>
    <row r="432" spans="1:14" ht="34" outlineLevel="7" x14ac:dyDescent="0.3">
      <c r="A432" s="213" t="s">
        <v>97</v>
      </c>
      <c r="B432" s="214" t="s">
        <v>455</v>
      </c>
      <c r="C432" s="214" t="s">
        <v>95</v>
      </c>
      <c r="D432" s="293" t="s">
        <v>388</v>
      </c>
      <c r="E432" s="293" t="s">
        <v>98</v>
      </c>
      <c r="F432" s="294">
        <v>60804.39</v>
      </c>
      <c r="G432" s="238">
        <v>150000</v>
      </c>
      <c r="H432" s="238">
        <v>0</v>
      </c>
      <c r="I432" s="217">
        <v>150000</v>
      </c>
      <c r="J432" s="238">
        <v>150000</v>
      </c>
      <c r="K432" s="331">
        <v>150000</v>
      </c>
      <c r="L432" s="313">
        <f t="shared" si="75"/>
        <v>0</v>
      </c>
      <c r="M432" s="314">
        <f t="shared" si="76"/>
        <v>100</v>
      </c>
      <c r="N432" s="314">
        <f t="shared" si="77"/>
        <v>100</v>
      </c>
    </row>
    <row r="433" spans="1:14" ht="50.95" outlineLevel="1" x14ac:dyDescent="0.3">
      <c r="A433" s="219" t="s">
        <v>732</v>
      </c>
      <c r="B433" s="214" t="s">
        <v>455</v>
      </c>
      <c r="C433" s="220" t="s">
        <v>95</v>
      </c>
      <c r="D433" s="295" t="s">
        <v>356</v>
      </c>
      <c r="E433" s="295" t="s">
        <v>6</v>
      </c>
      <c r="F433" s="296">
        <v>558600</v>
      </c>
      <c r="G433" s="272">
        <f t="shared" ref="G433:K436" si="81">G434</f>
        <v>1276800</v>
      </c>
      <c r="H433" s="223">
        <f t="shared" si="81"/>
        <v>1276800</v>
      </c>
      <c r="I433" s="223">
        <f t="shared" si="81"/>
        <v>735609.95</v>
      </c>
      <c r="J433" s="272">
        <f t="shared" si="81"/>
        <v>734438.26</v>
      </c>
      <c r="K433" s="332">
        <f t="shared" si="81"/>
        <v>659429.41999999993</v>
      </c>
      <c r="L433" s="313">
        <f t="shared" si="75"/>
        <v>-75008.840000000084</v>
      </c>
      <c r="M433" s="314">
        <f t="shared" si="76"/>
        <v>57.521793546365913</v>
      </c>
      <c r="N433" s="314">
        <f t="shared" si="77"/>
        <v>51.647041040100248</v>
      </c>
    </row>
    <row r="434" spans="1:14" ht="44.5" customHeight="1" outlineLevel="1" x14ac:dyDescent="0.3">
      <c r="A434" s="213" t="s">
        <v>373</v>
      </c>
      <c r="B434" s="214" t="s">
        <v>455</v>
      </c>
      <c r="C434" s="214" t="s">
        <v>95</v>
      </c>
      <c r="D434" s="293" t="s">
        <v>357</v>
      </c>
      <c r="E434" s="293" t="s">
        <v>6</v>
      </c>
      <c r="F434" s="294">
        <v>558600</v>
      </c>
      <c r="G434" s="238">
        <f t="shared" si="81"/>
        <v>1276800</v>
      </c>
      <c r="H434" s="217">
        <f t="shared" si="81"/>
        <v>1276800</v>
      </c>
      <c r="I434" s="217">
        <f t="shared" si="81"/>
        <v>735609.95</v>
      </c>
      <c r="J434" s="238">
        <f t="shared" si="81"/>
        <v>734438.26</v>
      </c>
      <c r="K434" s="331">
        <f t="shared" si="81"/>
        <v>659429.41999999993</v>
      </c>
      <c r="L434" s="313">
        <f t="shared" si="75"/>
        <v>-75008.840000000084</v>
      </c>
      <c r="M434" s="314">
        <f t="shared" si="76"/>
        <v>57.521793546365913</v>
      </c>
      <c r="N434" s="314">
        <f t="shared" si="77"/>
        <v>51.647041040100248</v>
      </c>
    </row>
    <row r="435" spans="1:14" ht="34" outlineLevel="1" x14ac:dyDescent="0.3">
      <c r="A435" s="213" t="s">
        <v>96</v>
      </c>
      <c r="B435" s="214" t="s">
        <v>455</v>
      </c>
      <c r="C435" s="214" t="s">
        <v>95</v>
      </c>
      <c r="D435" s="293" t="s">
        <v>358</v>
      </c>
      <c r="E435" s="293" t="s">
        <v>6</v>
      </c>
      <c r="F435" s="294">
        <v>558600</v>
      </c>
      <c r="G435" s="237">
        <f t="shared" si="81"/>
        <v>1276800</v>
      </c>
      <c r="H435" s="215">
        <f t="shared" si="81"/>
        <v>1276800</v>
      </c>
      <c r="I435" s="215">
        <f t="shared" si="81"/>
        <v>735609.95</v>
      </c>
      <c r="J435" s="237">
        <f t="shared" si="81"/>
        <v>734438.26</v>
      </c>
      <c r="K435" s="330">
        <f t="shared" si="81"/>
        <v>659429.41999999993</v>
      </c>
      <c r="L435" s="313">
        <f t="shared" si="75"/>
        <v>-75008.840000000084</v>
      </c>
      <c r="M435" s="314">
        <f t="shared" si="76"/>
        <v>57.521793546365913</v>
      </c>
      <c r="N435" s="314">
        <f t="shared" si="77"/>
        <v>51.647041040100248</v>
      </c>
    </row>
    <row r="436" spans="1:14" outlineLevel="1" x14ac:dyDescent="0.3">
      <c r="A436" s="213" t="s">
        <v>90</v>
      </c>
      <c r="B436" s="214" t="s">
        <v>455</v>
      </c>
      <c r="C436" s="214" t="s">
        <v>95</v>
      </c>
      <c r="D436" s="293" t="s">
        <v>358</v>
      </c>
      <c r="E436" s="293" t="s">
        <v>91</v>
      </c>
      <c r="F436" s="294">
        <v>558600</v>
      </c>
      <c r="G436" s="238">
        <f t="shared" si="81"/>
        <v>1276800</v>
      </c>
      <c r="H436" s="169">
        <v>1276800</v>
      </c>
      <c r="I436" s="217">
        <f t="shared" si="81"/>
        <v>735609.95</v>
      </c>
      <c r="J436" s="238">
        <f t="shared" si="81"/>
        <v>734438.26</v>
      </c>
      <c r="K436" s="331">
        <f t="shared" si="81"/>
        <v>659429.41999999993</v>
      </c>
      <c r="L436" s="313">
        <f t="shared" si="75"/>
        <v>-75008.840000000084</v>
      </c>
      <c r="M436" s="314">
        <f t="shared" si="76"/>
        <v>57.521793546365913</v>
      </c>
      <c r="N436" s="314">
        <f t="shared" si="77"/>
        <v>51.647041040100248</v>
      </c>
    </row>
    <row r="437" spans="1:14" ht="34" outlineLevel="1" x14ac:dyDescent="0.3">
      <c r="A437" s="213" t="s">
        <v>97</v>
      </c>
      <c r="B437" s="214" t="s">
        <v>455</v>
      </c>
      <c r="C437" s="214" t="s">
        <v>95</v>
      </c>
      <c r="D437" s="293" t="s">
        <v>358</v>
      </c>
      <c r="E437" s="293" t="s">
        <v>98</v>
      </c>
      <c r="F437" s="294">
        <v>558600</v>
      </c>
      <c r="G437" s="237">
        <f>742359.04+534440.96</f>
        <v>1276800</v>
      </c>
      <c r="H437" s="169">
        <v>1276800</v>
      </c>
      <c r="I437" s="215">
        <v>735609.95</v>
      </c>
      <c r="J437" s="238">
        <f>173500+560938.26</f>
        <v>734438.26</v>
      </c>
      <c r="K437" s="331">
        <f>173500+485929.42</f>
        <v>659429.41999999993</v>
      </c>
      <c r="L437" s="313">
        <f t="shared" si="75"/>
        <v>-75008.840000000084</v>
      </c>
      <c r="M437" s="314">
        <f t="shared" si="76"/>
        <v>57.521793546365913</v>
      </c>
      <c r="N437" s="314">
        <f t="shared" si="77"/>
        <v>51.647041040100248</v>
      </c>
    </row>
    <row r="438" spans="1:14" ht="34" outlineLevel="1" x14ac:dyDescent="0.3">
      <c r="A438" s="219" t="s">
        <v>132</v>
      </c>
      <c r="B438" s="220" t="s">
        <v>455</v>
      </c>
      <c r="C438" s="220" t="s">
        <v>95</v>
      </c>
      <c r="D438" s="295" t="s">
        <v>127</v>
      </c>
      <c r="E438" s="295" t="s">
        <v>6</v>
      </c>
      <c r="F438" s="294">
        <v>60000</v>
      </c>
      <c r="G438" s="272">
        <f t="shared" ref="G438:K440" si="82">G439</f>
        <v>100000</v>
      </c>
      <c r="H438" s="223">
        <f t="shared" si="82"/>
        <v>75000</v>
      </c>
      <c r="I438" s="223">
        <f t="shared" si="82"/>
        <v>100000</v>
      </c>
      <c r="J438" s="272">
        <f t="shared" si="82"/>
        <v>100000</v>
      </c>
      <c r="K438" s="332">
        <f t="shared" si="82"/>
        <v>100000</v>
      </c>
      <c r="L438" s="313">
        <f t="shared" si="75"/>
        <v>0</v>
      </c>
      <c r="M438" s="314">
        <f t="shared" si="76"/>
        <v>100</v>
      </c>
      <c r="N438" s="314">
        <f t="shared" si="77"/>
        <v>100</v>
      </c>
    </row>
    <row r="439" spans="1:14" ht="34" outlineLevel="1" x14ac:dyDescent="0.3">
      <c r="A439" s="213" t="s">
        <v>480</v>
      </c>
      <c r="B439" s="214" t="s">
        <v>455</v>
      </c>
      <c r="C439" s="214" t="s">
        <v>95</v>
      </c>
      <c r="D439" s="293" t="s">
        <v>493</v>
      </c>
      <c r="E439" s="293" t="s">
        <v>6</v>
      </c>
      <c r="F439" s="294">
        <v>60000</v>
      </c>
      <c r="G439" s="238">
        <f t="shared" si="82"/>
        <v>100000</v>
      </c>
      <c r="H439" s="217">
        <f t="shared" si="82"/>
        <v>75000</v>
      </c>
      <c r="I439" s="217">
        <f t="shared" si="82"/>
        <v>100000</v>
      </c>
      <c r="J439" s="238">
        <f t="shared" si="82"/>
        <v>100000</v>
      </c>
      <c r="K439" s="331">
        <f t="shared" si="82"/>
        <v>100000</v>
      </c>
      <c r="L439" s="313">
        <f t="shared" si="75"/>
        <v>0</v>
      </c>
      <c r="M439" s="314">
        <f t="shared" si="76"/>
        <v>100</v>
      </c>
      <c r="N439" s="314">
        <f t="shared" si="77"/>
        <v>100</v>
      </c>
    </row>
    <row r="440" spans="1:14" outlineLevel="1" x14ac:dyDescent="0.3">
      <c r="A440" s="213" t="s">
        <v>90</v>
      </c>
      <c r="B440" s="214" t="s">
        <v>455</v>
      </c>
      <c r="C440" s="214" t="s">
        <v>95</v>
      </c>
      <c r="D440" s="293" t="s">
        <v>493</v>
      </c>
      <c r="E440" s="293" t="s">
        <v>91</v>
      </c>
      <c r="F440" s="294">
        <v>60000</v>
      </c>
      <c r="G440" s="238">
        <f t="shared" si="82"/>
        <v>100000</v>
      </c>
      <c r="H440" s="169">
        <v>75000</v>
      </c>
      <c r="I440" s="217">
        <f t="shared" si="82"/>
        <v>100000</v>
      </c>
      <c r="J440" s="238">
        <f t="shared" si="82"/>
        <v>100000</v>
      </c>
      <c r="K440" s="331">
        <f t="shared" si="82"/>
        <v>100000</v>
      </c>
      <c r="L440" s="313">
        <f t="shared" si="75"/>
        <v>0</v>
      </c>
      <c r="M440" s="314">
        <f t="shared" si="76"/>
        <v>100</v>
      </c>
      <c r="N440" s="314">
        <f t="shared" si="77"/>
        <v>100</v>
      </c>
    </row>
    <row r="441" spans="1:14" ht="20.25" customHeight="1" outlineLevel="1" x14ac:dyDescent="0.3">
      <c r="A441" s="213" t="s">
        <v>298</v>
      </c>
      <c r="B441" s="214" t="s">
        <v>455</v>
      </c>
      <c r="C441" s="214" t="s">
        <v>95</v>
      </c>
      <c r="D441" s="293" t="s">
        <v>493</v>
      </c>
      <c r="E441" s="293" t="s">
        <v>299</v>
      </c>
      <c r="F441" s="294">
        <v>60000</v>
      </c>
      <c r="G441" s="237">
        <f>[2]потребность!I407</f>
        <v>100000</v>
      </c>
      <c r="H441" s="169">
        <v>75000</v>
      </c>
      <c r="I441" s="215">
        <v>100000</v>
      </c>
      <c r="J441" s="237">
        <v>100000</v>
      </c>
      <c r="K441" s="330">
        <v>100000</v>
      </c>
      <c r="L441" s="313">
        <f t="shared" si="75"/>
        <v>0</v>
      </c>
      <c r="M441" s="314">
        <f t="shared" si="76"/>
        <v>100</v>
      </c>
      <c r="N441" s="314">
        <f t="shared" si="77"/>
        <v>100</v>
      </c>
    </row>
    <row r="442" spans="1:14" outlineLevel="1" x14ac:dyDescent="0.3">
      <c r="A442" s="213" t="s">
        <v>123</v>
      </c>
      <c r="B442" s="214" t="s">
        <v>455</v>
      </c>
      <c r="C442" s="214" t="s">
        <v>124</v>
      </c>
      <c r="D442" s="293" t="s">
        <v>126</v>
      </c>
      <c r="E442" s="293" t="s">
        <v>6</v>
      </c>
      <c r="F442" s="294">
        <v>31400196.27</v>
      </c>
      <c r="G442" s="238">
        <f t="shared" ref="G442:K443" si="83">G443</f>
        <v>47456869.619999997</v>
      </c>
      <c r="H442" s="217">
        <f t="shared" si="83"/>
        <v>20087351.119999997</v>
      </c>
      <c r="I442" s="217">
        <f t="shared" si="83"/>
        <v>59124839</v>
      </c>
      <c r="J442" s="238">
        <f t="shared" si="83"/>
        <v>84007682.859999999</v>
      </c>
      <c r="K442" s="331">
        <f t="shared" si="83"/>
        <v>84007682.859999999</v>
      </c>
      <c r="L442" s="313">
        <f t="shared" si="75"/>
        <v>0</v>
      </c>
      <c r="M442" s="314">
        <f t="shared" si="76"/>
        <v>177.0190143864782</v>
      </c>
      <c r="N442" s="314">
        <f t="shared" si="77"/>
        <v>177.0190143864782</v>
      </c>
    </row>
    <row r="443" spans="1:14" ht="34" outlineLevel="1" x14ac:dyDescent="0.3">
      <c r="A443" s="219" t="s">
        <v>132</v>
      </c>
      <c r="B443" s="220" t="s">
        <v>455</v>
      </c>
      <c r="C443" s="220" t="s">
        <v>124</v>
      </c>
      <c r="D443" s="295" t="s">
        <v>127</v>
      </c>
      <c r="E443" s="295" t="s">
        <v>6</v>
      </c>
      <c r="F443" s="294">
        <v>31400196.27</v>
      </c>
      <c r="G443" s="272">
        <f t="shared" si="83"/>
        <v>47456869.619999997</v>
      </c>
      <c r="H443" s="223">
        <f t="shared" si="83"/>
        <v>20087351.119999997</v>
      </c>
      <c r="I443" s="223">
        <f t="shared" si="83"/>
        <v>59124839</v>
      </c>
      <c r="J443" s="272">
        <f t="shared" si="83"/>
        <v>84007682.859999999</v>
      </c>
      <c r="K443" s="332">
        <f t="shared" si="83"/>
        <v>84007682.859999999</v>
      </c>
      <c r="L443" s="313">
        <f t="shared" si="75"/>
        <v>0</v>
      </c>
      <c r="M443" s="314">
        <f t="shared" si="76"/>
        <v>177.0190143864782</v>
      </c>
      <c r="N443" s="314">
        <f t="shared" si="77"/>
        <v>177.0190143864782</v>
      </c>
    </row>
    <row r="444" spans="1:14" outlineLevel="1" x14ac:dyDescent="0.3">
      <c r="A444" s="213" t="s">
        <v>269</v>
      </c>
      <c r="B444" s="214" t="s">
        <v>455</v>
      </c>
      <c r="C444" s="214" t="s">
        <v>124</v>
      </c>
      <c r="D444" s="293" t="s">
        <v>268</v>
      </c>
      <c r="E444" s="293" t="s">
        <v>6</v>
      </c>
      <c r="F444" s="294">
        <v>31400196.27</v>
      </c>
      <c r="G444" s="238">
        <f>G454+G445+G451</f>
        <v>47456869.619999997</v>
      </c>
      <c r="H444" s="217">
        <f>H454+H445+H451</f>
        <v>20087351.119999997</v>
      </c>
      <c r="I444" s="217">
        <f>I454+I445+I451</f>
        <v>59124839</v>
      </c>
      <c r="J444" s="238">
        <f>J454+J445+J451</f>
        <v>84007682.859999999</v>
      </c>
      <c r="K444" s="331">
        <f>K454+K445+K451</f>
        <v>84007682.859999999</v>
      </c>
      <c r="L444" s="313">
        <f t="shared" si="75"/>
        <v>0</v>
      </c>
      <c r="M444" s="314">
        <f t="shared" si="76"/>
        <v>177.0190143864782</v>
      </c>
      <c r="N444" s="314">
        <f t="shared" si="77"/>
        <v>177.0190143864782</v>
      </c>
    </row>
    <row r="445" spans="1:14" s="224" customFormat="1" ht="101.9" outlineLevel="1" x14ac:dyDescent="0.3">
      <c r="A445" s="185" t="s">
        <v>398</v>
      </c>
      <c r="B445" s="214" t="s">
        <v>455</v>
      </c>
      <c r="C445" s="214" t="s">
        <v>124</v>
      </c>
      <c r="D445" s="293" t="s">
        <v>399</v>
      </c>
      <c r="E445" s="293" t="s">
        <v>6</v>
      </c>
      <c r="F445" s="294">
        <v>456463.12</v>
      </c>
      <c r="G445" s="237">
        <f>G446+G448</f>
        <v>22326590.18</v>
      </c>
      <c r="H445" s="215">
        <f>H446+H448</f>
        <v>10072207.699999999</v>
      </c>
      <c r="I445" s="215">
        <f>I446+I448</f>
        <v>22604954.34</v>
      </c>
      <c r="J445" s="237">
        <f>J446+J448</f>
        <v>36028492.670000002</v>
      </c>
      <c r="K445" s="330">
        <f>K446+K448</f>
        <v>36028492.670000002</v>
      </c>
      <c r="L445" s="313">
        <f t="shared" si="75"/>
        <v>0</v>
      </c>
      <c r="M445" s="314">
        <f t="shared" si="76"/>
        <v>161.37033187572936</v>
      </c>
      <c r="N445" s="314">
        <f t="shared" si="77"/>
        <v>161.37033187572936</v>
      </c>
    </row>
    <row r="446" spans="1:14" ht="34" outlineLevel="1" x14ac:dyDescent="0.3">
      <c r="A446" s="213" t="s">
        <v>15</v>
      </c>
      <c r="B446" s="214" t="s">
        <v>455</v>
      </c>
      <c r="C446" s="214" t="s">
        <v>124</v>
      </c>
      <c r="D446" s="293" t="s">
        <v>399</v>
      </c>
      <c r="E446" s="293" t="s">
        <v>16</v>
      </c>
      <c r="F446" s="294">
        <v>456463.12</v>
      </c>
      <c r="G446" s="237">
        <f>G447</f>
        <v>130000</v>
      </c>
      <c r="H446" s="169">
        <v>74643.25</v>
      </c>
      <c r="I446" s="215">
        <f>I447</f>
        <v>130000</v>
      </c>
      <c r="J446" s="237">
        <f>J447</f>
        <v>130000</v>
      </c>
      <c r="K446" s="330">
        <f>K447</f>
        <v>130000</v>
      </c>
      <c r="L446" s="313">
        <f t="shared" si="75"/>
        <v>0</v>
      </c>
      <c r="M446" s="314">
        <f t="shared" si="76"/>
        <v>100</v>
      </c>
      <c r="N446" s="314">
        <f t="shared" si="77"/>
        <v>100</v>
      </c>
    </row>
    <row r="447" spans="1:14" s="224" customFormat="1" ht="37.549999999999997" customHeight="1" outlineLevel="1" x14ac:dyDescent="0.3">
      <c r="A447" s="213" t="s">
        <v>17</v>
      </c>
      <c r="B447" s="214" t="s">
        <v>455</v>
      </c>
      <c r="C447" s="214" t="s">
        <v>124</v>
      </c>
      <c r="D447" s="293" t="s">
        <v>399</v>
      </c>
      <c r="E447" s="293" t="s">
        <v>18</v>
      </c>
      <c r="F447" s="294">
        <v>456463.12</v>
      </c>
      <c r="G447" s="237">
        <v>130000</v>
      </c>
      <c r="H447" s="169">
        <v>74643.25</v>
      </c>
      <c r="I447" s="215">
        <v>130000</v>
      </c>
      <c r="J447" s="272">
        <v>130000</v>
      </c>
      <c r="K447" s="332">
        <v>130000</v>
      </c>
      <c r="L447" s="313">
        <f t="shared" si="75"/>
        <v>0</v>
      </c>
      <c r="M447" s="314">
        <f t="shared" si="76"/>
        <v>100</v>
      </c>
      <c r="N447" s="314">
        <f t="shared" si="77"/>
        <v>100</v>
      </c>
    </row>
    <row r="448" spans="1:14" outlineLevel="1" x14ac:dyDescent="0.3">
      <c r="A448" s="213" t="s">
        <v>90</v>
      </c>
      <c r="B448" s="214" t="s">
        <v>455</v>
      </c>
      <c r="C448" s="214" t="s">
        <v>124</v>
      </c>
      <c r="D448" s="293" t="s">
        <v>399</v>
      </c>
      <c r="E448" s="293" t="s">
        <v>91</v>
      </c>
      <c r="F448" s="294">
        <v>13734787.529999999</v>
      </c>
      <c r="G448" s="237">
        <f>G449+G450</f>
        <v>22196590.18</v>
      </c>
      <c r="H448" s="169">
        <v>9997564.4499999993</v>
      </c>
      <c r="I448" s="215">
        <f>I449+I450</f>
        <v>22474954.34</v>
      </c>
      <c r="J448" s="237">
        <f>J449+J450</f>
        <v>35898492.670000002</v>
      </c>
      <c r="K448" s="330">
        <f>K449+K450</f>
        <v>35898492.670000002</v>
      </c>
      <c r="L448" s="313">
        <f t="shared" si="75"/>
        <v>0</v>
      </c>
      <c r="M448" s="314">
        <f t="shared" si="76"/>
        <v>161.72976290000594</v>
      </c>
      <c r="N448" s="314">
        <f t="shared" si="77"/>
        <v>161.72976290000594</v>
      </c>
    </row>
    <row r="449" spans="1:14" ht="39.4" customHeight="1" outlineLevel="1" x14ac:dyDescent="0.3">
      <c r="A449" s="213" t="s">
        <v>92</v>
      </c>
      <c r="B449" s="214" t="s">
        <v>455</v>
      </c>
      <c r="C449" s="214" t="s">
        <v>124</v>
      </c>
      <c r="D449" s="293" t="s">
        <v>399</v>
      </c>
      <c r="E449" s="293" t="s">
        <v>93</v>
      </c>
      <c r="F449" s="294">
        <v>105651.19</v>
      </c>
      <c r="G449" s="237">
        <f>19797344.4+399245.78</f>
        <v>20196590.18</v>
      </c>
      <c r="H449" s="169">
        <v>8539128.2200000007</v>
      </c>
      <c r="I449" s="215">
        <v>20474954.34</v>
      </c>
      <c r="J449" s="238">
        <v>33898492.670000002</v>
      </c>
      <c r="K449" s="331">
        <v>33898492.670000002</v>
      </c>
      <c r="L449" s="313">
        <f t="shared" si="75"/>
        <v>0</v>
      </c>
      <c r="M449" s="314">
        <f t="shared" si="76"/>
        <v>167.84265248679716</v>
      </c>
      <c r="N449" s="314">
        <f t="shared" si="77"/>
        <v>167.84265248679716</v>
      </c>
    </row>
    <row r="450" spans="1:14" ht="47.25" customHeight="1" outlineLevel="1" x14ac:dyDescent="0.3">
      <c r="A450" s="213" t="s">
        <v>97</v>
      </c>
      <c r="B450" s="214" t="s">
        <v>455</v>
      </c>
      <c r="C450" s="214" t="s">
        <v>124</v>
      </c>
      <c r="D450" s="293" t="s">
        <v>399</v>
      </c>
      <c r="E450" s="293" t="s">
        <v>98</v>
      </c>
      <c r="F450" s="294">
        <v>105651.19</v>
      </c>
      <c r="G450" s="237">
        <v>2000000</v>
      </c>
      <c r="H450" s="169">
        <v>1458436.23</v>
      </c>
      <c r="I450" s="215">
        <v>2000000</v>
      </c>
      <c r="J450" s="238">
        <v>2000000</v>
      </c>
      <c r="K450" s="331">
        <v>2000000</v>
      </c>
      <c r="L450" s="313">
        <f t="shared" si="75"/>
        <v>0</v>
      </c>
      <c r="M450" s="314">
        <f t="shared" si="76"/>
        <v>100</v>
      </c>
      <c r="N450" s="314">
        <f t="shared" si="77"/>
        <v>100</v>
      </c>
    </row>
    <row r="451" spans="1:14" ht="84.25" customHeight="1" outlineLevel="1" x14ac:dyDescent="0.3">
      <c r="A451" s="185" t="s">
        <v>679</v>
      </c>
      <c r="B451" s="214" t="s">
        <v>455</v>
      </c>
      <c r="C451" s="214" t="s">
        <v>124</v>
      </c>
      <c r="D451" s="293" t="s">
        <v>699</v>
      </c>
      <c r="E451" s="293" t="s">
        <v>6</v>
      </c>
      <c r="F451" s="294">
        <v>13629136.34</v>
      </c>
      <c r="G451" s="237">
        <f t="shared" ref="G451:K452" si="84">G452</f>
        <v>16214571.039999999</v>
      </c>
      <c r="H451" s="215">
        <f t="shared" si="84"/>
        <v>10015143.42</v>
      </c>
      <c r="I451" s="215">
        <f t="shared" si="84"/>
        <v>16214571.039999999</v>
      </c>
      <c r="J451" s="237">
        <f t="shared" si="84"/>
        <v>21307950</v>
      </c>
      <c r="K451" s="330">
        <f t="shared" si="84"/>
        <v>21307950</v>
      </c>
      <c r="L451" s="313">
        <f t="shared" si="75"/>
        <v>0</v>
      </c>
      <c r="M451" s="314">
        <f t="shared" si="76"/>
        <v>131.41235711654079</v>
      </c>
      <c r="N451" s="314">
        <f t="shared" si="77"/>
        <v>131.41235711654079</v>
      </c>
    </row>
    <row r="452" spans="1:14" ht="40.75" customHeight="1" outlineLevel="1" x14ac:dyDescent="0.3">
      <c r="A452" s="213" t="s">
        <v>258</v>
      </c>
      <c r="B452" s="214" t="s">
        <v>455</v>
      </c>
      <c r="C452" s="214" t="s">
        <v>124</v>
      </c>
      <c r="D452" s="293" t="s">
        <v>699</v>
      </c>
      <c r="E452" s="293" t="s">
        <v>259</v>
      </c>
      <c r="F452" s="294">
        <v>11719309.77</v>
      </c>
      <c r="G452" s="237">
        <f t="shared" si="84"/>
        <v>16214571.039999999</v>
      </c>
      <c r="H452" s="169">
        <v>10015143.42</v>
      </c>
      <c r="I452" s="215">
        <f t="shared" si="84"/>
        <v>16214571.039999999</v>
      </c>
      <c r="J452" s="237">
        <f t="shared" si="84"/>
        <v>21307950</v>
      </c>
      <c r="K452" s="330">
        <f t="shared" si="84"/>
        <v>21307950</v>
      </c>
      <c r="L452" s="313">
        <f t="shared" si="75"/>
        <v>0</v>
      </c>
      <c r="M452" s="314">
        <f t="shared" si="76"/>
        <v>131.41235711654079</v>
      </c>
      <c r="N452" s="314">
        <f t="shared" si="77"/>
        <v>131.41235711654079</v>
      </c>
    </row>
    <row r="453" spans="1:14" ht="28.55" customHeight="1" outlineLevel="1" x14ac:dyDescent="0.3">
      <c r="A453" s="213" t="s">
        <v>260</v>
      </c>
      <c r="B453" s="214" t="s">
        <v>455</v>
      </c>
      <c r="C453" s="214" t="s">
        <v>124</v>
      </c>
      <c r="D453" s="293" t="s">
        <v>699</v>
      </c>
      <c r="E453" s="293" t="s">
        <v>261</v>
      </c>
      <c r="F453" s="294">
        <v>1909826.57</v>
      </c>
      <c r="G453" s="237">
        <v>16214571.039999999</v>
      </c>
      <c r="H453" s="169">
        <v>10015143.42</v>
      </c>
      <c r="I453" s="215">
        <v>16214571.039999999</v>
      </c>
      <c r="J453" s="238">
        <v>21307950</v>
      </c>
      <c r="K453" s="331">
        <v>21307950</v>
      </c>
      <c r="L453" s="313">
        <f t="shared" si="75"/>
        <v>0</v>
      </c>
      <c r="M453" s="314">
        <f t="shared" si="76"/>
        <v>131.41235711654079</v>
      </c>
      <c r="N453" s="314">
        <f t="shared" si="77"/>
        <v>131.41235711654079</v>
      </c>
    </row>
    <row r="454" spans="1:14" ht="89.15" customHeight="1" outlineLevel="1" x14ac:dyDescent="0.3">
      <c r="A454" s="185" t="s">
        <v>593</v>
      </c>
      <c r="B454" s="214" t="s">
        <v>455</v>
      </c>
      <c r="C454" s="214" t="s">
        <v>124</v>
      </c>
      <c r="D454" s="293" t="s">
        <v>287</v>
      </c>
      <c r="E454" s="293" t="s">
        <v>6</v>
      </c>
      <c r="F454" s="294">
        <v>17208945.620000001</v>
      </c>
      <c r="G454" s="238">
        <f t="shared" ref="G454:K455" si="85">G455</f>
        <v>8915708.4000000004</v>
      </c>
      <c r="H454" s="217">
        <f t="shared" si="85"/>
        <v>0</v>
      </c>
      <c r="I454" s="217">
        <f t="shared" si="85"/>
        <v>20305313.620000001</v>
      </c>
      <c r="J454" s="238">
        <f t="shared" si="85"/>
        <v>26671240.190000001</v>
      </c>
      <c r="K454" s="331">
        <f t="shared" si="85"/>
        <v>26671240.190000001</v>
      </c>
      <c r="L454" s="313">
        <f t="shared" si="75"/>
        <v>0</v>
      </c>
      <c r="M454" s="314">
        <f t="shared" si="76"/>
        <v>299.14886168776002</v>
      </c>
      <c r="N454" s="314">
        <f t="shared" si="77"/>
        <v>299.14886168776002</v>
      </c>
    </row>
    <row r="455" spans="1:14" ht="36.700000000000003" customHeight="1" outlineLevel="1" x14ac:dyDescent="0.3">
      <c r="A455" s="213" t="s">
        <v>258</v>
      </c>
      <c r="B455" s="214" t="s">
        <v>455</v>
      </c>
      <c r="C455" s="214" t="s">
        <v>124</v>
      </c>
      <c r="D455" s="293" t="s">
        <v>287</v>
      </c>
      <c r="E455" s="293" t="s">
        <v>259</v>
      </c>
      <c r="F455" s="294">
        <v>17208945.620000001</v>
      </c>
      <c r="G455" s="238">
        <f t="shared" si="85"/>
        <v>8915708.4000000004</v>
      </c>
      <c r="H455" s="217">
        <v>0</v>
      </c>
      <c r="I455" s="217">
        <f t="shared" si="85"/>
        <v>20305313.620000001</v>
      </c>
      <c r="J455" s="238">
        <f t="shared" si="85"/>
        <v>26671240.190000001</v>
      </c>
      <c r="K455" s="331">
        <f t="shared" si="85"/>
        <v>26671240.190000001</v>
      </c>
      <c r="L455" s="313">
        <f t="shared" si="75"/>
        <v>0</v>
      </c>
      <c r="M455" s="314">
        <f t="shared" si="76"/>
        <v>299.14886168776002</v>
      </c>
      <c r="N455" s="314">
        <f t="shared" si="77"/>
        <v>299.14886168776002</v>
      </c>
    </row>
    <row r="456" spans="1:14" outlineLevel="1" x14ac:dyDescent="0.3">
      <c r="A456" s="213" t="s">
        <v>260</v>
      </c>
      <c r="B456" s="214" t="s">
        <v>455</v>
      </c>
      <c r="C456" s="214" t="s">
        <v>124</v>
      </c>
      <c r="D456" s="293" t="s">
        <v>287</v>
      </c>
      <c r="E456" s="293" t="s">
        <v>261</v>
      </c>
      <c r="F456" s="294">
        <v>17208945.620000001</v>
      </c>
      <c r="G456" s="237">
        <f>10197469.69-468919.69-812841.6</f>
        <v>8915708.4000000004</v>
      </c>
      <c r="H456" s="215">
        <v>0</v>
      </c>
      <c r="I456" s="215">
        <v>20305313.620000001</v>
      </c>
      <c r="J456" s="238">
        <v>26671240.190000001</v>
      </c>
      <c r="K456" s="331">
        <v>26671240.190000001</v>
      </c>
      <c r="L456" s="313">
        <f t="shared" ref="L456:L519" si="86">K456-J456</f>
        <v>0</v>
      </c>
      <c r="M456" s="314">
        <f t="shared" si="76"/>
        <v>299.14886168776002</v>
      </c>
      <c r="N456" s="314">
        <f t="shared" si="77"/>
        <v>299.14886168776002</v>
      </c>
    </row>
    <row r="457" spans="1:14" outlineLevel="1" x14ac:dyDescent="0.3">
      <c r="A457" s="219" t="s">
        <v>100</v>
      </c>
      <c r="B457" s="220" t="s">
        <v>455</v>
      </c>
      <c r="C457" s="220" t="s">
        <v>101</v>
      </c>
      <c r="D457" s="295" t="s">
        <v>126</v>
      </c>
      <c r="E457" s="295" t="s">
        <v>6</v>
      </c>
      <c r="F457" s="294">
        <v>710998.64</v>
      </c>
      <c r="G457" s="272">
        <f>G458</f>
        <v>11156395.439999999</v>
      </c>
      <c r="H457" s="223">
        <f>H458</f>
        <v>10079819.859999999</v>
      </c>
      <c r="I457" s="223">
        <f>I458</f>
        <v>1973229.4</v>
      </c>
      <c r="J457" s="272">
        <f>J458</f>
        <v>4222913.54</v>
      </c>
      <c r="K457" s="332">
        <f>K458</f>
        <v>4222913.54</v>
      </c>
      <c r="L457" s="313">
        <f t="shared" si="86"/>
        <v>0</v>
      </c>
      <c r="M457" s="314">
        <f t="shared" si="76"/>
        <v>37.85195283468726</v>
      </c>
      <c r="N457" s="314">
        <f t="shared" si="77"/>
        <v>37.85195283468726</v>
      </c>
    </row>
    <row r="458" spans="1:14" ht="22.75" customHeight="1" outlineLevel="1" x14ac:dyDescent="0.3">
      <c r="A458" s="213" t="s">
        <v>291</v>
      </c>
      <c r="B458" s="214" t="s">
        <v>455</v>
      </c>
      <c r="C458" s="214" t="s">
        <v>290</v>
      </c>
      <c r="D458" s="293" t="s">
        <v>126</v>
      </c>
      <c r="E458" s="293" t="s">
        <v>6</v>
      </c>
      <c r="F458" s="294">
        <v>710998.64</v>
      </c>
      <c r="G458" s="238">
        <f>G459+G500</f>
        <v>11156395.439999999</v>
      </c>
      <c r="H458" s="217">
        <f>H459+H500</f>
        <v>10079819.859999999</v>
      </c>
      <c r="I458" s="217">
        <f>I459+I500</f>
        <v>1973229.4</v>
      </c>
      <c r="J458" s="238">
        <f>J459+J500</f>
        <v>4222913.54</v>
      </c>
      <c r="K458" s="331">
        <f>K459+K500</f>
        <v>4222913.54</v>
      </c>
      <c r="L458" s="313">
        <f t="shared" si="86"/>
        <v>0</v>
      </c>
      <c r="M458" s="314">
        <f t="shared" si="76"/>
        <v>37.85195283468726</v>
      </c>
      <c r="N458" s="314">
        <f t="shared" si="77"/>
        <v>37.85195283468726</v>
      </c>
    </row>
    <row r="459" spans="1:14" ht="59.8" customHeight="1" outlineLevel="1" x14ac:dyDescent="0.3">
      <c r="A459" s="219" t="s">
        <v>730</v>
      </c>
      <c r="B459" s="220" t="s">
        <v>455</v>
      </c>
      <c r="C459" s="220" t="s">
        <v>290</v>
      </c>
      <c r="D459" s="295" t="s">
        <v>198</v>
      </c>
      <c r="E459" s="295" t="s">
        <v>6</v>
      </c>
      <c r="F459" s="296">
        <v>660998.64</v>
      </c>
      <c r="G459" s="272">
        <f>G460+G484</f>
        <v>11106395.439999999</v>
      </c>
      <c r="H459" s="223">
        <f>H460+H484</f>
        <v>10029819.859999999</v>
      </c>
      <c r="I459" s="223">
        <f>I460+I484</f>
        <v>1923229.4</v>
      </c>
      <c r="J459" s="272">
        <f>J460+J484</f>
        <v>4172913.54</v>
      </c>
      <c r="K459" s="332">
        <f>K460+K484</f>
        <v>4172913.54</v>
      </c>
      <c r="L459" s="313">
        <f t="shared" si="86"/>
        <v>0</v>
      </c>
      <c r="M459" s="314">
        <f t="shared" si="76"/>
        <v>37.572167878798311</v>
      </c>
      <c r="N459" s="314">
        <f t="shared" si="77"/>
        <v>37.572167878798311</v>
      </c>
    </row>
    <row r="460" spans="1:14" ht="50.95" outlineLevel="1" x14ac:dyDescent="0.3">
      <c r="A460" s="213" t="s">
        <v>731</v>
      </c>
      <c r="B460" s="214" t="s">
        <v>455</v>
      </c>
      <c r="C460" s="214" t="s">
        <v>290</v>
      </c>
      <c r="D460" s="293" t="s">
        <v>227</v>
      </c>
      <c r="E460" s="293" t="s">
        <v>6</v>
      </c>
      <c r="F460" s="294">
        <v>660998.64</v>
      </c>
      <c r="G460" s="238">
        <f>G461+G466+G469+G472+G475</f>
        <v>9907138.4499999993</v>
      </c>
      <c r="H460" s="217">
        <f>H461+H466+H469+H472+H475</f>
        <v>9833329.7299999986</v>
      </c>
      <c r="I460" s="217">
        <f>I461+I466+I469+I472+I475</f>
        <v>661000</v>
      </c>
      <c r="J460" s="238">
        <f>J461+J466+J469+J472+J475+J478+J481+J488+J491</f>
        <v>3055571.62</v>
      </c>
      <c r="K460" s="331">
        <f>K461+K466+K469+K472+K475+K478+K481+K488+K491</f>
        <v>3055571.62</v>
      </c>
      <c r="L460" s="313">
        <f t="shared" si="86"/>
        <v>0</v>
      </c>
      <c r="M460" s="314">
        <f t="shared" ref="M460:M523" si="87">J460/G460%</f>
        <v>30.842120915348676</v>
      </c>
      <c r="N460" s="314">
        <f t="shared" ref="N460:N523" si="88">K460/G460*100</f>
        <v>30.842120915348676</v>
      </c>
    </row>
    <row r="461" spans="1:14" ht="28.55" customHeight="1" outlineLevel="1" x14ac:dyDescent="0.3">
      <c r="A461" s="213" t="s">
        <v>102</v>
      </c>
      <c r="B461" s="214" t="s">
        <v>455</v>
      </c>
      <c r="C461" s="214" t="s">
        <v>290</v>
      </c>
      <c r="D461" s="293" t="s">
        <v>199</v>
      </c>
      <c r="E461" s="293" t="s">
        <v>6</v>
      </c>
      <c r="F461" s="294">
        <v>660998.64</v>
      </c>
      <c r="G461" s="238">
        <f>G462+G464</f>
        <v>704500</v>
      </c>
      <c r="H461" s="217">
        <f>H462+H464</f>
        <v>630691.68000000005</v>
      </c>
      <c r="I461" s="217">
        <f>I462+I464</f>
        <v>661000</v>
      </c>
      <c r="J461" s="238">
        <f>J462+J464</f>
        <v>661000</v>
      </c>
      <c r="K461" s="331">
        <f>K462+K464</f>
        <v>661000</v>
      </c>
      <c r="L461" s="313">
        <f t="shared" si="86"/>
        <v>0</v>
      </c>
      <c r="M461" s="314">
        <f t="shared" si="87"/>
        <v>93.825408090844576</v>
      </c>
      <c r="N461" s="314">
        <f t="shared" si="88"/>
        <v>93.825408090844576</v>
      </c>
    </row>
    <row r="462" spans="1:14" ht="21.25" customHeight="1" outlineLevel="1" x14ac:dyDescent="0.3">
      <c r="A462" s="213" t="s">
        <v>15</v>
      </c>
      <c r="B462" s="214" t="s">
        <v>455</v>
      </c>
      <c r="C462" s="214" t="s">
        <v>290</v>
      </c>
      <c r="D462" s="293" t="s">
        <v>199</v>
      </c>
      <c r="E462" s="293" t="s">
        <v>16</v>
      </c>
      <c r="F462" s="294">
        <v>639298.64</v>
      </c>
      <c r="G462" s="238">
        <f>G463</f>
        <v>674500</v>
      </c>
      <c r="H462" s="169">
        <v>607991.68000000005</v>
      </c>
      <c r="I462" s="217">
        <f>I463</f>
        <v>631000</v>
      </c>
      <c r="J462" s="238">
        <f>J463</f>
        <v>631000</v>
      </c>
      <c r="K462" s="331">
        <f>K463</f>
        <v>631000</v>
      </c>
      <c r="L462" s="313">
        <f t="shared" si="86"/>
        <v>0</v>
      </c>
      <c r="M462" s="314">
        <f t="shared" si="87"/>
        <v>93.550778354336543</v>
      </c>
      <c r="N462" s="314">
        <f t="shared" si="88"/>
        <v>93.550778354336543</v>
      </c>
    </row>
    <row r="463" spans="1:14" s="224" customFormat="1" ht="34" outlineLevel="1" x14ac:dyDescent="0.3">
      <c r="A463" s="213" t="s">
        <v>17</v>
      </c>
      <c r="B463" s="214" t="s">
        <v>455</v>
      </c>
      <c r="C463" s="214" t="s">
        <v>290</v>
      </c>
      <c r="D463" s="293" t="s">
        <v>199</v>
      </c>
      <c r="E463" s="293" t="s">
        <v>18</v>
      </c>
      <c r="F463" s="294">
        <v>639298.64</v>
      </c>
      <c r="G463" s="238">
        <f>[2]потребность!L432-156500</f>
        <v>674500</v>
      </c>
      <c r="H463" s="169">
        <v>607991.68000000005</v>
      </c>
      <c r="I463" s="217">
        <v>631000</v>
      </c>
      <c r="J463" s="272">
        <v>631000</v>
      </c>
      <c r="K463" s="332">
        <v>631000</v>
      </c>
      <c r="L463" s="313">
        <f t="shared" si="86"/>
        <v>0</v>
      </c>
      <c r="M463" s="314">
        <f t="shared" si="87"/>
        <v>93.550778354336543</v>
      </c>
      <c r="N463" s="314">
        <f t="shared" si="88"/>
        <v>93.550778354336543</v>
      </c>
    </row>
    <row r="464" spans="1:14" ht="24.8" customHeight="1" outlineLevel="2" x14ac:dyDescent="0.3">
      <c r="A464" s="213" t="s">
        <v>265</v>
      </c>
      <c r="B464" s="214" t="s">
        <v>455</v>
      </c>
      <c r="C464" s="214" t="s">
        <v>290</v>
      </c>
      <c r="D464" s="293" t="s">
        <v>199</v>
      </c>
      <c r="E464" s="293" t="s">
        <v>20</v>
      </c>
      <c r="F464" s="294">
        <v>21700</v>
      </c>
      <c r="G464" s="238">
        <f>G465</f>
        <v>30000</v>
      </c>
      <c r="H464" s="169">
        <v>22700</v>
      </c>
      <c r="I464" s="217">
        <f>I465</f>
        <v>30000</v>
      </c>
      <c r="J464" s="238">
        <f>J465</f>
        <v>30000</v>
      </c>
      <c r="K464" s="331">
        <f>K465</f>
        <v>30000</v>
      </c>
      <c r="L464" s="313">
        <f t="shared" si="86"/>
        <v>0</v>
      </c>
      <c r="M464" s="314">
        <f t="shared" si="87"/>
        <v>100</v>
      </c>
      <c r="N464" s="314">
        <f t="shared" si="88"/>
        <v>100</v>
      </c>
    </row>
    <row r="465" spans="1:14" s="224" customFormat="1" ht="27.7" customHeight="1" outlineLevel="3" x14ac:dyDescent="0.3">
      <c r="A465" s="213" t="s">
        <v>266</v>
      </c>
      <c r="B465" s="214" t="s">
        <v>455</v>
      </c>
      <c r="C465" s="214" t="s">
        <v>290</v>
      </c>
      <c r="D465" s="293" t="s">
        <v>199</v>
      </c>
      <c r="E465" s="293" t="s">
        <v>22</v>
      </c>
      <c r="F465" s="294">
        <v>21700</v>
      </c>
      <c r="G465" s="238">
        <v>30000</v>
      </c>
      <c r="H465" s="169">
        <v>22700</v>
      </c>
      <c r="I465" s="217">
        <v>30000</v>
      </c>
      <c r="J465" s="272">
        <v>30000</v>
      </c>
      <c r="K465" s="332">
        <v>30000</v>
      </c>
      <c r="L465" s="313">
        <f t="shared" si="86"/>
        <v>0</v>
      </c>
      <c r="M465" s="314">
        <f t="shared" si="87"/>
        <v>100</v>
      </c>
      <c r="N465" s="314">
        <f t="shared" si="88"/>
        <v>100</v>
      </c>
    </row>
    <row r="466" spans="1:14" s="224" customFormat="1" ht="43.5" customHeight="1" outlineLevel="3" x14ac:dyDescent="0.3">
      <c r="A466" s="213" t="s">
        <v>273</v>
      </c>
      <c r="B466" s="214" t="s">
        <v>455</v>
      </c>
      <c r="C466" s="214" t="s">
        <v>290</v>
      </c>
      <c r="D466" s="293" t="s">
        <v>792</v>
      </c>
      <c r="E466" s="293" t="s">
        <v>6</v>
      </c>
      <c r="F466" s="293"/>
      <c r="G466" s="238">
        <f>G467</f>
        <v>6553690</v>
      </c>
      <c r="H466" s="217">
        <f>H467</f>
        <v>6553689.5999999996</v>
      </c>
      <c r="I466" s="217">
        <v>0</v>
      </c>
      <c r="J466" s="238">
        <f>J467</f>
        <v>0</v>
      </c>
      <c r="K466" s="331">
        <f>K467</f>
        <v>0</v>
      </c>
      <c r="L466" s="313">
        <f t="shared" si="86"/>
        <v>0</v>
      </c>
      <c r="M466" s="314">
        <f t="shared" si="87"/>
        <v>0</v>
      </c>
      <c r="N466" s="314">
        <f t="shared" si="88"/>
        <v>0</v>
      </c>
    </row>
    <row r="467" spans="1:14" s="224" customFormat="1" ht="27.7" customHeight="1" outlineLevel="3" x14ac:dyDescent="0.3">
      <c r="A467" s="213" t="s">
        <v>15</v>
      </c>
      <c r="B467" s="214" t="s">
        <v>455</v>
      </c>
      <c r="C467" s="214" t="s">
        <v>290</v>
      </c>
      <c r="D467" s="293" t="s">
        <v>792</v>
      </c>
      <c r="E467" s="293" t="s">
        <v>16</v>
      </c>
      <c r="F467" s="293"/>
      <c r="G467" s="238">
        <f>G468</f>
        <v>6553690</v>
      </c>
      <c r="H467" s="169">
        <v>6553689.5999999996</v>
      </c>
      <c r="I467" s="217">
        <v>0</v>
      </c>
      <c r="J467" s="238">
        <f>J468</f>
        <v>0</v>
      </c>
      <c r="K467" s="331">
        <f>K468</f>
        <v>0</v>
      </c>
      <c r="L467" s="313">
        <f t="shared" si="86"/>
        <v>0</v>
      </c>
      <c r="M467" s="314">
        <f t="shared" si="87"/>
        <v>0</v>
      </c>
      <c r="N467" s="314">
        <f t="shared" si="88"/>
        <v>0</v>
      </c>
    </row>
    <row r="468" spans="1:14" s="224" customFormat="1" ht="49.75" customHeight="1" outlineLevel="3" x14ac:dyDescent="0.3">
      <c r="A468" s="213" t="s">
        <v>17</v>
      </c>
      <c r="B468" s="214" t="s">
        <v>455</v>
      </c>
      <c r="C468" s="214" t="s">
        <v>290</v>
      </c>
      <c r="D468" s="293" t="s">
        <v>792</v>
      </c>
      <c r="E468" s="293" t="s">
        <v>18</v>
      </c>
      <c r="F468" s="293"/>
      <c r="G468" s="238">
        <v>6553690</v>
      </c>
      <c r="H468" s="169">
        <v>6553689.5999999996</v>
      </c>
      <c r="I468" s="217">
        <v>0</v>
      </c>
      <c r="J468" s="272">
        <v>0</v>
      </c>
      <c r="K468" s="332">
        <v>0</v>
      </c>
      <c r="L468" s="313">
        <f t="shared" si="86"/>
        <v>0</v>
      </c>
      <c r="M468" s="314">
        <f t="shared" si="87"/>
        <v>0</v>
      </c>
      <c r="N468" s="314">
        <f t="shared" si="88"/>
        <v>0</v>
      </c>
    </row>
    <row r="469" spans="1:14" s="224" customFormat="1" ht="38.049999999999997" customHeight="1" outlineLevel="3" x14ac:dyDescent="0.3">
      <c r="A469" s="213" t="s">
        <v>791</v>
      </c>
      <c r="B469" s="214" t="s">
        <v>455</v>
      </c>
      <c r="C469" s="214" t="s">
        <v>290</v>
      </c>
      <c r="D469" s="293" t="s">
        <v>793</v>
      </c>
      <c r="E469" s="293" t="s">
        <v>6</v>
      </c>
      <c r="F469" s="293"/>
      <c r="G469" s="238">
        <f>G470</f>
        <v>0</v>
      </c>
      <c r="H469" s="217">
        <f>H470</f>
        <v>0</v>
      </c>
      <c r="I469" s="217">
        <v>0</v>
      </c>
      <c r="J469" s="238">
        <f>J470</f>
        <v>0</v>
      </c>
      <c r="K469" s="331">
        <f>K470</f>
        <v>0</v>
      </c>
      <c r="L469" s="313">
        <f t="shared" si="86"/>
        <v>0</v>
      </c>
      <c r="M469" s="314"/>
      <c r="N469" s="314"/>
    </row>
    <row r="470" spans="1:14" s="224" customFormat="1" ht="27.7" customHeight="1" outlineLevel="3" x14ac:dyDescent="0.3">
      <c r="A470" s="213" t="s">
        <v>15</v>
      </c>
      <c r="B470" s="214" t="s">
        <v>455</v>
      </c>
      <c r="C470" s="214" t="s">
        <v>290</v>
      </c>
      <c r="D470" s="293" t="s">
        <v>793</v>
      </c>
      <c r="E470" s="293" t="s">
        <v>16</v>
      </c>
      <c r="F470" s="293"/>
      <c r="G470" s="238">
        <f>G471</f>
        <v>0</v>
      </c>
      <c r="H470" s="217">
        <f>H471</f>
        <v>0</v>
      </c>
      <c r="I470" s="217">
        <v>0</v>
      </c>
      <c r="J470" s="238">
        <f>J471</f>
        <v>0</v>
      </c>
      <c r="K470" s="331">
        <f>K471</f>
        <v>0</v>
      </c>
      <c r="L470" s="313">
        <f t="shared" si="86"/>
        <v>0</v>
      </c>
      <c r="M470" s="314"/>
      <c r="N470" s="314"/>
    </row>
    <row r="471" spans="1:14" s="224" customFormat="1" ht="41.95" customHeight="1" outlineLevel="3" x14ac:dyDescent="0.3">
      <c r="A471" s="213" t="s">
        <v>17</v>
      </c>
      <c r="B471" s="214" t="s">
        <v>455</v>
      </c>
      <c r="C471" s="214" t="s">
        <v>290</v>
      </c>
      <c r="D471" s="293" t="s">
        <v>793</v>
      </c>
      <c r="E471" s="293" t="s">
        <v>18</v>
      </c>
      <c r="F471" s="293"/>
      <c r="G471" s="238">
        <f>647275.5-317251-330024.5</f>
        <v>0</v>
      </c>
      <c r="H471" s="217">
        <f>647275.5-317251-330024.5</f>
        <v>0</v>
      </c>
      <c r="I471" s="217">
        <v>0</v>
      </c>
      <c r="J471" s="238">
        <f>647275.5-317251-330024.5</f>
        <v>0</v>
      </c>
      <c r="K471" s="331">
        <f>647275.5-317251-330024.5</f>
        <v>0</v>
      </c>
      <c r="L471" s="313">
        <f t="shared" si="86"/>
        <v>0</v>
      </c>
      <c r="M471" s="314"/>
      <c r="N471" s="314"/>
    </row>
    <row r="472" spans="1:14" s="224" customFormat="1" ht="59.8" customHeight="1" outlineLevel="3" x14ac:dyDescent="0.3">
      <c r="A472" s="228" t="s">
        <v>812</v>
      </c>
      <c r="B472" s="214" t="s">
        <v>455</v>
      </c>
      <c r="C472" s="214" t="s">
        <v>290</v>
      </c>
      <c r="D472" s="293" t="s">
        <v>813</v>
      </c>
      <c r="E472" s="293" t="s">
        <v>6</v>
      </c>
      <c r="F472" s="293"/>
      <c r="G472" s="238">
        <f t="shared" ref="G472:K473" si="89">G473</f>
        <v>2569480</v>
      </c>
      <c r="H472" s="217">
        <f t="shared" si="89"/>
        <v>2569480</v>
      </c>
      <c r="I472" s="217">
        <f t="shared" si="89"/>
        <v>0</v>
      </c>
      <c r="J472" s="238">
        <f t="shared" si="89"/>
        <v>0</v>
      </c>
      <c r="K472" s="331">
        <f t="shared" si="89"/>
        <v>0</v>
      </c>
      <c r="L472" s="313">
        <f t="shared" si="86"/>
        <v>0</v>
      </c>
      <c r="M472" s="314">
        <f t="shared" si="87"/>
        <v>0</v>
      </c>
      <c r="N472" s="314">
        <f t="shared" si="88"/>
        <v>0</v>
      </c>
    </row>
    <row r="473" spans="1:14" s="224" customFormat="1" ht="41.95" customHeight="1" outlineLevel="3" x14ac:dyDescent="0.3">
      <c r="A473" s="213" t="s">
        <v>15</v>
      </c>
      <c r="B473" s="214" t="s">
        <v>455</v>
      </c>
      <c r="C473" s="214" t="s">
        <v>290</v>
      </c>
      <c r="D473" s="293" t="s">
        <v>813</v>
      </c>
      <c r="E473" s="293" t="s">
        <v>16</v>
      </c>
      <c r="F473" s="293"/>
      <c r="G473" s="238">
        <f t="shared" si="89"/>
        <v>2569480</v>
      </c>
      <c r="H473" s="169">
        <v>2569480</v>
      </c>
      <c r="I473" s="217">
        <f t="shared" si="89"/>
        <v>0</v>
      </c>
      <c r="J473" s="238">
        <f t="shared" si="89"/>
        <v>0</v>
      </c>
      <c r="K473" s="331">
        <f t="shared" si="89"/>
        <v>0</v>
      </c>
      <c r="L473" s="313">
        <f t="shared" si="86"/>
        <v>0</v>
      </c>
      <c r="M473" s="314">
        <f t="shared" si="87"/>
        <v>0</v>
      </c>
      <c r="N473" s="314">
        <f t="shared" si="88"/>
        <v>0</v>
      </c>
    </row>
    <row r="474" spans="1:14" s="224" customFormat="1" ht="27.7" customHeight="1" outlineLevel="3" x14ac:dyDescent="0.3">
      <c r="A474" s="213" t="s">
        <v>17</v>
      </c>
      <c r="B474" s="214" t="s">
        <v>455</v>
      </c>
      <c r="C474" s="214" t="s">
        <v>290</v>
      </c>
      <c r="D474" s="293" t="s">
        <v>813</v>
      </c>
      <c r="E474" s="293" t="s">
        <v>18</v>
      </c>
      <c r="F474" s="293"/>
      <c r="G474" s="238">
        <v>2569480</v>
      </c>
      <c r="H474" s="169">
        <v>2569480</v>
      </c>
      <c r="I474" s="217">
        <v>0</v>
      </c>
      <c r="J474" s="272">
        <v>0</v>
      </c>
      <c r="K474" s="332">
        <v>0</v>
      </c>
      <c r="L474" s="313">
        <f t="shared" si="86"/>
        <v>0</v>
      </c>
      <c r="M474" s="314">
        <f t="shared" si="87"/>
        <v>0</v>
      </c>
      <c r="N474" s="314">
        <f t="shared" si="88"/>
        <v>0</v>
      </c>
    </row>
    <row r="475" spans="1:14" s="224" customFormat="1" ht="64.2" customHeight="1" outlineLevel="3" x14ac:dyDescent="0.3">
      <c r="A475" s="213" t="s">
        <v>810</v>
      </c>
      <c r="B475" s="214" t="s">
        <v>455</v>
      </c>
      <c r="C475" s="214" t="s">
        <v>290</v>
      </c>
      <c r="D475" s="293" t="s">
        <v>811</v>
      </c>
      <c r="E475" s="293" t="s">
        <v>6</v>
      </c>
      <c r="F475" s="293"/>
      <c r="G475" s="238">
        <f t="shared" ref="G475:K476" si="90">G476</f>
        <v>79468.45</v>
      </c>
      <c r="H475" s="217">
        <f t="shared" si="90"/>
        <v>79468.45</v>
      </c>
      <c r="I475" s="217">
        <f t="shared" si="90"/>
        <v>0</v>
      </c>
      <c r="J475" s="238">
        <f t="shared" si="90"/>
        <v>0</v>
      </c>
      <c r="K475" s="331">
        <f t="shared" si="90"/>
        <v>0</v>
      </c>
      <c r="L475" s="313">
        <f t="shared" si="86"/>
        <v>0</v>
      </c>
      <c r="M475" s="314">
        <f t="shared" si="87"/>
        <v>0</v>
      </c>
      <c r="N475" s="314">
        <f t="shared" si="88"/>
        <v>0</v>
      </c>
    </row>
    <row r="476" spans="1:14" s="224" customFormat="1" ht="46.9" customHeight="1" outlineLevel="3" x14ac:dyDescent="0.3">
      <c r="A476" s="213" t="s">
        <v>15</v>
      </c>
      <c r="B476" s="214" t="s">
        <v>455</v>
      </c>
      <c r="C476" s="214" t="s">
        <v>290</v>
      </c>
      <c r="D476" s="293" t="s">
        <v>811</v>
      </c>
      <c r="E476" s="293" t="s">
        <v>16</v>
      </c>
      <c r="F476" s="293"/>
      <c r="G476" s="238">
        <f t="shared" si="90"/>
        <v>79468.45</v>
      </c>
      <c r="H476" s="170">
        <v>79468.45</v>
      </c>
      <c r="I476" s="217">
        <f t="shared" si="90"/>
        <v>0</v>
      </c>
      <c r="J476" s="238">
        <f t="shared" si="90"/>
        <v>0</v>
      </c>
      <c r="K476" s="331">
        <f t="shared" si="90"/>
        <v>0</v>
      </c>
      <c r="L476" s="313">
        <f t="shared" si="86"/>
        <v>0</v>
      </c>
      <c r="M476" s="314">
        <f t="shared" si="87"/>
        <v>0</v>
      </c>
      <c r="N476" s="314">
        <f t="shared" si="88"/>
        <v>0</v>
      </c>
    </row>
    <row r="477" spans="1:14" s="224" customFormat="1" ht="55.7" customHeight="1" outlineLevel="3" x14ac:dyDescent="0.3">
      <c r="A477" s="213" t="s">
        <v>17</v>
      </c>
      <c r="B477" s="214" t="s">
        <v>455</v>
      </c>
      <c r="C477" s="214" t="s">
        <v>290</v>
      </c>
      <c r="D477" s="293" t="s">
        <v>811</v>
      </c>
      <c r="E477" s="293" t="s">
        <v>18</v>
      </c>
      <c r="F477" s="293"/>
      <c r="G477" s="238">
        <v>79468.45</v>
      </c>
      <c r="H477" s="170">
        <v>79468.45</v>
      </c>
      <c r="I477" s="217">
        <v>0</v>
      </c>
      <c r="J477" s="272">
        <v>0</v>
      </c>
      <c r="K477" s="332">
        <v>0</v>
      </c>
      <c r="L477" s="313">
        <f t="shared" si="86"/>
        <v>0</v>
      </c>
      <c r="M477" s="314">
        <f t="shared" si="87"/>
        <v>0</v>
      </c>
      <c r="N477" s="314">
        <f t="shared" si="88"/>
        <v>0</v>
      </c>
    </row>
    <row r="478" spans="1:14" s="224" customFormat="1" ht="44.85" customHeight="1" outlineLevel="3" x14ac:dyDescent="0.3">
      <c r="A478" s="315" t="s">
        <v>849</v>
      </c>
      <c r="B478" s="214" t="s">
        <v>455</v>
      </c>
      <c r="C478" s="214" t="s">
        <v>290</v>
      </c>
      <c r="D478" s="293" t="s">
        <v>860</v>
      </c>
      <c r="E478" s="293" t="s">
        <v>6</v>
      </c>
      <c r="F478" s="293"/>
      <c r="G478" s="238">
        <v>0</v>
      </c>
      <c r="H478" s="170"/>
      <c r="I478" s="217"/>
      <c r="J478" s="272">
        <f>J479</f>
        <v>112589.47</v>
      </c>
      <c r="K478" s="332">
        <f>K479</f>
        <v>112589.47</v>
      </c>
      <c r="L478" s="313">
        <f t="shared" si="86"/>
        <v>0</v>
      </c>
      <c r="M478" s="314"/>
      <c r="N478" s="314"/>
    </row>
    <row r="479" spans="1:14" s="224" customFormat="1" ht="44.15" customHeight="1" outlineLevel="3" x14ac:dyDescent="0.3">
      <c r="A479" s="213" t="s">
        <v>15</v>
      </c>
      <c r="B479" s="214" t="s">
        <v>455</v>
      </c>
      <c r="C479" s="214" t="s">
        <v>290</v>
      </c>
      <c r="D479" s="293" t="s">
        <v>860</v>
      </c>
      <c r="E479" s="293" t="s">
        <v>16</v>
      </c>
      <c r="F479" s="293"/>
      <c r="G479" s="238">
        <v>0</v>
      </c>
      <c r="H479" s="170"/>
      <c r="I479" s="217"/>
      <c r="J479" s="272">
        <f>J480</f>
        <v>112589.47</v>
      </c>
      <c r="K479" s="332">
        <f>K480</f>
        <v>112589.47</v>
      </c>
      <c r="L479" s="313">
        <f t="shared" si="86"/>
        <v>0</v>
      </c>
      <c r="M479" s="314"/>
      <c r="N479" s="314"/>
    </row>
    <row r="480" spans="1:14" s="224" customFormat="1" ht="50.3" customHeight="1" outlineLevel="3" x14ac:dyDescent="0.3">
      <c r="A480" s="213" t="s">
        <v>17</v>
      </c>
      <c r="B480" s="214" t="s">
        <v>455</v>
      </c>
      <c r="C480" s="214" t="s">
        <v>290</v>
      </c>
      <c r="D480" s="293" t="s">
        <v>860</v>
      </c>
      <c r="E480" s="293" t="s">
        <v>18</v>
      </c>
      <c r="F480" s="293"/>
      <c r="G480" s="238">
        <v>0</v>
      </c>
      <c r="H480" s="170"/>
      <c r="I480" s="217"/>
      <c r="J480" s="238">
        <v>112589.47</v>
      </c>
      <c r="K480" s="331">
        <v>112589.47</v>
      </c>
      <c r="L480" s="313">
        <f t="shared" si="86"/>
        <v>0</v>
      </c>
      <c r="M480" s="314"/>
      <c r="N480" s="314"/>
    </row>
    <row r="481" spans="1:14" s="224" customFormat="1" ht="53.7" customHeight="1" outlineLevel="3" x14ac:dyDescent="0.3">
      <c r="A481" s="213" t="s">
        <v>861</v>
      </c>
      <c r="B481" s="214" t="s">
        <v>455</v>
      </c>
      <c r="C481" s="214" t="s">
        <v>290</v>
      </c>
      <c r="D481" s="293" t="s">
        <v>862</v>
      </c>
      <c r="E481" s="293" t="s">
        <v>6</v>
      </c>
      <c r="F481" s="293"/>
      <c r="G481" s="238">
        <v>0</v>
      </c>
      <c r="H481" s="170"/>
      <c r="I481" s="217"/>
      <c r="J481" s="238">
        <f>J482</f>
        <v>3482.15</v>
      </c>
      <c r="K481" s="331">
        <f>K482</f>
        <v>3482.15</v>
      </c>
      <c r="L481" s="313">
        <f t="shared" si="86"/>
        <v>0</v>
      </c>
      <c r="M481" s="314"/>
      <c r="N481" s="314"/>
    </row>
    <row r="482" spans="1:14" s="224" customFormat="1" ht="36" customHeight="1" outlineLevel="3" x14ac:dyDescent="0.3">
      <c r="A482" s="213" t="s">
        <v>15</v>
      </c>
      <c r="B482" s="214" t="s">
        <v>455</v>
      </c>
      <c r="C482" s="214" t="s">
        <v>290</v>
      </c>
      <c r="D482" s="293" t="s">
        <v>862</v>
      </c>
      <c r="E482" s="293" t="s">
        <v>16</v>
      </c>
      <c r="F482" s="293"/>
      <c r="G482" s="238">
        <v>0</v>
      </c>
      <c r="H482" s="170"/>
      <c r="I482" s="217"/>
      <c r="J482" s="238">
        <f>J483</f>
        <v>3482.15</v>
      </c>
      <c r="K482" s="331">
        <f>K483</f>
        <v>3482.15</v>
      </c>
      <c r="L482" s="313">
        <f t="shared" si="86"/>
        <v>0</v>
      </c>
      <c r="M482" s="314"/>
      <c r="N482" s="314"/>
    </row>
    <row r="483" spans="1:14" s="224" customFormat="1" ht="47.9" customHeight="1" outlineLevel="3" x14ac:dyDescent="0.3">
      <c r="A483" s="213" t="s">
        <v>17</v>
      </c>
      <c r="B483" s="214" t="s">
        <v>455</v>
      </c>
      <c r="C483" s="214" t="s">
        <v>290</v>
      </c>
      <c r="D483" s="293" t="s">
        <v>862</v>
      </c>
      <c r="E483" s="293" t="s">
        <v>18</v>
      </c>
      <c r="F483" s="293"/>
      <c r="G483" s="238">
        <v>0</v>
      </c>
      <c r="H483" s="170"/>
      <c r="I483" s="217"/>
      <c r="J483" s="238">
        <v>3482.15</v>
      </c>
      <c r="K483" s="331">
        <v>3482.15</v>
      </c>
      <c r="L483" s="313">
        <f t="shared" si="86"/>
        <v>0</v>
      </c>
      <c r="M483" s="314"/>
      <c r="N483" s="314"/>
    </row>
    <row r="484" spans="1:14" ht="31.75" customHeight="1" outlineLevel="4" x14ac:dyDescent="0.3">
      <c r="A484" s="316" t="s">
        <v>360</v>
      </c>
      <c r="B484" s="214" t="s">
        <v>455</v>
      </c>
      <c r="C484" s="214" t="s">
        <v>290</v>
      </c>
      <c r="D484" s="293" t="s">
        <v>293</v>
      </c>
      <c r="E484" s="293" t="s">
        <v>6</v>
      </c>
      <c r="F484" s="299"/>
      <c r="G484" s="237">
        <f>G485+G488+G491</f>
        <v>1199256.99</v>
      </c>
      <c r="H484" s="232">
        <f>H485+H488+H491</f>
        <v>196490.13</v>
      </c>
      <c r="I484" s="232">
        <f>I485+I488+I491+I494+I497</f>
        <v>1262229.3999999999</v>
      </c>
      <c r="J484" s="237">
        <f>J485</f>
        <v>1117341.92</v>
      </c>
      <c r="K484" s="330">
        <f>K485</f>
        <v>1117341.92</v>
      </c>
      <c r="L484" s="313">
        <f t="shared" si="86"/>
        <v>0</v>
      </c>
      <c r="M484" s="314">
        <f t="shared" si="87"/>
        <v>93.169514901055521</v>
      </c>
      <c r="N484" s="314">
        <f t="shared" si="88"/>
        <v>93.169514901055521</v>
      </c>
    </row>
    <row r="485" spans="1:14" ht="38.049999999999997" customHeight="1" outlineLevel="5" x14ac:dyDescent="0.3">
      <c r="A485" s="213" t="s">
        <v>273</v>
      </c>
      <c r="B485" s="214" t="s">
        <v>455</v>
      </c>
      <c r="C485" s="214" t="s">
        <v>290</v>
      </c>
      <c r="D485" s="293" t="s">
        <v>292</v>
      </c>
      <c r="E485" s="293" t="s">
        <v>6</v>
      </c>
      <c r="F485" s="299"/>
      <c r="G485" s="237">
        <f t="shared" ref="G485:K486" si="91">G486</f>
        <v>0</v>
      </c>
      <c r="H485" s="232">
        <f t="shared" si="91"/>
        <v>0</v>
      </c>
      <c r="I485" s="232">
        <f t="shared" si="91"/>
        <v>1093747.2</v>
      </c>
      <c r="J485" s="237">
        <f t="shared" si="91"/>
        <v>1117341.92</v>
      </c>
      <c r="K485" s="330">
        <f t="shared" si="91"/>
        <v>1117341.92</v>
      </c>
      <c r="L485" s="313">
        <f t="shared" si="86"/>
        <v>0</v>
      </c>
      <c r="M485" s="314"/>
      <c r="N485" s="314"/>
    </row>
    <row r="486" spans="1:14" ht="46.2" customHeight="1" outlineLevel="6" x14ac:dyDescent="0.3">
      <c r="A486" s="213" t="s">
        <v>258</v>
      </c>
      <c r="B486" s="214" t="s">
        <v>455</v>
      </c>
      <c r="C486" s="214" t="s">
        <v>290</v>
      </c>
      <c r="D486" s="293" t="s">
        <v>292</v>
      </c>
      <c r="E486" s="293" t="s">
        <v>259</v>
      </c>
      <c r="F486" s="299"/>
      <c r="G486" s="237">
        <f t="shared" si="91"/>
        <v>0</v>
      </c>
      <c r="H486" s="232">
        <f t="shared" si="91"/>
        <v>0</v>
      </c>
      <c r="I486" s="232">
        <f t="shared" si="91"/>
        <v>1093747.2</v>
      </c>
      <c r="J486" s="237">
        <f t="shared" si="91"/>
        <v>1117341.92</v>
      </c>
      <c r="K486" s="330">
        <f t="shared" si="91"/>
        <v>1117341.92</v>
      </c>
      <c r="L486" s="313">
        <f t="shared" si="86"/>
        <v>0</v>
      </c>
      <c r="M486" s="314"/>
      <c r="N486" s="314"/>
    </row>
    <row r="487" spans="1:14" outlineLevel="7" x14ac:dyDescent="0.3">
      <c r="A487" s="213" t="s">
        <v>260</v>
      </c>
      <c r="B487" s="214" t="s">
        <v>455</v>
      </c>
      <c r="C487" s="214" t="s">
        <v>290</v>
      </c>
      <c r="D487" s="293" t="s">
        <v>292</v>
      </c>
      <c r="E487" s="293" t="s">
        <v>261</v>
      </c>
      <c r="F487" s="299"/>
      <c r="G487" s="238">
        <f>1127310-1127310</f>
        <v>0</v>
      </c>
      <c r="H487" s="234">
        <f>1127310-1127310</f>
        <v>0</v>
      </c>
      <c r="I487" s="234">
        <v>1093747.2</v>
      </c>
      <c r="J487" s="238">
        <f>1093747.2+23594.72</f>
        <v>1117341.92</v>
      </c>
      <c r="K487" s="331">
        <f>1093747.2+23594.72</f>
        <v>1117341.92</v>
      </c>
      <c r="L487" s="313">
        <f t="shared" si="86"/>
        <v>0</v>
      </c>
      <c r="M487" s="314"/>
      <c r="N487" s="314"/>
    </row>
    <row r="488" spans="1:14" ht="50.95" outlineLevel="7" x14ac:dyDescent="0.3">
      <c r="A488" s="213" t="s">
        <v>695</v>
      </c>
      <c r="B488" s="214" t="s">
        <v>455</v>
      </c>
      <c r="C488" s="214" t="s">
        <v>290</v>
      </c>
      <c r="D488" s="293" t="s">
        <v>867</v>
      </c>
      <c r="E488" s="293" t="s">
        <v>6</v>
      </c>
      <c r="F488" s="293"/>
      <c r="G488" s="238">
        <f>G489</f>
        <v>703249.99</v>
      </c>
      <c r="H488" s="217">
        <f>H489</f>
        <v>190595.43</v>
      </c>
      <c r="I488" s="217">
        <v>0</v>
      </c>
      <c r="J488" s="238">
        <f>J489</f>
        <v>2210145</v>
      </c>
      <c r="K488" s="331">
        <f>K489</f>
        <v>2210145</v>
      </c>
      <c r="L488" s="313">
        <f t="shared" si="86"/>
        <v>0</v>
      </c>
      <c r="M488" s="314">
        <f t="shared" si="87"/>
        <v>314.27586653787228</v>
      </c>
      <c r="N488" s="314">
        <f t="shared" si="88"/>
        <v>314.27586653787228</v>
      </c>
    </row>
    <row r="489" spans="1:14" ht="34" outlineLevel="7" x14ac:dyDescent="0.3">
      <c r="A489" s="213" t="s">
        <v>15</v>
      </c>
      <c r="B489" s="214" t="s">
        <v>455</v>
      </c>
      <c r="C489" s="214" t="s">
        <v>290</v>
      </c>
      <c r="D489" s="293" t="s">
        <v>867</v>
      </c>
      <c r="E489" s="293" t="s">
        <v>16</v>
      </c>
      <c r="F489" s="293"/>
      <c r="G489" s="238">
        <f>G490</f>
        <v>703249.99</v>
      </c>
      <c r="H489" s="169">
        <v>190595.43</v>
      </c>
      <c r="I489" s="217">
        <v>0</v>
      </c>
      <c r="J489" s="238">
        <f>J490</f>
        <v>2210145</v>
      </c>
      <c r="K489" s="331">
        <f>K490</f>
        <v>2210145</v>
      </c>
      <c r="L489" s="313">
        <f t="shared" si="86"/>
        <v>0</v>
      </c>
      <c r="M489" s="314">
        <f t="shared" si="87"/>
        <v>314.27586653787228</v>
      </c>
      <c r="N489" s="314">
        <f t="shared" si="88"/>
        <v>314.27586653787228</v>
      </c>
    </row>
    <row r="490" spans="1:14" ht="34" outlineLevel="7" x14ac:dyDescent="0.3">
      <c r="A490" s="213" t="s">
        <v>17</v>
      </c>
      <c r="B490" s="214" t="s">
        <v>455</v>
      </c>
      <c r="C490" s="214" t="s">
        <v>290</v>
      </c>
      <c r="D490" s="293" t="s">
        <v>867</v>
      </c>
      <c r="E490" s="293" t="s">
        <v>18</v>
      </c>
      <c r="F490" s="293"/>
      <c r="G490" s="238">
        <f>[2]потребность!I441+0.99</f>
        <v>703249.99</v>
      </c>
      <c r="H490" s="169">
        <v>190595.43</v>
      </c>
      <c r="I490" s="217">
        <v>0</v>
      </c>
      <c r="J490" s="238">
        <v>2210145</v>
      </c>
      <c r="K490" s="331">
        <v>2210145</v>
      </c>
      <c r="L490" s="313">
        <f t="shared" si="86"/>
        <v>0</v>
      </c>
      <c r="M490" s="314">
        <f t="shared" si="87"/>
        <v>314.27586653787228</v>
      </c>
      <c r="N490" s="314">
        <f t="shared" si="88"/>
        <v>314.27586653787228</v>
      </c>
    </row>
    <row r="491" spans="1:14" ht="55.7" customHeight="1" outlineLevel="7" x14ac:dyDescent="0.3">
      <c r="A491" s="213" t="s">
        <v>787</v>
      </c>
      <c r="B491" s="214" t="s">
        <v>455</v>
      </c>
      <c r="C491" s="214" t="s">
        <v>290</v>
      </c>
      <c r="D491" s="293" t="s">
        <v>868</v>
      </c>
      <c r="E491" s="293" t="s">
        <v>6</v>
      </c>
      <c r="F491" s="293"/>
      <c r="G491" s="238">
        <f>G492</f>
        <v>496007</v>
      </c>
      <c r="H491" s="217">
        <f>H492</f>
        <v>5894.7</v>
      </c>
      <c r="I491" s="217">
        <v>0</v>
      </c>
      <c r="J491" s="238">
        <f>J492</f>
        <v>68355</v>
      </c>
      <c r="K491" s="331">
        <f>K492</f>
        <v>68355</v>
      </c>
      <c r="L491" s="313">
        <f t="shared" si="86"/>
        <v>0</v>
      </c>
      <c r="M491" s="314">
        <f t="shared" si="87"/>
        <v>13.781055509297248</v>
      </c>
      <c r="N491" s="314">
        <f t="shared" si="88"/>
        <v>13.78105550929725</v>
      </c>
    </row>
    <row r="492" spans="1:14" ht="34" outlineLevel="7" x14ac:dyDescent="0.3">
      <c r="A492" s="213" t="s">
        <v>15</v>
      </c>
      <c r="B492" s="214" t="s">
        <v>455</v>
      </c>
      <c r="C492" s="214" t="s">
        <v>290</v>
      </c>
      <c r="D492" s="293" t="s">
        <v>868</v>
      </c>
      <c r="E492" s="293" t="s">
        <v>16</v>
      </c>
      <c r="F492" s="293"/>
      <c r="G492" s="238">
        <f>G493</f>
        <v>496007</v>
      </c>
      <c r="H492" s="169">
        <v>5894.7</v>
      </c>
      <c r="I492" s="217">
        <v>0</v>
      </c>
      <c r="J492" s="238">
        <f>J493</f>
        <v>68355</v>
      </c>
      <c r="K492" s="331">
        <f>K493</f>
        <v>68355</v>
      </c>
      <c r="L492" s="313">
        <f t="shared" si="86"/>
        <v>0</v>
      </c>
      <c r="M492" s="314">
        <f t="shared" si="87"/>
        <v>13.781055509297248</v>
      </c>
      <c r="N492" s="314">
        <f t="shared" si="88"/>
        <v>13.78105550929725</v>
      </c>
    </row>
    <row r="493" spans="1:14" ht="25.5" customHeight="1" outlineLevel="7" x14ac:dyDescent="0.3">
      <c r="A493" s="213" t="s">
        <v>17</v>
      </c>
      <c r="B493" s="214" t="s">
        <v>455</v>
      </c>
      <c r="C493" s="214" t="s">
        <v>290</v>
      </c>
      <c r="D493" s="293" t="s">
        <v>868</v>
      </c>
      <c r="E493" s="293" t="s">
        <v>18</v>
      </c>
      <c r="F493" s="293"/>
      <c r="G493" s="238">
        <f>22000+156756+317251</f>
        <v>496007</v>
      </c>
      <c r="H493" s="169">
        <v>5894.7</v>
      </c>
      <c r="I493" s="217">
        <v>0</v>
      </c>
      <c r="J493" s="238">
        <v>68355</v>
      </c>
      <c r="K493" s="331">
        <v>68355</v>
      </c>
      <c r="L493" s="313">
        <f t="shared" si="86"/>
        <v>0</v>
      </c>
      <c r="M493" s="314">
        <f t="shared" si="87"/>
        <v>13.781055509297248</v>
      </c>
      <c r="N493" s="314">
        <f t="shared" si="88"/>
        <v>13.78105550929725</v>
      </c>
    </row>
    <row r="494" spans="1:14" ht="61.15" customHeight="1" outlineLevel="7" x14ac:dyDescent="0.3">
      <c r="A494" s="213" t="s">
        <v>687</v>
      </c>
      <c r="B494" s="214" t="s">
        <v>455</v>
      </c>
      <c r="C494" s="214" t="s">
        <v>290</v>
      </c>
      <c r="D494" s="293" t="s">
        <v>701</v>
      </c>
      <c r="E494" s="301" t="s">
        <v>6</v>
      </c>
      <c r="F494" s="301"/>
      <c r="G494" s="238">
        <v>0</v>
      </c>
      <c r="H494" s="217">
        <v>0</v>
      </c>
      <c r="I494" s="217">
        <f t="shared" ref="I494:K495" si="92">I495</f>
        <v>163718</v>
      </c>
      <c r="J494" s="238">
        <f t="shared" si="92"/>
        <v>0</v>
      </c>
      <c r="K494" s="331">
        <f t="shared" si="92"/>
        <v>0</v>
      </c>
      <c r="L494" s="313">
        <f t="shared" si="86"/>
        <v>0</v>
      </c>
      <c r="M494" s="314"/>
      <c r="N494" s="314"/>
    </row>
    <row r="495" spans="1:14" ht="25.5" customHeight="1" outlineLevel="7" x14ac:dyDescent="0.3">
      <c r="A495" s="213" t="s">
        <v>15</v>
      </c>
      <c r="B495" s="214" t="s">
        <v>455</v>
      </c>
      <c r="C495" s="214" t="s">
        <v>290</v>
      </c>
      <c r="D495" s="293" t="s">
        <v>701</v>
      </c>
      <c r="E495" s="301" t="s">
        <v>16</v>
      </c>
      <c r="F495" s="301"/>
      <c r="G495" s="238">
        <v>0</v>
      </c>
      <c r="H495" s="217">
        <v>0</v>
      </c>
      <c r="I495" s="217">
        <f t="shared" si="92"/>
        <v>163718</v>
      </c>
      <c r="J495" s="238">
        <f t="shared" si="92"/>
        <v>0</v>
      </c>
      <c r="K495" s="331">
        <f t="shared" si="92"/>
        <v>0</v>
      </c>
      <c r="L495" s="313">
        <f t="shared" si="86"/>
        <v>0</v>
      </c>
      <c r="M495" s="314"/>
      <c r="N495" s="314"/>
    </row>
    <row r="496" spans="1:14" ht="42.45" customHeight="1" outlineLevel="7" x14ac:dyDescent="0.3">
      <c r="A496" s="213" t="s">
        <v>17</v>
      </c>
      <c r="B496" s="214" t="s">
        <v>455</v>
      </c>
      <c r="C496" s="214" t="s">
        <v>290</v>
      </c>
      <c r="D496" s="293" t="s">
        <v>701</v>
      </c>
      <c r="E496" s="301" t="s">
        <v>18</v>
      </c>
      <c r="F496" s="301"/>
      <c r="G496" s="238">
        <v>0</v>
      </c>
      <c r="H496" s="217">
        <v>0</v>
      </c>
      <c r="I496" s="217">
        <v>163718</v>
      </c>
      <c r="J496" s="238"/>
      <c r="K496" s="331"/>
      <c r="L496" s="313">
        <f t="shared" si="86"/>
        <v>0</v>
      </c>
      <c r="M496" s="314"/>
      <c r="N496" s="314"/>
    </row>
    <row r="497" spans="1:14" ht="78.8" customHeight="1" outlineLevel="7" x14ac:dyDescent="0.3">
      <c r="A497" s="213" t="s">
        <v>865</v>
      </c>
      <c r="B497" s="214" t="s">
        <v>455</v>
      </c>
      <c r="C497" s="214" t="s">
        <v>290</v>
      </c>
      <c r="D497" s="293" t="s">
        <v>702</v>
      </c>
      <c r="E497" s="301" t="s">
        <v>6</v>
      </c>
      <c r="F497" s="301"/>
      <c r="G497" s="238">
        <v>0</v>
      </c>
      <c r="H497" s="217">
        <v>0</v>
      </c>
      <c r="I497" s="217">
        <f t="shared" ref="I497:K498" si="93">I498</f>
        <v>4764.2</v>
      </c>
      <c r="J497" s="238">
        <f t="shared" si="93"/>
        <v>0</v>
      </c>
      <c r="K497" s="331">
        <f t="shared" si="93"/>
        <v>0</v>
      </c>
      <c r="L497" s="313">
        <f t="shared" si="86"/>
        <v>0</v>
      </c>
      <c r="M497" s="314"/>
      <c r="N497" s="314"/>
    </row>
    <row r="498" spans="1:14" ht="25.15" customHeight="1" outlineLevel="7" x14ac:dyDescent="0.3">
      <c r="A498" s="213" t="s">
        <v>15</v>
      </c>
      <c r="B498" s="214" t="s">
        <v>455</v>
      </c>
      <c r="C498" s="214" t="s">
        <v>290</v>
      </c>
      <c r="D498" s="293" t="s">
        <v>702</v>
      </c>
      <c r="E498" s="301" t="s">
        <v>16</v>
      </c>
      <c r="F498" s="301"/>
      <c r="G498" s="238">
        <v>0</v>
      </c>
      <c r="H498" s="217">
        <v>0</v>
      </c>
      <c r="I498" s="217">
        <f t="shared" si="93"/>
        <v>4764.2</v>
      </c>
      <c r="J498" s="238">
        <f t="shared" si="93"/>
        <v>0</v>
      </c>
      <c r="K498" s="331">
        <f t="shared" si="93"/>
        <v>0</v>
      </c>
      <c r="L498" s="313">
        <f t="shared" si="86"/>
        <v>0</v>
      </c>
      <c r="M498" s="314"/>
      <c r="N498" s="314"/>
    </row>
    <row r="499" spans="1:14" ht="41.45" customHeight="1" outlineLevel="7" x14ac:dyDescent="0.3">
      <c r="A499" s="213" t="s">
        <v>17</v>
      </c>
      <c r="B499" s="214" t="s">
        <v>455</v>
      </c>
      <c r="C499" s="214" t="s">
        <v>290</v>
      </c>
      <c r="D499" s="304" t="s">
        <v>702</v>
      </c>
      <c r="E499" s="301" t="s">
        <v>18</v>
      </c>
      <c r="F499" s="301"/>
      <c r="G499" s="238">
        <v>0</v>
      </c>
      <c r="H499" s="217">
        <v>0</v>
      </c>
      <c r="I499" s="217">
        <v>4764.2</v>
      </c>
      <c r="J499" s="238">
        <v>0</v>
      </c>
      <c r="K499" s="331">
        <v>0</v>
      </c>
      <c r="L499" s="313">
        <f t="shared" si="86"/>
        <v>0</v>
      </c>
      <c r="M499" s="314"/>
      <c r="N499" s="314"/>
    </row>
    <row r="500" spans="1:14" s="212" customFormat="1" ht="66.75" customHeight="1" x14ac:dyDescent="0.3">
      <c r="A500" s="226" t="s">
        <v>722</v>
      </c>
      <c r="B500" s="220" t="s">
        <v>455</v>
      </c>
      <c r="C500" s="220" t="s">
        <v>290</v>
      </c>
      <c r="D500" s="295" t="s">
        <v>419</v>
      </c>
      <c r="E500" s="295" t="s">
        <v>6</v>
      </c>
      <c r="F500" s="296">
        <v>50000</v>
      </c>
      <c r="G500" s="237">
        <f t="shared" ref="G500:K503" si="94">G501</f>
        <v>50000</v>
      </c>
      <c r="H500" s="215">
        <f t="shared" si="94"/>
        <v>50000</v>
      </c>
      <c r="I500" s="215">
        <f t="shared" si="94"/>
        <v>50000</v>
      </c>
      <c r="J500" s="237">
        <f t="shared" si="94"/>
        <v>50000</v>
      </c>
      <c r="K500" s="330">
        <f t="shared" si="94"/>
        <v>50000</v>
      </c>
      <c r="L500" s="313">
        <f t="shared" si="86"/>
        <v>0</v>
      </c>
      <c r="M500" s="314">
        <f t="shared" si="87"/>
        <v>100</v>
      </c>
      <c r="N500" s="314">
        <f t="shared" si="88"/>
        <v>100</v>
      </c>
    </row>
    <row r="501" spans="1:14" outlineLevel="1" x14ac:dyDescent="0.3">
      <c r="A501" s="239" t="s">
        <v>420</v>
      </c>
      <c r="B501" s="214" t="s">
        <v>455</v>
      </c>
      <c r="C501" s="214" t="s">
        <v>290</v>
      </c>
      <c r="D501" s="293" t="s">
        <v>421</v>
      </c>
      <c r="E501" s="293" t="s">
        <v>6</v>
      </c>
      <c r="F501" s="294">
        <v>50000</v>
      </c>
      <c r="G501" s="237">
        <f t="shared" si="94"/>
        <v>50000</v>
      </c>
      <c r="H501" s="215">
        <f t="shared" si="94"/>
        <v>50000</v>
      </c>
      <c r="I501" s="215">
        <f t="shared" si="94"/>
        <v>50000</v>
      </c>
      <c r="J501" s="237">
        <f t="shared" si="94"/>
        <v>50000</v>
      </c>
      <c r="K501" s="330">
        <f t="shared" si="94"/>
        <v>50000</v>
      </c>
      <c r="L501" s="313">
        <f t="shared" si="86"/>
        <v>0</v>
      </c>
      <c r="M501" s="314">
        <f t="shared" si="87"/>
        <v>100</v>
      </c>
      <c r="N501" s="314">
        <f t="shared" si="88"/>
        <v>100</v>
      </c>
    </row>
    <row r="502" spans="1:14" ht="37.549999999999997" customHeight="1" outlineLevel="2" x14ac:dyDescent="0.3">
      <c r="A502" s="213" t="s">
        <v>422</v>
      </c>
      <c r="B502" s="214" t="s">
        <v>455</v>
      </c>
      <c r="C502" s="214" t="s">
        <v>290</v>
      </c>
      <c r="D502" s="293" t="s">
        <v>423</v>
      </c>
      <c r="E502" s="293" t="s">
        <v>6</v>
      </c>
      <c r="F502" s="294">
        <v>50000</v>
      </c>
      <c r="G502" s="237">
        <f t="shared" si="94"/>
        <v>50000</v>
      </c>
      <c r="H502" s="215">
        <f t="shared" si="94"/>
        <v>50000</v>
      </c>
      <c r="I502" s="215">
        <f t="shared" si="94"/>
        <v>50000</v>
      </c>
      <c r="J502" s="237">
        <f t="shared" si="94"/>
        <v>50000</v>
      </c>
      <c r="K502" s="330">
        <f t="shared" si="94"/>
        <v>50000</v>
      </c>
      <c r="L502" s="313">
        <f t="shared" si="86"/>
        <v>0</v>
      </c>
      <c r="M502" s="314">
        <f t="shared" si="87"/>
        <v>100</v>
      </c>
      <c r="N502" s="314">
        <f t="shared" si="88"/>
        <v>100</v>
      </c>
    </row>
    <row r="503" spans="1:14" ht="34" outlineLevel="4" x14ac:dyDescent="0.3">
      <c r="A503" s="213" t="s">
        <v>15</v>
      </c>
      <c r="B503" s="214" t="s">
        <v>455</v>
      </c>
      <c r="C503" s="214" t="s">
        <v>290</v>
      </c>
      <c r="D503" s="293" t="s">
        <v>423</v>
      </c>
      <c r="E503" s="293" t="s">
        <v>16</v>
      </c>
      <c r="F503" s="294">
        <v>50000</v>
      </c>
      <c r="G503" s="237">
        <f t="shared" si="94"/>
        <v>50000</v>
      </c>
      <c r="H503" s="169">
        <v>50000</v>
      </c>
      <c r="I503" s="215">
        <f t="shared" si="94"/>
        <v>50000</v>
      </c>
      <c r="J503" s="237">
        <f t="shared" si="94"/>
        <v>50000</v>
      </c>
      <c r="K503" s="330">
        <f t="shared" si="94"/>
        <v>50000</v>
      </c>
      <c r="L503" s="313">
        <f t="shared" si="86"/>
        <v>0</v>
      </c>
      <c r="M503" s="314">
        <f t="shared" si="87"/>
        <v>100</v>
      </c>
      <c r="N503" s="314">
        <f t="shared" si="88"/>
        <v>100</v>
      </c>
    </row>
    <row r="504" spans="1:14" ht="34" outlineLevel="5" x14ac:dyDescent="0.3">
      <c r="A504" s="213" t="s">
        <v>17</v>
      </c>
      <c r="B504" s="214" t="s">
        <v>455</v>
      </c>
      <c r="C504" s="214" t="s">
        <v>290</v>
      </c>
      <c r="D504" s="293" t="s">
        <v>423</v>
      </c>
      <c r="E504" s="293" t="s">
        <v>18</v>
      </c>
      <c r="F504" s="294">
        <v>50000</v>
      </c>
      <c r="G504" s="238">
        <v>50000</v>
      </c>
      <c r="H504" s="169">
        <v>50000</v>
      </c>
      <c r="I504" s="217">
        <v>50000</v>
      </c>
      <c r="J504" s="238">
        <v>50000</v>
      </c>
      <c r="K504" s="331">
        <v>50000</v>
      </c>
      <c r="L504" s="313">
        <f t="shared" si="86"/>
        <v>0</v>
      </c>
      <c r="M504" s="314">
        <f t="shared" si="87"/>
        <v>100</v>
      </c>
      <c r="N504" s="314">
        <f t="shared" si="88"/>
        <v>100</v>
      </c>
    </row>
    <row r="505" spans="1:14" outlineLevel="6" x14ac:dyDescent="0.3">
      <c r="A505" s="219" t="s">
        <v>103</v>
      </c>
      <c r="B505" s="214" t="s">
        <v>455</v>
      </c>
      <c r="C505" s="220" t="s">
        <v>104</v>
      </c>
      <c r="D505" s="295" t="s">
        <v>126</v>
      </c>
      <c r="E505" s="295" t="s">
        <v>6</v>
      </c>
      <c r="F505" s="294">
        <v>2562000</v>
      </c>
      <c r="G505" s="273">
        <f t="shared" ref="G505:K510" si="95">G506</f>
        <v>3357000</v>
      </c>
      <c r="H505" s="221">
        <f t="shared" si="95"/>
        <v>2408600</v>
      </c>
      <c r="I505" s="221">
        <f t="shared" si="95"/>
        <v>2500000</v>
      </c>
      <c r="J505" s="273">
        <f t="shared" si="95"/>
        <v>3357000</v>
      </c>
      <c r="K505" s="333">
        <f t="shared" si="95"/>
        <v>3357000</v>
      </c>
      <c r="L505" s="313">
        <f t="shared" si="86"/>
        <v>0</v>
      </c>
      <c r="M505" s="314">
        <f t="shared" si="87"/>
        <v>100</v>
      </c>
      <c r="N505" s="314">
        <f t="shared" si="88"/>
        <v>100</v>
      </c>
    </row>
    <row r="506" spans="1:14" outlineLevel="7" x14ac:dyDescent="0.3">
      <c r="A506" s="213" t="s">
        <v>105</v>
      </c>
      <c r="B506" s="214" t="s">
        <v>455</v>
      </c>
      <c r="C506" s="214" t="s">
        <v>106</v>
      </c>
      <c r="D506" s="293" t="s">
        <v>126</v>
      </c>
      <c r="E506" s="293" t="s">
        <v>6</v>
      </c>
      <c r="F506" s="294">
        <v>2562000</v>
      </c>
      <c r="G506" s="237">
        <f t="shared" si="95"/>
        <v>3357000</v>
      </c>
      <c r="H506" s="215">
        <f t="shared" si="95"/>
        <v>2408600</v>
      </c>
      <c r="I506" s="215">
        <f t="shared" si="95"/>
        <v>2500000</v>
      </c>
      <c r="J506" s="237">
        <f t="shared" si="95"/>
        <v>3357000</v>
      </c>
      <c r="K506" s="330">
        <f t="shared" si="95"/>
        <v>3357000</v>
      </c>
      <c r="L506" s="313">
        <f t="shared" si="86"/>
        <v>0</v>
      </c>
      <c r="M506" s="314">
        <f t="shared" si="87"/>
        <v>100</v>
      </c>
      <c r="N506" s="314">
        <f t="shared" si="88"/>
        <v>100</v>
      </c>
    </row>
    <row r="507" spans="1:14" ht="50.95" outlineLevel="5" x14ac:dyDescent="0.3">
      <c r="A507" s="219" t="s">
        <v>723</v>
      </c>
      <c r="B507" s="214" t="s">
        <v>455</v>
      </c>
      <c r="C507" s="220" t="s">
        <v>106</v>
      </c>
      <c r="D507" s="295" t="s">
        <v>305</v>
      </c>
      <c r="E507" s="295" t="s">
        <v>6</v>
      </c>
      <c r="F507" s="296">
        <v>2562000</v>
      </c>
      <c r="G507" s="273">
        <f>G508</f>
        <v>3357000</v>
      </c>
      <c r="H507" s="221">
        <f>H508</f>
        <v>2408600</v>
      </c>
      <c r="I507" s="221">
        <f>I508</f>
        <v>2500000</v>
      </c>
      <c r="J507" s="273">
        <f>J508</f>
        <v>3357000</v>
      </c>
      <c r="K507" s="333">
        <f>K508</f>
        <v>3357000</v>
      </c>
      <c r="L507" s="313">
        <f t="shared" si="86"/>
        <v>0</v>
      </c>
      <c r="M507" s="314">
        <f t="shared" si="87"/>
        <v>100</v>
      </c>
      <c r="N507" s="314">
        <f t="shared" si="88"/>
        <v>100</v>
      </c>
    </row>
    <row r="508" spans="1:14" ht="34" outlineLevel="6" x14ac:dyDescent="0.3">
      <c r="A508" s="225" t="s">
        <v>315</v>
      </c>
      <c r="B508" s="214" t="s">
        <v>455</v>
      </c>
      <c r="C508" s="214" t="s">
        <v>106</v>
      </c>
      <c r="D508" s="293" t="s">
        <v>306</v>
      </c>
      <c r="E508" s="293" t="s">
        <v>6</v>
      </c>
      <c r="F508" s="294">
        <v>2562000</v>
      </c>
      <c r="G508" s="237">
        <f t="shared" si="95"/>
        <v>3357000</v>
      </c>
      <c r="H508" s="215">
        <f t="shared" si="95"/>
        <v>2408600</v>
      </c>
      <c r="I508" s="215">
        <f t="shared" si="95"/>
        <v>2500000</v>
      </c>
      <c r="J508" s="237">
        <f t="shared" si="95"/>
        <v>3357000</v>
      </c>
      <c r="K508" s="330">
        <f t="shared" si="95"/>
        <v>3357000</v>
      </c>
      <c r="L508" s="313">
        <f t="shared" si="86"/>
        <v>0</v>
      </c>
      <c r="M508" s="314">
        <f t="shared" si="87"/>
        <v>100</v>
      </c>
      <c r="N508" s="314">
        <f t="shared" si="88"/>
        <v>100</v>
      </c>
    </row>
    <row r="509" spans="1:14" ht="50.95" outlineLevel="7" x14ac:dyDescent="0.3">
      <c r="A509" s="213" t="s">
        <v>107</v>
      </c>
      <c r="B509" s="214" t="s">
        <v>455</v>
      </c>
      <c r="C509" s="214" t="s">
        <v>106</v>
      </c>
      <c r="D509" s="293" t="s">
        <v>307</v>
      </c>
      <c r="E509" s="293" t="s">
        <v>6</v>
      </c>
      <c r="F509" s="294">
        <v>2562000</v>
      </c>
      <c r="G509" s="237">
        <f t="shared" si="95"/>
        <v>3357000</v>
      </c>
      <c r="H509" s="215">
        <f t="shared" si="95"/>
        <v>2408600</v>
      </c>
      <c r="I509" s="215">
        <f t="shared" si="95"/>
        <v>2500000</v>
      </c>
      <c r="J509" s="237">
        <f t="shared" si="95"/>
        <v>3357000</v>
      </c>
      <c r="K509" s="330">
        <f t="shared" si="95"/>
        <v>3357000</v>
      </c>
      <c r="L509" s="313">
        <f t="shared" si="86"/>
        <v>0</v>
      </c>
      <c r="M509" s="314">
        <f t="shared" si="87"/>
        <v>100</v>
      </c>
      <c r="N509" s="314">
        <f t="shared" si="88"/>
        <v>100</v>
      </c>
    </row>
    <row r="510" spans="1:14" ht="34" outlineLevel="6" x14ac:dyDescent="0.3">
      <c r="A510" s="213" t="s">
        <v>37</v>
      </c>
      <c r="B510" s="214" t="s">
        <v>455</v>
      </c>
      <c r="C510" s="214" t="s">
        <v>106</v>
      </c>
      <c r="D510" s="293" t="s">
        <v>307</v>
      </c>
      <c r="E510" s="293" t="s">
        <v>38</v>
      </c>
      <c r="F510" s="294">
        <v>2562000</v>
      </c>
      <c r="G510" s="237">
        <f t="shared" si="95"/>
        <v>3357000</v>
      </c>
      <c r="H510" s="169">
        <v>2408600</v>
      </c>
      <c r="I510" s="215">
        <f t="shared" si="95"/>
        <v>2500000</v>
      </c>
      <c r="J510" s="237">
        <f t="shared" si="95"/>
        <v>3357000</v>
      </c>
      <c r="K510" s="330">
        <f t="shared" si="95"/>
        <v>3357000</v>
      </c>
      <c r="L510" s="313">
        <f t="shared" si="86"/>
        <v>0</v>
      </c>
      <c r="M510" s="314">
        <f t="shared" si="87"/>
        <v>100</v>
      </c>
      <c r="N510" s="314">
        <f t="shared" si="88"/>
        <v>100</v>
      </c>
    </row>
    <row r="511" spans="1:14" ht="20.25" customHeight="1" outlineLevel="7" x14ac:dyDescent="0.3">
      <c r="A511" s="213" t="s">
        <v>39</v>
      </c>
      <c r="B511" s="214" t="s">
        <v>455</v>
      </c>
      <c r="C511" s="214" t="s">
        <v>106</v>
      </c>
      <c r="D511" s="293" t="s">
        <v>307</v>
      </c>
      <c r="E511" s="293" t="s">
        <v>40</v>
      </c>
      <c r="F511" s="294">
        <v>2562000</v>
      </c>
      <c r="G511" s="237">
        <f>[2]потребность!I456+247000+610000</f>
        <v>3357000</v>
      </c>
      <c r="H511" s="169">
        <v>2408600</v>
      </c>
      <c r="I511" s="215">
        <v>2500000</v>
      </c>
      <c r="J511" s="238">
        <v>3357000</v>
      </c>
      <c r="K511" s="331">
        <v>3357000</v>
      </c>
      <c r="L511" s="313">
        <f t="shared" si="86"/>
        <v>0</v>
      </c>
      <c r="M511" s="314">
        <f t="shared" si="87"/>
        <v>100</v>
      </c>
      <c r="N511" s="314">
        <f t="shared" si="88"/>
        <v>100</v>
      </c>
    </row>
    <row r="512" spans="1:14" ht="29.9" customHeight="1" outlineLevel="6" x14ac:dyDescent="0.3">
      <c r="A512" s="209" t="s">
        <v>481</v>
      </c>
      <c r="B512" s="210" t="s">
        <v>456</v>
      </c>
      <c r="C512" s="210" t="s">
        <v>5</v>
      </c>
      <c r="D512" s="291" t="s">
        <v>126</v>
      </c>
      <c r="E512" s="291" t="s">
        <v>6</v>
      </c>
      <c r="F512" s="292">
        <v>6282947.6699999999</v>
      </c>
      <c r="G512" s="271">
        <f>G513</f>
        <v>5488017.29</v>
      </c>
      <c r="H512" s="211">
        <f>H513</f>
        <v>4018836.4699999997</v>
      </c>
      <c r="I512" s="211">
        <f>I513</f>
        <v>5805481.6399999997</v>
      </c>
      <c r="J512" s="271">
        <f>J513</f>
        <v>5780338.2999999998</v>
      </c>
      <c r="K512" s="329">
        <f>K513</f>
        <v>5666668.2999999998</v>
      </c>
      <c r="L512" s="313">
        <f t="shared" si="86"/>
        <v>-113670</v>
      </c>
      <c r="M512" s="314">
        <f t="shared" si="87"/>
        <v>105.32653223474082</v>
      </c>
      <c r="N512" s="314">
        <f t="shared" si="88"/>
        <v>103.25529240451792</v>
      </c>
    </row>
    <row r="513" spans="1:14" outlineLevel="7" x14ac:dyDescent="0.3">
      <c r="A513" s="213" t="s">
        <v>7</v>
      </c>
      <c r="B513" s="214" t="s">
        <v>456</v>
      </c>
      <c r="C513" s="214" t="s">
        <v>8</v>
      </c>
      <c r="D513" s="293" t="s">
        <v>126</v>
      </c>
      <c r="E513" s="293" t="s">
        <v>6</v>
      </c>
      <c r="F513" s="294">
        <v>6282947.6699999999</v>
      </c>
      <c r="G513" s="237">
        <f>G514+G529+G534</f>
        <v>5488017.29</v>
      </c>
      <c r="H513" s="215">
        <f>H514+H529+H534</f>
        <v>4018836.4699999997</v>
      </c>
      <c r="I513" s="215">
        <f>I514+I529+I534</f>
        <v>5805481.6399999997</v>
      </c>
      <c r="J513" s="237">
        <f>J514+J529+J534</f>
        <v>5780338.2999999998</v>
      </c>
      <c r="K513" s="330">
        <f>K514+K529+K534</f>
        <v>5666668.2999999998</v>
      </c>
      <c r="L513" s="313">
        <f t="shared" si="86"/>
        <v>-113670</v>
      </c>
      <c r="M513" s="314">
        <f t="shared" si="87"/>
        <v>105.32653223474082</v>
      </c>
      <c r="N513" s="314">
        <f t="shared" si="88"/>
        <v>103.25529240451792</v>
      </c>
    </row>
    <row r="514" spans="1:14" ht="59.8" customHeight="1" outlineLevel="5" x14ac:dyDescent="0.3">
      <c r="A514" s="213" t="s">
        <v>108</v>
      </c>
      <c r="B514" s="214" t="s">
        <v>456</v>
      </c>
      <c r="C514" s="214" t="s">
        <v>109</v>
      </c>
      <c r="D514" s="293" t="s">
        <v>126</v>
      </c>
      <c r="E514" s="293" t="s">
        <v>6</v>
      </c>
      <c r="F514" s="294">
        <v>5081721.7699999996</v>
      </c>
      <c r="G514" s="237">
        <f>G515</f>
        <v>5350737.29</v>
      </c>
      <c r="H514" s="215">
        <f>H515</f>
        <v>3890917.9699999997</v>
      </c>
      <c r="I514" s="215">
        <f>I515</f>
        <v>5668201.6399999997</v>
      </c>
      <c r="J514" s="237">
        <f>J515</f>
        <v>5529388.2999999998</v>
      </c>
      <c r="K514" s="330">
        <f>K515</f>
        <v>5529388.2999999998</v>
      </c>
      <c r="L514" s="313">
        <f t="shared" si="86"/>
        <v>0</v>
      </c>
      <c r="M514" s="314">
        <f t="shared" si="87"/>
        <v>103.33881108934054</v>
      </c>
      <c r="N514" s="314">
        <f t="shared" si="88"/>
        <v>103.33881108934055</v>
      </c>
    </row>
    <row r="515" spans="1:14" ht="34" outlineLevel="6" x14ac:dyDescent="0.3">
      <c r="A515" s="213" t="s">
        <v>132</v>
      </c>
      <c r="B515" s="214" t="s">
        <v>456</v>
      </c>
      <c r="C515" s="214" t="s">
        <v>109</v>
      </c>
      <c r="D515" s="293" t="s">
        <v>127</v>
      </c>
      <c r="E515" s="293" t="s">
        <v>6</v>
      </c>
      <c r="F515" s="294">
        <v>5081721.7699999996</v>
      </c>
      <c r="G515" s="237">
        <f>G516+G519+G526</f>
        <v>5350737.29</v>
      </c>
      <c r="H515" s="215">
        <f>H516+H519+H526</f>
        <v>3890917.9699999997</v>
      </c>
      <c r="I515" s="215">
        <f>I516+I519+I526</f>
        <v>5668201.6399999997</v>
      </c>
      <c r="J515" s="237">
        <f>J516+J519+J526</f>
        <v>5529388.2999999998</v>
      </c>
      <c r="K515" s="330">
        <f>K516+K519+K526</f>
        <v>5529388.2999999998</v>
      </c>
      <c r="L515" s="313">
        <f t="shared" si="86"/>
        <v>0</v>
      </c>
      <c r="M515" s="314">
        <f t="shared" si="87"/>
        <v>103.33881108934054</v>
      </c>
      <c r="N515" s="314">
        <f t="shared" si="88"/>
        <v>103.33881108934055</v>
      </c>
    </row>
    <row r="516" spans="1:14" ht="34" outlineLevel="7" x14ac:dyDescent="0.3">
      <c r="A516" s="213" t="s">
        <v>482</v>
      </c>
      <c r="B516" s="214" t="s">
        <v>456</v>
      </c>
      <c r="C516" s="214" t="s">
        <v>109</v>
      </c>
      <c r="D516" s="293" t="s">
        <v>483</v>
      </c>
      <c r="E516" s="293" t="s">
        <v>6</v>
      </c>
      <c r="F516" s="294">
        <v>2365763.5699999998</v>
      </c>
      <c r="G516" s="237">
        <f t="shared" ref="G516:K517" si="96">G517</f>
        <v>2472253.96</v>
      </c>
      <c r="H516" s="215">
        <f t="shared" si="96"/>
        <v>1921124.34</v>
      </c>
      <c r="I516" s="215">
        <f t="shared" si="96"/>
        <v>2618572.2799999998</v>
      </c>
      <c r="J516" s="238">
        <f t="shared" si="96"/>
        <v>2537974.2999999998</v>
      </c>
      <c r="K516" s="331">
        <f t="shared" si="96"/>
        <v>2537974.2999999998</v>
      </c>
      <c r="L516" s="313">
        <f t="shared" si="86"/>
        <v>0</v>
      </c>
      <c r="M516" s="314">
        <f t="shared" si="87"/>
        <v>102.65831670464793</v>
      </c>
      <c r="N516" s="314">
        <f t="shared" si="88"/>
        <v>102.65831670464793</v>
      </c>
    </row>
    <row r="517" spans="1:14" ht="37.549999999999997" customHeight="1" outlineLevel="2" x14ac:dyDescent="0.3">
      <c r="A517" s="213" t="s">
        <v>11</v>
      </c>
      <c r="B517" s="214" t="s">
        <v>456</v>
      </c>
      <c r="C517" s="214" t="s">
        <v>109</v>
      </c>
      <c r="D517" s="293" t="s">
        <v>483</v>
      </c>
      <c r="E517" s="293" t="s">
        <v>12</v>
      </c>
      <c r="F517" s="294">
        <v>2365763.5699999998</v>
      </c>
      <c r="G517" s="237">
        <f t="shared" si="96"/>
        <v>2472253.96</v>
      </c>
      <c r="H517" s="171">
        <v>1921124.34</v>
      </c>
      <c r="I517" s="215">
        <f t="shared" si="96"/>
        <v>2618572.2799999998</v>
      </c>
      <c r="J517" s="238">
        <f t="shared" si="96"/>
        <v>2537974.2999999998</v>
      </c>
      <c r="K517" s="331">
        <f t="shared" si="96"/>
        <v>2537974.2999999998</v>
      </c>
      <c r="L517" s="313">
        <f t="shared" si="86"/>
        <v>0</v>
      </c>
      <c r="M517" s="314">
        <f t="shared" si="87"/>
        <v>102.65831670464793</v>
      </c>
      <c r="N517" s="314">
        <f t="shared" si="88"/>
        <v>102.65831670464793</v>
      </c>
    </row>
    <row r="518" spans="1:14" ht="34" outlineLevel="4" x14ac:dyDescent="0.3">
      <c r="A518" s="213" t="s">
        <v>13</v>
      </c>
      <c r="B518" s="214" t="s">
        <v>456</v>
      </c>
      <c r="C518" s="214" t="s">
        <v>109</v>
      </c>
      <c r="D518" s="293" t="s">
        <v>483</v>
      </c>
      <c r="E518" s="293" t="s">
        <v>14</v>
      </c>
      <c r="F518" s="294">
        <v>2365763.5699999998</v>
      </c>
      <c r="G518" s="238">
        <f>[2]потребность!I463-45604</f>
        <v>2472253.96</v>
      </c>
      <c r="H518" s="171">
        <v>1921124.34</v>
      </c>
      <c r="I518" s="217">
        <f>'[2]прил 12'!F476</f>
        <v>2618572.2799999998</v>
      </c>
      <c r="J518" s="238">
        <v>2537974.2999999998</v>
      </c>
      <c r="K518" s="331">
        <v>2537974.2999999998</v>
      </c>
      <c r="L518" s="313">
        <f t="shared" si="86"/>
        <v>0</v>
      </c>
      <c r="M518" s="314">
        <f t="shared" si="87"/>
        <v>102.65831670464793</v>
      </c>
      <c r="N518" s="314">
        <f t="shared" si="88"/>
        <v>102.65831670464793</v>
      </c>
    </row>
    <row r="519" spans="1:14" ht="50.95" outlineLevel="5" x14ac:dyDescent="0.3">
      <c r="A519" s="213" t="s">
        <v>449</v>
      </c>
      <c r="B519" s="214" t="s">
        <v>456</v>
      </c>
      <c r="C519" s="214" t="s">
        <v>109</v>
      </c>
      <c r="D519" s="293" t="s">
        <v>450</v>
      </c>
      <c r="E519" s="293" t="s">
        <v>6</v>
      </c>
      <c r="F519" s="294">
        <v>2535958.2000000002</v>
      </c>
      <c r="G519" s="237">
        <f>G520+G522+G524</f>
        <v>2698483.33</v>
      </c>
      <c r="H519" s="215">
        <f>H520+H522+H524</f>
        <v>1834793.63</v>
      </c>
      <c r="I519" s="215">
        <f>I520+I522+I524</f>
        <v>2869629.36</v>
      </c>
      <c r="J519" s="237">
        <f>J520+J522+J524</f>
        <v>2811414</v>
      </c>
      <c r="K519" s="330">
        <f>K520+K522+K524</f>
        <v>2811414</v>
      </c>
      <c r="L519" s="313">
        <f t="shared" si="86"/>
        <v>0</v>
      </c>
      <c r="M519" s="314">
        <f t="shared" si="87"/>
        <v>104.18496822806016</v>
      </c>
      <c r="N519" s="314">
        <f t="shared" si="88"/>
        <v>104.18496822806016</v>
      </c>
    </row>
    <row r="520" spans="1:14" ht="75.400000000000006" customHeight="1" outlineLevel="6" x14ac:dyDescent="0.3">
      <c r="A520" s="213" t="s">
        <v>11</v>
      </c>
      <c r="B520" s="214" t="s">
        <v>456</v>
      </c>
      <c r="C520" s="214" t="s">
        <v>109</v>
      </c>
      <c r="D520" s="293" t="s">
        <v>450</v>
      </c>
      <c r="E520" s="293" t="s">
        <v>12</v>
      </c>
      <c r="F520" s="294">
        <v>2387673</v>
      </c>
      <c r="G520" s="237">
        <f>G521</f>
        <v>2446983.33</v>
      </c>
      <c r="H520" s="169">
        <v>1724385.69</v>
      </c>
      <c r="I520" s="215">
        <f>I521</f>
        <v>2618129.36</v>
      </c>
      <c r="J520" s="238">
        <f>J521</f>
        <v>2560414</v>
      </c>
      <c r="K520" s="331">
        <f>K521</f>
        <v>2560414</v>
      </c>
      <c r="L520" s="313">
        <f t="shared" ref="L520:L583" si="97">K520-J520</f>
        <v>0</v>
      </c>
      <c r="M520" s="314">
        <f t="shared" si="87"/>
        <v>104.635530966204</v>
      </c>
      <c r="N520" s="314">
        <f t="shared" si="88"/>
        <v>104.63553096620399</v>
      </c>
    </row>
    <row r="521" spans="1:14" ht="34" outlineLevel="7" x14ac:dyDescent="0.3">
      <c r="A521" s="213" t="s">
        <v>13</v>
      </c>
      <c r="B521" s="214" t="s">
        <v>456</v>
      </c>
      <c r="C521" s="214" t="s">
        <v>109</v>
      </c>
      <c r="D521" s="293" t="s">
        <v>450</v>
      </c>
      <c r="E521" s="293" t="s">
        <v>14</v>
      </c>
      <c r="F521" s="294">
        <v>2387673</v>
      </c>
      <c r="G521" s="237">
        <f>[2]потребность!I466-70449</f>
        <v>2446983.33</v>
      </c>
      <c r="H521" s="169">
        <v>1724385.69</v>
      </c>
      <c r="I521" s="215">
        <f>'[2]прил 12'!F479</f>
        <v>2618129.36</v>
      </c>
      <c r="J521" s="238">
        <f>2681114-120700</f>
        <v>2560414</v>
      </c>
      <c r="K521" s="331">
        <f>2681114-120700</f>
        <v>2560414</v>
      </c>
      <c r="L521" s="313">
        <f t="shared" si="97"/>
        <v>0</v>
      </c>
      <c r="M521" s="314">
        <f t="shared" si="87"/>
        <v>104.635530966204</v>
      </c>
      <c r="N521" s="314">
        <f t="shared" si="88"/>
        <v>104.63553096620399</v>
      </c>
    </row>
    <row r="522" spans="1:14" ht="34" outlineLevel="7" x14ac:dyDescent="0.3">
      <c r="A522" s="213" t="s">
        <v>15</v>
      </c>
      <c r="B522" s="214" t="s">
        <v>456</v>
      </c>
      <c r="C522" s="214" t="s">
        <v>109</v>
      </c>
      <c r="D522" s="293" t="s">
        <v>450</v>
      </c>
      <c r="E522" s="293" t="s">
        <v>16</v>
      </c>
      <c r="F522" s="294">
        <v>146395.20000000001</v>
      </c>
      <c r="G522" s="237">
        <f>G523</f>
        <v>246000</v>
      </c>
      <c r="H522" s="169">
        <v>110407.94</v>
      </c>
      <c r="I522" s="215">
        <f>I523</f>
        <v>246000</v>
      </c>
      <c r="J522" s="238">
        <f>J523</f>
        <v>246000</v>
      </c>
      <c r="K522" s="331">
        <f>K523</f>
        <v>246000</v>
      </c>
      <c r="L522" s="313">
        <f t="shared" si="97"/>
        <v>0</v>
      </c>
      <c r="M522" s="314">
        <f t="shared" si="87"/>
        <v>100</v>
      </c>
      <c r="N522" s="314">
        <f t="shared" si="88"/>
        <v>100</v>
      </c>
    </row>
    <row r="523" spans="1:14" ht="34" outlineLevel="7" x14ac:dyDescent="0.3">
      <c r="A523" s="213" t="s">
        <v>17</v>
      </c>
      <c r="B523" s="214" t="s">
        <v>456</v>
      </c>
      <c r="C523" s="214" t="s">
        <v>109</v>
      </c>
      <c r="D523" s="293" t="s">
        <v>450</v>
      </c>
      <c r="E523" s="293" t="s">
        <v>18</v>
      </c>
      <c r="F523" s="294">
        <v>146395.20000000001</v>
      </c>
      <c r="G523" s="238">
        <v>246000</v>
      </c>
      <c r="H523" s="169">
        <v>110407.94</v>
      </c>
      <c r="I523" s="217">
        <f>'[2]прил 12'!F481</f>
        <v>246000</v>
      </c>
      <c r="J523" s="238">
        <v>246000</v>
      </c>
      <c r="K523" s="331">
        <v>246000</v>
      </c>
      <c r="L523" s="313">
        <f t="shared" si="97"/>
        <v>0</v>
      </c>
      <c r="M523" s="314">
        <f t="shared" si="87"/>
        <v>100</v>
      </c>
      <c r="N523" s="314">
        <f t="shared" si="88"/>
        <v>100</v>
      </c>
    </row>
    <row r="524" spans="1:14" outlineLevel="2" x14ac:dyDescent="0.3">
      <c r="A524" s="213" t="s">
        <v>19</v>
      </c>
      <c r="B524" s="214" t="s">
        <v>456</v>
      </c>
      <c r="C524" s="214" t="s">
        <v>109</v>
      </c>
      <c r="D524" s="293" t="s">
        <v>450</v>
      </c>
      <c r="E524" s="293" t="s">
        <v>20</v>
      </c>
      <c r="F524" s="294">
        <v>1890</v>
      </c>
      <c r="G524" s="237">
        <f>G525</f>
        <v>5500</v>
      </c>
      <c r="H524" s="216"/>
      <c r="I524" s="215">
        <f>I525</f>
        <v>5500</v>
      </c>
      <c r="J524" s="238">
        <f>J525</f>
        <v>5000</v>
      </c>
      <c r="K524" s="331">
        <f>K525</f>
        <v>5000</v>
      </c>
      <c r="L524" s="313">
        <f t="shared" si="97"/>
        <v>0</v>
      </c>
      <c r="M524" s="314">
        <f t="shared" ref="M524:M576" si="98">J524/G524%</f>
        <v>90.909090909090907</v>
      </c>
      <c r="N524" s="314">
        <f t="shared" ref="N524:N576" si="99">K524/G524*100</f>
        <v>90.909090909090907</v>
      </c>
    </row>
    <row r="525" spans="1:14" s="224" customFormat="1" outlineLevel="3" x14ac:dyDescent="0.3">
      <c r="A525" s="213" t="s">
        <v>21</v>
      </c>
      <c r="B525" s="214" t="s">
        <v>456</v>
      </c>
      <c r="C525" s="214" t="s">
        <v>109</v>
      </c>
      <c r="D525" s="293" t="s">
        <v>450</v>
      </c>
      <c r="E525" s="293" t="s">
        <v>22</v>
      </c>
      <c r="F525" s="294">
        <v>1890</v>
      </c>
      <c r="G525" s="238">
        <v>5500</v>
      </c>
      <c r="H525" s="218"/>
      <c r="I525" s="217">
        <f>'[2]прил 12'!F483</f>
        <v>5500</v>
      </c>
      <c r="J525" s="272">
        <v>5000</v>
      </c>
      <c r="K525" s="332">
        <v>5000</v>
      </c>
      <c r="L525" s="313">
        <f t="shared" si="97"/>
        <v>0</v>
      </c>
      <c r="M525" s="314">
        <f t="shared" si="98"/>
        <v>90.909090909090907</v>
      </c>
      <c r="N525" s="314">
        <f t="shared" si="99"/>
        <v>90.909090909090907</v>
      </c>
    </row>
    <row r="526" spans="1:14" outlineLevel="4" x14ac:dyDescent="0.3">
      <c r="A526" s="213" t="s">
        <v>485</v>
      </c>
      <c r="B526" s="214" t="s">
        <v>456</v>
      </c>
      <c r="C526" s="214" t="s">
        <v>109</v>
      </c>
      <c r="D526" s="293" t="s">
        <v>484</v>
      </c>
      <c r="E526" s="293" t="s">
        <v>6</v>
      </c>
      <c r="F526" s="294">
        <v>180000</v>
      </c>
      <c r="G526" s="237">
        <f t="shared" ref="G526:K527" si="100">G527</f>
        <v>180000</v>
      </c>
      <c r="H526" s="215">
        <f t="shared" si="100"/>
        <v>135000</v>
      </c>
      <c r="I526" s="215">
        <f t="shared" si="100"/>
        <v>180000</v>
      </c>
      <c r="J526" s="238">
        <f t="shared" si="100"/>
        <v>180000</v>
      </c>
      <c r="K526" s="331">
        <f t="shared" si="100"/>
        <v>180000</v>
      </c>
      <c r="L526" s="313">
        <f t="shared" si="97"/>
        <v>0</v>
      </c>
      <c r="M526" s="314">
        <f t="shared" si="98"/>
        <v>100</v>
      </c>
      <c r="N526" s="314">
        <f t="shared" si="99"/>
        <v>100</v>
      </c>
    </row>
    <row r="527" spans="1:14" ht="84.9" outlineLevel="5" x14ac:dyDescent="0.3">
      <c r="A527" s="213" t="s">
        <v>11</v>
      </c>
      <c r="B527" s="214" t="s">
        <v>456</v>
      </c>
      <c r="C527" s="214" t="s">
        <v>109</v>
      </c>
      <c r="D527" s="293" t="s">
        <v>484</v>
      </c>
      <c r="E527" s="293" t="s">
        <v>12</v>
      </c>
      <c r="F527" s="294">
        <v>180000</v>
      </c>
      <c r="G527" s="237">
        <f t="shared" si="100"/>
        <v>180000</v>
      </c>
      <c r="H527" s="169">
        <v>135000</v>
      </c>
      <c r="I527" s="215">
        <f t="shared" si="100"/>
        <v>180000</v>
      </c>
      <c r="J527" s="238">
        <f t="shared" si="100"/>
        <v>180000</v>
      </c>
      <c r="K527" s="331">
        <f t="shared" si="100"/>
        <v>180000</v>
      </c>
      <c r="L527" s="313">
        <f t="shared" si="97"/>
        <v>0</v>
      </c>
      <c r="M527" s="314">
        <f t="shared" si="98"/>
        <v>100</v>
      </c>
      <c r="N527" s="314">
        <f t="shared" si="99"/>
        <v>100</v>
      </c>
    </row>
    <row r="528" spans="1:14" ht="45.7" customHeight="1" outlineLevel="6" x14ac:dyDescent="0.3">
      <c r="A528" s="213" t="s">
        <v>13</v>
      </c>
      <c r="B528" s="214" t="s">
        <v>456</v>
      </c>
      <c r="C528" s="214" t="s">
        <v>109</v>
      </c>
      <c r="D528" s="293" t="s">
        <v>484</v>
      </c>
      <c r="E528" s="293" t="s">
        <v>14</v>
      </c>
      <c r="F528" s="294">
        <v>180000</v>
      </c>
      <c r="G528" s="238">
        <v>180000</v>
      </c>
      <c r="H528" s="169">
        <v>135000</v>
      </c>
      <c r="I528" s="217">
        <f>'[2]прил 12'!F486</f>
        <v>180000</v>
      </c>
      <c r="J528" s="238">
        <v>180000</v>
      </c>
      <c r="K528" s="331">
        <v>180000</v>
      </c>
      <c r="L528" s="313">
        <f t="shared" si="97"/>
        <v>0</v>
      </c>
      <c r="M528" s="314">
        <f t="shared" si="98"/>
        <v>100</v>
      </c>
      <c r="N528" s="314">
        <f t="shared" si="99"/>
        <v>100</v>
      </c>
    </row>
    <row r="529" spans="1:14" ht="46.2" customHeight="1" outlineLevel="7" x14ac:dyDescent="0.3">
      <c r="A529" s="213" t="s">
        <v>9</v>
      </c>
      <c r="B529" s="214" t="s">
        <v>456</v>
      </c>
      <c r="C529" s="214" t="s">
        <v>10</v>
      </c>
      <c r="D529" s="293" t="s">
        <v>126</v>
      </c>
      <c r="E529" s="293" t="s">
        <v>6</v>
      </c>
      <c r="F529" s="294">
        <v>1105064.8999999999</v>
      </c>
      <c r="G529" s="237">
        <f t="shared" ref="G529:H532" si="101">G530</f>
        <v>0</v>
      </c>
      <c r="H529" s="215">
        <f t="shared" si="101"/>
        <v>0</v>
      </c>
      <c r="I529" s="215"/>
      <c r="J529" s="238"/>
      <c r="K529" s="331"/>
      <c r="L529" s="313">
        <f t="shared" si="97"/>
        <v>0</v>
      </c>
      <c r="M529" s="314"/>
      <c r="N529" s="314"/>
    </row>
    <row r="530" spans="1:14" s="224" customFormat="1" ht="34" outlineLevel="7" x14ac:dyDescent="0.3">
      <c r="A530" s="213" t="s">
        <v>132</v>
      </c>
      <c r="B530" s="214" t="s">
        <v>456</v>
      </c>
      <c r="C530" s="214" t="s">
        <v>10</v>
      </c>
      <c r="D530" s="293" t="s">
        <v>127</v>
      </c>
      <c r="E530" s="293" t="s">
        <v>6</v>
      </c>
      <c r="F530" s="294">
        <v>1105064.8999999999</v>
      </c>
      <c r="G530" s="237">
        <f t="shared" si="101"/>
        <v>0</v>
      </c>
      <c r="H530" s="215">
        <f t="shared" si="101"/>
        <v>0</v>
      </c>
      <c r="I530" s="215"/>
      <c r="J530" s="272"/>
      <c r="K530" s="332"/>
      <c r="L530" s="313">
        <f t="shared" si="97"/>
        <v>0</v>
      </c>
      <c r="M530" s="314"/>
      <c r="N530" s="314"/>
    </row>
    <row r="531" spans="1:14" outlineLevel="7" x14ac:dyDescent="0.3">
      <c r="A531" s="213" t="s">
        <v>120</v>
      </c>
      <c r="B531" s="214" t="s">
        <v>456</v>
      </c>
      <c r="C531" s="214" t="s">
        <v>10</v>
      </c>
      <c r="D531" s="293" t="s">
        <v>143</v>
      </c>
      <c r="E531" s="293" t="s">
        <v>6</v>
      </c>
      <c r="F531" s="294">
        <v>1105064.8999999999</v>
      </c>
      <c r="G531" s="237">
        <f t="shared" si="101"/>
        <v>0</v>
      </c>
      <c r="H531" s="215">
        <f t="shared" si="101"/>
        <v>0</v>
      </c>
      <c r="I531" s="215"/>
      <c r="J531" s="238"/>
      <c r="K531" s="331"/>
      <c r="L531" s="313">
        <f t="shared" si="97"/>
        <v>0</v>
      </c>
      <c r="M531" s="314"/>
      <c r="N531" s="314"/>
    </row>
    <row r="532" spans="1:14" ht="84.9" outlineLevel="7" x14ac:dyDescent="0.3">
      <c r="A532" s="213" t="s">
        <v>11</v>
      </c>
      <c r="B532" s="214" t="s">
        <v>456</v>
      </c>
      <c r="C532" s="214" t="s">
        <v>10</v>
      </c>
      <c r="D532" s="293" t="s">
        <v>143</v>
      </c>
      <c r="E532" s="293" t="s">
        <v>12</v>
      </c>
      <c r="F532" s="294">
        <v>1105064.8999999999</v>
      </c>
      <c r="G532" s="237">
        <f t="shared" si="101"/>
        <v>0</v>
      </c>
      <c r="H532" s="215">
        <f t="shared" si="101"/>
        <v>0</v>
      </c>
      <c r="I532" s="215"/>
      <c r="J532" s="238"/>
      <c r="K532" s="331"/>
      <c r="L532" s="313">
        <f t="shared" si="97"/>
        <v>0</v>
      </c>
      <c r="M532" s="314"/>
      <c r="N532" s="314"/>
    </row>
    <row r="533" spans="1:14" ht="21.25" customHeight="1" outlineLevel="7" x14ac:dyDescent="0.3">
      <c r="A533" s="213" t="s">
        <v>13</v>
      </c>
      <c r="B533" s="214" t="s">
        <v>456</v>
      </c>
      <c r="C533" s="214" t="s">
        <v>10</v>
      </c>
      <c r="D533" s="293" t="s">
        <v>143</v>
      </c>
      <c r="E533" s="293" t="s">
        <v>14</v>
      </c>
      <c r="F533" s="294">
        <v>1105064.8999999999</v>
      </c>
      <c r="G533" s="237">
        <v>0</v>
      </c>
      <c r="H533" s="216">
        <v>0</v>
      </c>
      <c r="I533" s="215"/>
      <c r="J533" s="238"/>
      <c r="K533" s="331"/>
      <c r="L533" s="313">
        <f t="shared" si="97"/>
        <v>0</v>
      </c>
      <c r="M533" s="314"/>
      <c r="N533" s="314"/>
    </row>
    <row r="534" spans="1:14" s="212" customFormat="1" x14ac:dyDescent="0.3">
      <c r="A534" s="213" t="s">
        <v>23</v>
      </c>
      <c r="B534" s="214" t="s">
        <v>456</v>
      </c>
      <c r="C534" s="214" t="s">
        <v>24</v>
      </c>
      <c r="D534" s="293" t="s">
        <v>126</v>
      </c>
      <c r="E534" s="293" t="s">
        <v>6</v>
      </c>
      <c r="F534" s="294">
        <v>0</v>
      </c>
      <c r="G534" s="237">
        <f>G535+G540</f>
        <v>137280</v>
      </c>
      <c r="H534" s="215">
        <f>H535+H540</f>
        <v>127918.5</v>
      </c>
      <c r="I534" s="215">
        <f>I535+I540</f>
        <v>137280</v>
      </c>
      <c r="J534" s="237">
        <f>J535+J540+J544</f>
        <v>250950</v>
      </c>
      <c r="K534" s="330">
        <f>K535+K540+K544</f>
        <v>137280</v>
      </c>
      <c r="L534" s="313">
        <f t="shared" si="97"/>
        <v>-113670</v>
      </c>
      <c r="M534" s="314">
        <f t="shared" si="98"/>
        <v>182.80157342657344</v>
      </c>
      <c r="N534" s="314">
        <f t="shared" si="99"/>
        <v>100</v>
      </c>
    </row>
    <row r="535" spans="1:14" s="224" customFormat="1" ht="50.95" outlineLevel="1" x14ac:dyDescent="0.3">
      <c r="A535" s="219" t="s">
        <v>724</v>
      </c>
      <c r="B535" s="220" t="s">
        <v>456</v>
      </c>
      <c r="C535" s="220" t="s">
        <v>24</v>
      </c>
      <c r="D535" s="295" t="s">
        <v>128</v>
      </c>
      <c r="E535" s="295" t="s">
        <v>6</v>
      </c>
      <c r="F535" s="294">
        <v>0</v>
      </c>
      <c r="G535" s="273">
        <f t="shared" ref="G535:K538" si="102">G536</f>
        <v>33280</v>
      </c>
      <c r="H535" s="222"/>
      <c r="I535" s="221">
        <f t="shared" si="102"/>
        <v>33280</v>
      </c>
      <c r="J535" s="272">
        <f t="shared" si="102"/>
        <v>33280</v>
      </c>
      <c r="K535" s="332">
        <f t="shared" si="102"/>
        <v>33280</v>
      </c>
      <c r="L535" s="313">
        <f t="shared" si="97"/>
        <v>0</v>
      </c>
      <c r="M535" s="314">
        <f t="shared" si="98"/>
        <v>100</v>
      </c>
      <c r="N535" s="314">
        <f t="shared" si="99"/>
        <v>100</v>
      </c>
    </row>
    <row r="536" spans="1:14" ht="50.95" outlineLevel="2" x14ac:dyDescent="0.3">
      <c r="A536" s="225" t="s">
        <v>729</v>
      </c>
      <c r="B536" s="214" t="s">
        <v>456</v>
      </c>
      <c r="C536" s="214" t="s">
        <v>24</v>
      </c>
      <c r="D536" s="293" t="s">
        <v>303</v>
      </c>
      <c r="E536" s="293" t="s">
        <v>6</v>
      </c>
      <c r="F536" s="294">
        <v>0</v>
      </c>
      <c r="G536" s="237">
        <f t="shared" si="102"/>
        <v>33280</v>
      </c>
      <c r="H536" s="216"/>
      <c r="I536" s="215">
        <f t="shared" si="102"/>
        <v>33280</v>
      </c>
      <c r="J536" s="238">
        <f t="shared" si="102"/>
        <v>33280</v>
      </c>
      <c r="K536" s="331">
        <f t="shared" si="102"/>
        <v>33280</v>
      </c>
      <c r="L536" s="313">
        <f t="shared" si="97"/>
        <v>0</v>
      </c>
      <c r="M536" s="314">
        <f t="shared" si="98"/>
        <v>100</v>
      </c>
      <c r="N536" s="314">
        <f t="shared" si="99"/>
        <v>100</v>
      </c>
    </row>
    <row r="537" spans="1:14" s="224" customFormat="1" outlineLevel="3" x14ac:dyDescent="0.3">
      <c r="A537" s="225" t="s">
        <v>309</v>
      </c>
      <c r="B537" s="214" t="s">
        <v>456</v>
      </c>
      <c r="C537" s="214" t="s">
        <v>24</v>
      </c>
      <c r="D537" s="293" t="s">
        <v>304</v>
      </c>
      <c r="E537" s="293" t="s">
        <v>6</v>
      </c>
      <c r="F537" s="296">
        <v>0</v>
      </c>
      <c r="G537" s="237">
        <f t="shared" si="102"/>
        <v>33280</v>
      </c>
      <c r="H537" s="216"/>
      <c r="I537" s="215">
        <f t="shared" si="102"/>
        <v>33280</v>
      </c>
      <c r="J537" s="272">
        <f t="shared" si="102"/>
        <v>33280</v>
      </c>
      <c r="K537" s="332">
        <f t="shared" si="102"/>
        <v>33280</v>
      </c>
      <c r="L537" s="313">
        <f t="shared" si="97"/>
        <v>0</v>
      </c>
      <c r="M537" s="314">
        <f t="shared" si="98"/>
        <v>100</v>
      </c>
      <c r="N537" s="314">
        <f t="shared" si="99"/>
        <v>100</v>
      </c>
    </row>
    <row r="538" spans="1:14" ht="34" outlineLevel="4" x14ac:dyDescent="0.3">
      <c r="A538" s="213" t="s">
        <v>15</v>
      </c>
      <c r="B538" s="214" t="s">
        <v>456</v>
      </c>
      <c r="C538" s="214" t="s">
        <v>24</v>
      </c>
      <c r="D538" s="293" t="s">
        <v>304</v>
      </c>
      <c r="E538" s="293" t="s">
        <v>16</v>
      </c>
      <c r="F538" s="294">
        <v>0</v>
      </c>
      <c r="G538" s="237">
        <f t="shared" si="102"/>
        <v>33280</v>
      </c>
      <c r="H538" s="216"/>
      <c r="I538" s="215">
        <f t="shared" si="102"/>
        <v>33280</v>
      </c>
      <c r="J538" s="238">
        <f t="shared" si="102"/>
        <v>33280</v>
      </c>
      <c r="K538" s="331">
        <f t="shared" si="102"/>
        <v>33280</v>
      </c>
      <c r="L538" s="313">
        <f t="shared" si="97"/>
        <v>0</v>
      </c>
      <c r="M538" s="314">
        <f t="shared" si="98"/>
        <v>100</v>
      </c>
      <c r="N538" s="314">
        <f t="shared" si="99"/>
        <v>100</v>
      </c>
    </row>
    <row r="539" spans="1:14" ht="34" outlineLevel="4" x14ac:dyDescent="0.3">
      <c r="A539" s="213" t="s">
        <v>17</v>
      </c>
      <c r="B539" s="214" t="s">
        <v>456</v>
      </c>
      <c r="C539" s="214" t="s">
        <v>24</v>
      </c>
      <c r="D539" s="293" t="s">
        <v>304</v>
      </c>
      <c r="E539" s="293" t="s">
        <v>18</v>
      </c>
      <c r="F539" s="294">
        <v>0</v>
      </c>
      <c r="G539" s="237">
        <v>33280</v>
      </c>
      <c r="H539" s="216"/>
      <c r="I539" s="215">
        <f>'[2]прил 12'!F497</f>
        <v>33280</v>
      </c>
      <c r="J539" s="238">
        <v>33280</v>
      </c>
      <c r="K539" s="331">
        <v>33280</v>
      </c>
      <c r="L539" s="313">
        <f t="shared" si="97"/>
        <v>0</v>
      </c>
      <c r="M539" s="314">
        <f t="shared" si="98"/>
        <v>100</v>
      </c>
      <c r="N539" s="314">
        <f t="shared" si="99"/>
        <v>100</v>
      </c>
    </row>
    <row r="540" spans="1:14" ht="34" outlineLevel="5" x14ac:dyDescent="0.3">
      <c r="A540" s="219" t="s">
        <v>132</v>
      </c>
      <c r="B540" s="220" t="s">
        <v>456</v>
      </c>
      <c r="C540" s="220" t="s">
        <v>24</v>
      </c>
      <c r="D540" s="295" t="s">
        <v>127</v>
      </c>
      <c r="E540" s="295" t="s">
        <v>6</v>
      </c>
      <c r="F540" s="294">
        <v>96161</v>
      </c>
      <c r="G540" s="272">
        <f t="shared" ref="G540:K542" si="103">G541</f>
        <v>104000</v>
      </c>
      <c r="H540" s="227">
        <f>H541</f>
        <v>127918.5</v>
      </c>
      <c r="I540" s="223">
        <f t="shared" si="103"/>
        <v>104000</v>
      </c>
      <c r="J540" s="238">
        <f t="shared" si="103"/>
        <v>104000</v>
      </c>
      <c r="K540" s="331">
        <f t="shared" si="103"/>
        <v>104000</v>
      </c>
      <c r="L540" s="313">
        <f t="shared" si="97"/>
        <v>0</v>
      </c>
      <c r="M540" s="314">
        <f t="shared" si="98"/>
        <v>100</v>
      </c>
      <c r="N540" s="314">
        <f t="shared" si="99"/>
        <v>100</v>
      </c>
    </row>
    <row r="541" spans="1:14" ht="34" outlineLevel="6" x14ac:dyDescent="0.3">
      <c r="A541" s="213" t="s">
        <v>486</v>
      </c>
      <c r="B541" s="214" t="s">
        <v>456</v>
      </c>
      <c r="C541" s="214" t="s">
        <v>24</v>
      </c>
      <c r="D541" s="305">
        <v>9909970201</v>
      </c>
      <c r="E541" s="293" t="s">
        <v>6</v>
      </c>
      <c r="F541" s="294">
        <v>96161</v>
      </c>
      <c r="G541" s="238">
        <f t="shared" si="103"/>
        <v>104000</v>
      </c>
      <c r="H541" s="171">
        <v>127918.5</v>
      </c>
      <c r="I541" s="217">
        <f t="shared" si="103"/>
        <v>104000</v>
      </c>
      <c r="J541" s="238">
        <f t="shared" si="103"/>
        <v>104000</v>
      </c>
      <c r="K541" s="331">
        <f t="shared" si="103"/>
        <v>104000</v>
      </c>
      <c r="L541" s="313">
        <f t="shared" si="97"/>
        <v>0</v>
      </c>
      <c r="M541" s="314">
        <f t="shared" si="98"/>
        <v>100</v>
      </c>
      <c r="N541" s="314">
        <f t="shared" si="99"/>
        <v>100</v>
      </c>
    </row>
    <row r="542" spans="1:14" ht="34" outlineLevel="7" x14ac:dyDescent="0.3">
      <c r="A542" s="213" t="s">
        <v>15</v>
      </c>
      <c r="B542" s="214" t="s">
        <v>456</v>
      </c>
      <c r="C542" s="214" t="s">
        <v>24</v>
      </c>
      <c r="D542" s="305">
        <v>9909970201</v>
      </c>
      <c r="E542" s="293" t="s">
        <v>16</v>
      </c>
      <c r="F542" s="294">
        <v>96161</v>
      </c>
      <c r="G542" s="238">
        <f t="shared" si="103"/>
        <v>104000</v>
      </c>
      <c r="H542" s="171">
        <v>127918.5</v>
      </c>
      <c r="I542" s="217">
        <f t="shared" si="103"/>
        <v>104000</v>
      </c>
      <c r="J542" s="238">
        <f t="shared" si="103"/>
        <v>104000</v>
      </c>
      <c r="K542" s="331">
        <f t="shared" si="103"/>
        <v>104000</v>
      </c>
      <c r="L542" s="313">
        <f t="shared" si="97"/>
        <v>0</v>
      </c>
      <c r="M542" s="314">
        <f t="shared" si="98"/>
        <v>100</v>
      </c>
      <c r="N542" s="314">
        <f t="shared" si="99"/>
        <v>100</v>
      </c>
    </row>
    <row r="543" spans="1:14" ht="45" customHeight="1" outlineLevel="7" x14ac:dyDescent="0.3">
      <c r="A543" s="213" t="s">
        <v>17</v>
      </c>
      <c r="B543" s="214" t="s">
        <v>456</v>
      </c>
      <c r="C543" s="214" t="s">
        <v>24</v>
      </c>
      <c r="D543" s="305">
        <v>9909970201</v>
      </c>
      <c r="E543" s="293" t="s">
        <v>18</v>
      </c>
      <c r="F543" s="297">
        <v>96161</v>
      </c>
      <c r="G543" s="237">
        <v>104000</v>
      </c>
      <c r="H543" s="171">
        <v>127918.5</v>
      </c>
      <c r="I543" s="215">
        <f>'[2]прил 12'!F501</f>
        <v>104000</v>
      </c>
      <c r="J543" s="238">
        <v>104000</v>
      </c>
      <c r="K543" s="331">
        <v>104000</v>
      </c>
      <c r="L543" s="313">
        <f t="shared" si="97"/>
        <v>0</v>
      </c>
      <c r="M543" s="314">
        <f t="shared" si="98"/>
        <v>100</v>
      </c>
      <c r="N543" s="314">
        <f t="shared" si="99"/>
        <v>100</v>
      </c>
    </row>
    <row r="544" spans="1:14" ht="50.95" outlineLevel="7" x14ac:dyDescent="0.3">
      <c r="A544" s="226" t="s">
        <v>723</v>
      </c>
      <c r="B544" s="220" t="s">
        <v>456</v>
      </c>
      <c r="C544" s="214" t="s">
        <v>24</v>
      </c>
      <c r="D544" s="295" t="s">
        <v>305</v>
      </c>
      <c r="E544" s="295" t="s">
        <v>6</v>
      </c>
      <c r="F544" s="305">
        <v>0</v>
      </c>
      <c r="G544" s="237">
        <v>0</v>
      </c>
      <c r="H544" s="216">
        <v>0</v>
      </c>
      <c r="I544" s="215">
        <v>0</v>
      </c>
      <c r="J544" s="238">
        <f t="shared" ref="J544:K547" si="104">J545</f>
        <v>113670</v>
      </c>
      <c r="K544" s="331">
        <f t="shared" si="104"/>
        <v>0</v>
      </c>
      <c r="L544" s="313">
        <f t="shared" si="97"/>
        <v>-113670</v>
      </c>
      <c r="M544" s="314"/>
      <c r="N544" s="314"/>
    </row>
    <row r="545" spans="1:14" ht="34" outlineLevel="7" x14ac:dyDescent="0.3">
      <c r="A545" s="225" t="s">
        <v>245</v>
      </c>
      <c r="B545" s="214" t="s">
        <v>456</v>
      </c>
      <c r="C545" s="214" t="s">
        <v>24</v>
      </c>
      <c r="D545" s="293" t="s">
        <v>306</v>
      </c>
      <c r="E545" s="293" t="s">
        <v>6</v>
      </c>
      <c r="F545" s="305">
        <v>0</v>
      </c>
      <c r="G545" s="237">
        <v>0</v>
      </c>
      <c r="H545" s="216">
        <v>0</v>
      </c>
      <c r="I545" s="215">
        <v>0</v>
      </c>
      <c r="J545" s="238">
        <f t="shared" si="104"/>
        <v>113670</v>
      </c>
      <c r="K545" s="331">
        <f t="shared" si="104"/>
        <v>0</v>
      </c>
      <c r="L545" s="313">
        <f t="shared" si="97"/>
        <v>-113670</v>
      </c>
      <c r="M545" s="314"/>
      <c r="N545" s="314"/>
    </row>
    <row r="546" spans="1:14" ht="18.7" customHeight="1" outlineLevel="7" x14ac:dyDescent="0.3">
      <c r="A546" s="213" t="s">
        <v>25</v>
      </c>
      <c r="B546" s="214" t="s">
        <v>456</v>
      </c>
      <c r="C546" s="214" t="s">
        <v>24</v>
      </c>
      <c r="D546" s="293" t="s">
        <v>317</v>
      </c>
      <c r="E546" s="293" t="s">
        <v>6</v>
      </c>
      <c r="F546" s="293" t="s">
        <v>838</v>
      </c>
      <c r="G546" s="237">
        <v>0</v>
      </c>
      <c r="H546" s="216">
        <v>0</v>
      </c>
      <c r="I546" s="215">
        <v>0</v>
      </c>
      <c r="J546" s="238">
        <f t="shared" si="104"/>
        <v>113670</v>
      </c>
      <c r="K546" s="331">
        <f t="shared" si="104"/>
        <v>0</v>
      </c>
      <c r="L546" s="313">
        <f t="shared" si="97"/>
        <v>-113670</v>
      </c>
      <c r="M546" s="314"/>
      <c r="N546" s="314"/>
    </row>
    <row r="547" spans="1:14" ht="34" outlineLevel="7" x14ac:dyDescent="0.3">
      <c r="A547" s="213" t="s">
        <v>15</v>
      </c>
      <c r="B547" s="214" t="s">
        <v>456</v>
      </c>
      <c r="C547" s="214" t="s">
        <v>24</v>
      </c>
      <c r="D547" s="293" t="s">
        <v>317</v>
      </c>
      <c r="E547" s="293" t="s">
        <v>16</v>
      </c>
      <c r="F547" s="293" t="s">
        <v>838</v>
      </c>
      <c r="G547" s="237">
        <v>0</v>
      </c>
      <c r="H547" s="216">
        <v>0</v>
      </c>
      <c r="I547" s="215">
        <v>0</v>
      </c>
      <c r="J547" s="238">
        <f t="shared" si="104"/>
        <v>113670</v>
      </c>
      <c r="K547" s="331">
        <f t="shared" si="104"/>
        <v>0</v>
      </c>
      <c r="L547" s="313">
        <f t="shared" si="97"/>
        <v>-113670</v>
      </c>
      <c r="M547" s="314"/>
      <c r="N547" s="314"/>
    </row>
    <row r="548" spans="1:14" ht="34" outlineLevel="7" x14ac:dyDescent="0.3">
      <c r="A548" s="213" t="s">
        <v>17</v>
      </c>
      <c r="B548" s="214" t="s">
        <v>456</v>
      </c>
      <c r="C548" s="214" t="s">
        <v>24</v>
      </c>
      <c r="D548" s="293" t="s">
        <v>317</v>
      </c>
      <c r="E548" s="293" t="s">
        <v>18</v>
      </c>
      <c r="F548" s="293" t="s">
        <v>838</v>
      </c>
      <c r="G548" s="237">
        <v>0</v>
      </c>
      <c r="H548" s="216">
        <v>0</v>
      </c>
      <c r="I548" s="215">
        <v>0</v>
      </c>
      <c r="J548" s="238">
        <v>113670</v>
      </c>
      <c r="K548" s="331">
        <f>113670-113670</f>
        <v>0</v>
      </c>
      <c r="L548" s="313">
        <f t="shared" si="97"/>
        <v>-113670</v>
      </c>
      <c r="M548" s="314"/>
      <c r="N548" s="314"/>
    </row>
    <row r="549" spans="1:14" ht="50.95" outlineLevel="7" x14ac:dyDescent="0.3">
      <c r="A549" s="209" t="s">
        <v>498</v>
      </c>
      <c r="B549" s="210" t="s">
        <v>490</v>
      </c>
      <c r="C549" s="210" t="s">
        <v>5</v>
      </c>
      <c r="D549" s="291" t="s">
        <v>126</v>
      </c>
      <c r="E549" s="291" t="s">
        <v>6</v>
      </c>
      <c r="F549" s="292">
        <v>539922363.24000001</v>
      </c>
      <c r="G549" s="271">
        <f>G550+G698+G714</f>
        <v>646232034.13999999</v>
      </c>
      <c r="H549" s="211" t="e">
        <f>H550+H698+H714</f>
        <v>#REF!</v>
      </c>
      <c r="I549" s="211" t="e">
        <f>I550+I698+I714</f>
        <v>#REF!</v>
      </c>
      <c r="J549" s="271">
        <f>J550+J698+J714</f>
        <v>612217470.23000002</v>
      </c>
      <c r="K549" s="329">
        <f>K550+K698+K714</f>
        <v>600593068.19000006</v>
      </c>
      <c r="L549" s="313">
        <f t="shared" si="97"/>
        <v>-11624402.039999962</v>
      </c>
      <c r="M549" s="314">
        <f t="shared" si="98"/>
        <v>94.736478213237092</v>
      </c>
      <c r="N549" s="314">
        <f t="shared" si="99"/>
        <v>92.937681275621713</v>
      </c>
    </row>
    <row r="550" spans="1:14" outlineLevel="7" x14ac:dyDescent="0.3">
      <c r="A550" s="219" t="s">
        <v>69</v>
      </c>
      <c r="B550" s="220" t="s">
        <v>490</v>
      </c>
      <c r="C550" s="220" t="s">
        <v>70</v>
      </c>
      <c r="D550" s="295" t="s">
        <v>126</v>
      </c>
      <c r="E550" s="295" t="s">
        <v>6</v>
      </c>
      <c r="F550" s="294">
        <v>531585411.58999997</v>
      </c>
      <c r="G550" s="273">
        <f>G551+G587+G659+G678+G633</f>
        <v>639658490.35000002</v>
      </c>
      <c r="H550" s="221" t="e">
        <f>H551+H587+H659+H678+H633</f>
        <v>#REF!</v>
      </c>
      <c r="I550" s="221" t="e">
        <f>I551+I587+I659+I678+I633</f>
        <v>#REF!</v>
      </c>
      <c r="J550" s="273">
        <f>J551+J587+J659+J678+J633</f>
        <v>606382316.23000002</v>
      </c>
      <c r="K550" s="333">
        <f>K551+K587+K659+K678+K633</f>
        <v>595116714.19000006</v>
      </c>
      <c r="L550" s="313">
        <f t="shared" si="97"/>
        <v>-11265602.039999962</v>
      </c>
      <c r="M550" s="314">
        <f t="shared" si="98"/>
        <v>94.79782186557199</v>
      </c>
      <c r="N550" s="314">
        <f t="shared" si="99"/>
        <v>93.036631760233774</v>
      </c>
    </row>
    <row r="551" spans="1:14" outlineLevel="7" x14ac:dyDescent="0.3">
      <c r="A551" s="213" t="s">
        <v>110</v>
      </c>
      <c r="B551" s="214" t="s">
        <v>490</v>
      </c>
      <c r="C551" s="214" t="s">
        <v>111</v>
      </c>
      <c r="D551" s="293" t="s">
        <v>126</v>
      </c>
      <c r="E551" s="293" t="s">
        <v>6</v>
      </c>
      <c r="F551" s="294">
        <v>118364131.27</v>
      </c>
      <c r="G551" s="237">
        <f t="shared" ref="G551:K552" si="105">G552</f>
        <v>139928096.22</v>
      </c>
      <c r="H551" s="215">
        <f t="shared" si="105"/>
        <v>96923388.159999996</v>
      </c>
      <c r="I551" s="215">
        <f t="shared" si="105"/>
        <v>136647891</v>
      </c>
      <c r="J551" s="237">
        <f t="shared" si="105"/>
        <v>144617866.20000002</v>
      </c>
      <c r="K551" s="330">
        <f t="shared" si="105"/>
        <v>138855396.20000002</v>
      </c>
      <c r="L551" s="313">
        <f t="shared" si="97"/>
        <v>-5762470</v>
      </c>
      <c r="M551" s="314">
        <f t="shared" si="98"/>
        <v>103.35155705443644</v>
      </c>
      <c r="N551" s="314">
        <f t="shared" si="99"/>
        <v>99.233391971321154</v>
      </c>
    </row>
    <row r="552" spans="1:14" ht="34" outlineLevel="7" x14ac:dyDescent="0.3">
      <c r="A552" s="219" t="s">
        <v>720</v>
      </c>
      <c r="B552" s="220" t="s">
        <v>490</v>
      </c>
      <c r="C552" s="220" t="s">
        <v>111</v>
      </c>
      <c r="D552" s="295" t="s">
        <v>138</v>
      </c>
      <c r="E552" s="295" t="s">
        <v>6</v>
      </c>
      <c r="F552" s="296">
        <v>118364131.27</v>
      </c>
      <c r="G552" s="273">
        <f t="shared" si="105"/>
        <v>139928096.22</v>
      </c>
      <c r="H552" s="221">
        <f t="shared" si="105"/>
        <v>96923388.159999996</v>
      </c>
      <c r="I552" s="221">
        <f t="shared" si="105"/>
        <v>136647891</v>
      </c>
      <c r="J552" s="273">
        <f t="shared" si="105"/>
        <v>144617866.20000002</v>
      </c>
      <c r="K552" s="333">
        <f t="shared" si="105"/>
        <v>138855396.20000002</v>
      </c>
      <c r="L552" s="313">
        <f t="shared" si="97"/>
        <v>-5762470</v>
      </c>
      <c r="M552" s="314">
        <f t="shared" si="98"/>
        <v>103.35155705443644</v>
      </c>
      <c r="N552" s="314">
        <f t="shared" si="99"/>
        <v>99.233391971321154</v>
      </c>
    </row>
    <row r="553" spans="1:14" ht="34" outlineLevel="7" x14ac:dyDescent="0.3">
      <c r="A553" s="213" t="s">
        <v>728</v>
      </c>
      <c r="B553" s="214" t="s">
        <v>490</v>
      </c>
      <c r="C553" s="214" t="s">
        <v>111</v>
      </c>
      <c r="D553" s="293" t="s">
        <v>139</v>
      </c>
      <c r="E553" s="293" t="s">
        <v>6</v>
      </c>
      <c r="F553" s="296">
        <v>118364131.27</v>
      </c>
      <c r="G553" s="237">
        <f>G554+G561</f>
        <v>139928096.22</v>
      </c>
      <c r="H553" s="215">
        <f>H554+H561</f>
        <v>96923388.159999996</v>
      </c>
      <c r="I553" s="215">
        <f>I554+I561</f>
        <v>136647891</v>
      </c>
      <c r="J553" s="237">
        <f>J554+J561</f>
        <v>144617866.20000002</v>
      </c>
      <c r="K553" s="330">
        <f>K554+K561</f>
        <v>138855396.20000002</v>
      </c>
      <c r="L553" s="313">
        <f t="shared" si="97"/>
        <v>-5762470</v>
      </c>
      <c r="M553" s="314">
        <f t="shared" si="98"/>
        <v>103.35155705443644</v>
      </c>
      <c r="N553" s="314">
        <f t="shared" si="99"/>
        <v>99.233391971321154</v>
      </c>
    </row>
    <row r="554" spans="1:14" ht="50.95" outlineLevel="7" x14ac:dyDescent="0.3">
      <c r="A554" s="225" t="s">
        <v>200</v>
      </c>
      <c r="B554" s="214" t="s">
        <v>490</v>
      </c>
      <c r="C554" s="214" t="s">
        <v>111</v>
      </c>
      <c r="D554" s="293" t="s">
        <v>216</v>
      </c>
      <c r="E554" s="293" t="s">
        <v>6</v>
      </c>
      <c r="F554" s="294">
        <v>116865686.84</v>
      </c>
      <c r="G554" s="237">
        <f>G555+G558</f>
        <v>130093742.69</v>
      </c>
      <c r="H554" s="215">
        <f>H555+H558</f>
        <v>91675352.060000002</v>
      </c>
      <c r="I554" s="215">
        <f>I555+I558</f>
        <v>134240407.59999999</v>
      </c>
      <c r="J554" s="237">
        <f>J555+J558</f>
        <v>139153899.30000001</v>
      </c>
      <c r="K554" s="330">
        <f>K555+K558</f>
        <v>138408929.30000001</v>
      </c>
      <c r="L554" s="313">
        <f t="shared" si="97"/>
        <v>-744970</v>
      </c>
      <c r="M554" s="314">
        <f t="shared" si="98"/>
        <v>106.96432927722698</v>
      </c>
      <c r="N554" s="314">
        <f t="shared" si="99"/>
        <v>106.39168836107224</v>
      </c>
    </row>
    <row r="555" spans="1:14" ht="50.95" outlineLevel="7" x14ac:dyDescent="0.3">
      <c r="A555" s="213" t="s">
        <v>113</v>
      </c>
      <c r="B555" s="214" t="s">
        <v>490</v>
      </c>
      <c r="C555" s="214" t="s">
        <v>111</v>
      </c>
      <c r="D555" s="293" t="s">
        <v>144</v>
      </c>
      <c r="E555" s="293" t="s">
        <v>6</v>
      </c>
      <c r="F555" s="294">
        <v>41271815.840000004</v>
      </c>
      <c r="G555" s="237">
        <f t="shared" ref="G555:K556" si="106">G556</f>
        <v>45003324.689999998</v>
      </c>
      <c r="H555" s="215">
        <f t="shared" si="106"/>
        <v>31822280.059999999</v>
      </c>
      <c r="I555" s="215">
        <f t="shared" si="106"/>
        <v>48316977.600000001</v>
      </c>
      <c r="J555" s="237">
        <f t="shared" si="106"/>
        <v>49664655.299999997</v>
      </c>
      <c r="K555" s="330">
        <f t="shared" si="106"/>
        <v>48919685.299999997</v>
      </c>
      <c r="L555" s="313">
        <f t="shared" si="97"/>
        <v>-744970</v>
      </c>
      <c r="M555" s="314">
        <f t="shared" si="98"/>
        <v>110.35774721558688</v>
      </c>
      <c r="N555" s="314">
        <f t="shared" si="99"/>
        <v>108.70238062849218</v>
      </c>
    </row>
    <row r="556" spans="1:14" ht="34" outlineLevel="7" x14ac:dyDescent="0.3">
      <c r="A556" s="213" t="s">
        <v>37</v>
      </c>
      <c r="B556" s="214" t="s">
        <v>490</v>
      </c>
      <c r="C556" s="214" t="s">
        <v>111</v>
      </c>
      <c r="D556" s="293" t="s">
        <v>144</v>
      </c>
      <c r="E556" s="293" t="s">
        <v>38</v>
      </c>
      <c r="F556" s="294">
        <v>41271815.840000004</v>
      </c>
      <c r="G556" s="237">
        <f t="shared" si="106"/>
        <v>45003324.689999998</v>
      </c>
      <c r="H556" s="215">
        <f t="shared" si="106"/>
        <v>31822280.059999999</v>
      </c>
      <c r="I556" s="215">
        <f t="shared" si="106"/>
        <v>48316977.600000001</v>
      </c>
      <c r="J556" s="237">
        <f t="shared" si="106"/>
        <v>49664655.299999997</v>
      </c>
      <c r="K556" s="330">
        <f t="shared" si="106"/>
        <v>48919685.299999997</v>
      </c>
      <c r="L556" s="313">
        <f t="shared" si="97"/>
        <v>-744970</v>
      </c>
      <c r="M556" s="314">
        <f t="shared" si="98"/>
        <v>110.35774721558688</v>
      </c>
      <c r="N556" s="314">
        <f t="shared" si="99"/>
        <v>108.70238062849218</v>
      </c>
    </row>
    <row r="557" spans="1:14" outlineLevel="7" x14ac:dyDescent="0.3">
      <c r="A557" s="213" t="s">
        <v>74</v>
      </c>
      <c r="B557" s="214" t="s">
        <v>490</v>
      </c>
      <c r="C557" s="214" t="s">
        <v>111</v>
      </c>
      <c r="D557" s="293" t="s">
        <v>144</v>
      </c>
      <c r="E557" s="293" t="s">
        <v>75</v>
      </c>
      <c r="F557" s="294">
        <v>41271815.840000004</v>
      </c>
      <c r="G557" s="238">
        <f>[2]потребность!I504-3300000+556776+859477+84223.69</f>
        <v>45003324.689999998</v>
      </c>
      <c r="H557" s="218">
        <v>31822280.059999999</v>
      </c>
      <c r="I557" s="217">
        <v>48316977.600000001</v>
      </c>
      <c r="J557" s="238">
        <f>49664655.3+500000-500000</f>
        <v>49664655.299999997</v>
      </c>
      <c r="K557" s="331">
        <f>49664655.3-744970</f>
        <v>48919685.299999997</v>
      </c>
      <c r="L557" s="313">
        <f t="shared" si="97"/>
        <v>-744970</v>
      </c>
      <c r="M557" s="314">
        <f t="shared" si="98"/>
        <v>110.35774721558688</v>
      </c>
      <c r="N557" s="314">
        <f t="shared" si="99"/>
        <v>108.70238062849218</v>
      </c>
    </row>
    <row r="558" spans="1:14" ht="95.8" customHeight="1" outlineLevel="7" x14ac:dyDescent="0.3">
      <c r="A558" s="225" t="s">
        <v>375</v>
      </c>
      <c r="B558" s="214" t="s">
        <v>490</v>
      </c>
      <c r="C558" s="214" t="s">
        <v>111</v>
      </c>
      <c r="D558" s="293" t="s">
        <v>145</v>
      </c>
      <c r="E558" s="293" t="s">
        <v>6</v>
      </c>
      <c r="F558" s="294">
        <v>75593871</v>
      </c>
      <c r="G558" s="237">
        <f t="shared" ref="G558:K559" si="107">G559</f>
        <v>85090418</v>
      </c>
      <c r="H558" s="215">
        <f t="shared" si="107"/>
        <v>59853072</v>
      </c>
      <c r="I558" s="215">
        <f t="shared" si="107"/>
        <v>85923430</v>
      </c>
      <c r="J558" s="237">
        <f t="shared" si="107"/>
        <v>89489244</v>
      </c>
      <c r="K558" s="330">
        <f t="shared" si="107"/>
        <v>89489244</v>
      </c>
      <c r="L558" s="313">
        <f t="shared" si="97"/>
        <v>0</v>
      </c>
      <c r="M558" s="314">
        <f t="shared" si="98"/>
        <v>105.16959030569106</v>
      </c>
      <c r="N558" s="314">
        <f t="shared" si="99"/>
        <v>105.16959030569106</v>
      </c>
    </row>
    <row r="559" spans="1:14" ht="34" outlineLevel="7" x14ac:dyDescent="0.3">
      <c r="A559" s="213" t="s">
        <v>37</v>
      </c>
      <c r="B559" s="214" t="s">
        <v>490</v>
      </c>
      <c r="C559" s="214" t="s">
        <v>111</v>
      </c>
      <c r="D559" s="293" t="s">
        <v>145</v>
      </c>
      <c r="E559" s="293" t="s">
        <v>38</v>
      </c>
      <c r="F559" s="294">
        <v>75593871</v>
      </c>
      <c r="G559" s="237">
        <f t="shared" si="107"/>
        <v>85090418</v>
      </c>
      <c r="H559" s="215">
        <f t="shared" si="107"/>
        <v>59853072</v>
      </c>
      <c r="I559" s="215">
        <f t="shared" si="107"/>
        <v>85923430</v>
      </c>
      <c r="J559" s="237">
        <f t="shared" si="107"/>
        <v>89489244</v>
      </c>
      <c r="K559" s="330">
        <f t="shared" si="107"/>
        <v>89489244</v>
      </c>
      <c r="L559" s="313">
        <f t="shared" si="97"/>
        <v>0</v>
      </c>
      <c r="M559" s="314">
        <f t="shared" si="98"/>
        <v>105.16959030569106</v>
      </c>
      <c r="N559" s="314">
        <f t="shared" si="99"/>
        <v>105.16959030569106</v>
      </c>
    </row>
    <row r="560" spans="1:14" ht="24.8" customHeight="1" outlineLevel="7" x14ac:dyDescent="0.3">
      <c r="A560" s="213" t="s">
        <v>74</v>
      </c>
      <c r="B560" s="214" t="s">
        <v>490</v>
      </c>
      <c r="C560" s="214" t="s">
        <v>111</v>
      </c>
      <c r="D560" s="293" t="s">
        <v>145</v>
      </c>
      <c r="E560" s="293" t="s">
        <v>75</v>
      </c>
      <c r="F560" s="294">
        <v>75593871</v>
      </c>
      <c r="G560" s="238">
        <f>81227204+3863214</f>
        <v>85090418</v>
      </c>
      <c r="H560" s="218">
        <v>59853072</v>
      </c>
      <c r="I560" s="217">
        <v>85923430</v>
      </c>
      <c r="J560" s="238">
        <v>89489244</v>
      </c>
      <c r="K560" s="331">
        <v>89489244</v>
      </c>
      <c r="L560" s="313">
        <f t="shared" si="97"/>
        <v>0</v>
      </c>
      <c r="M560" s="314">
        <f t="shared" si="98"/>
        <v>105.16959030569106</v>
      </c>
      <c r="N560" s="314">
        <f t="shared" si="99"/>
        <v>105.16959030569106</v>
      </c>
    </row>
    <row r="561" spans="1:14" ht="34" outlineLevel="7" x14ac:dyDescent="0.3">
      <c r="A561" s="225" t="s">
        <v>201</v>
      </c>
      <c r="B561" s="214" t="s">
        <v>490</v>
      </c>
      <c r="C561" s="214" t="s">
        <v>111</v>
      </c>
      <c r="D561" s="293" t="s">
        <v>218</v>
      </c>
      <c r="E561" s="293" t="s">
        <v>6</v>
      </c>
      <c r="F561" s="294">
        <v>1498444.43</v>
      </c>
      <c r="G561" s="238">
        <f>G580+G562+G565+G568+G571+G574</f>
        <v>9834353.5300000012</v>
      </c>
      <c r="H561" s="217">
        <f>H580+H562+H565+H568+H571+H574</f>
        <v>5248036.0999999996</v>
      </c>
      <c r="I561" s="217">
        <f>I580+I562+I565+I568+I571+I574</f>
        <v>2407483.4</v>
      </c>
      <c r="J561" s="238">
        <f>J580+J562+J565+J568+J571+J574</f>
        <v>5463966.9000000004</v>
      </c>
      <c r="K561" s="331">
        <f>K580+K562+K565+K568+K571+K574</f>
        <v>446466.9</v>
      </c>
      <c r="L561" s="313">
        <f t="shared" si="97"/>
        <v>-5017500</v>
      </c>
      <c r="M561" s="314">
        <f t="shared" si="98"/>
        <v>55.560000800581342</v>
      </c>
      <c r="N561" s="314">
        <f t="shared" si="99"/>
        <v>4.5398703497697017</v>
      </c>
    </row>
    <row r="562" spans="1:14" ht="34" outlineLevel="7" x14ac:dyDescent="0.3">
      <c r="A562" s="213" t="s">
        <v>274</v>
      </c>
      <c r="B562" s="214" t="s">
        <v>490</v>
      </c>
      <c r="C562" s="214" t="s">
        <v>111</v>
      </c>
      <c r="D562" s="293" t="s">
        <v>275</v>
      </c>
      <c r="E562" s="293" t="s">
        <v>6</v>
      </c>
      <c r="F562" s="294">
        <v>97500</v>
      </c>
      <c r="G562" s="238">
        <f t="shared" ref="G562:K563" si="108">G563</f>
        <v>97500</v>
      </c>
      <c r="H562" s="217">
        <f t="shared" si="108"/>
        <v>0</v>
      </c>
      <c r="I562" s="217">
        <f t="shared" si="108"/>
        <v>97500</v>
      </c>
      <c r="J562" s="238">
        <f t="shared" si="108"/>
        <v>100000</v>
      </c>
      <c r="K562" s="331">
        <f t="shared" si="108"/>
        <v>100000</v>
      </c>
      <c r="L562" s="313">
        <f t="shared" si="97"/>
        <v>0</v>
      </c>
      <c r="M562" s="314">
        <f t="shared" si="98"/>
        <v>102.56410256410257</v>
      </c>
      <c r="N562" s="314">
        <f t="shared" si="99"/>
        <v>102.56410256410255</v>
      </c>
    </row>
    <row r="563" spans="1:14" ht="22.75" customHeight="1" outlineLevel="7" x14ac:dyDescent="0.3">
      <c r="A563" s="213" t="s">
        <v>37</v>
      </c>
      <c r="B563" s="214" t="s">
        <v>490</v>
      </c>
      <c r="C563" s="214" t="s">
        <v>111</v>
      </c>
      <c r="D563" s="293" t="s">
        <v>275</v>
      </c>
      <c r="E563" s="293" t="s">
        <v>38</v>
      </c>
      <c r="F563" s="294">
        <v>97500</v>
      </c>
      <c r="G563" s="238">
        <f t="shared" si="108"/>
        <v>97500</v>
      </c>
      <c r="H563" s="217">
        <f t="shared" si="108"/>
        <v>0</v>
      </c>
      <c r="I563" s="217">
        <f t="shared" si="108"/>
        <v>97500</v>
      </c>
      <c r="J563" s="238">
        <f t="shared" si="108"/>
        <v>100000</v>
      </c>
      <c r="K563" s="331">
        <f t="shared" si="108"/>
        <v>100000</v>
      </c>
      <c r="L563" s="313">
        <f t="shared" si="97"/>
        <v>0</v>
      </c>
      <c r="M563" s="314">
        <f t="shared" si="98"/>
        <v>102.56410256410257</v>
      </c>
      <c r="N563" s="314">
        <f t="shared" si="99"/>
        <v>102.56410256410255</v>
      </c>
    </row>
    <row r="564" spans="1:14" outlineLevel="7" x14ac:dyDescent="0.3">
      <c r="A564" s="213" t="s">
        <v>74</v>
      </c>
      <c r="B564" s="214" t="s">
        <v>490</v>
      </c>
      <c r="C564" s="214" t="s">
        <v>111</v>
      </c>
      <c r="D564" s="293" t="s">
        <v>275</v>
      </c>
      <c r="E564" s="293" t="s">
        <v>75</v>
      </c>
      <c r="F564" s="294">
        <v>97500</v>
      </c>
      <c r="G564" s="238">
        <v>97500</v>
      </c>
      <c r="H564" s="218"/>
      <c r="I564" s="217">
        <v>97500</v>
      </c>
      <c r="J564" s="238">
        <v>100000</v>
      </c>
      <c r="K564" s="331">
        <v>100000</v>
      </c>
      <c r="L564" s="313">
        <f t="shared" si="97"/>
        <v>0</v>
      </c>
      <c r="M564" s="314">
        <f t="shared" si="98"/>
        <v>102.56410256410257</v>
      </c>
      <c r="N564" s="314">
        <f t="shared" si="99"/>
        <v>102.56410256410255</v>
      </c>
    </row>
    <row r="565" spans="1:14" ht="34" outlineLevel="7" x14ac:dyDescent="0.3">
      <c r="A565" s="213" t="s">
        <v>262</v>
      </c>
      <c r="B565" s="214" t="s">
        <v>490</v>
      </c>
      <c r="C565" s="214" t="s">
        <v>111</v>
      </c>
      <c r="D565" s="293" t="s">
        <v>276</v>
      </c>
      <c r="E565" s="293" t="s">
        <v>6</v>
      </c>
      <c r="F565" s="294">
        <v>111181.43</v>
      </c>
      <c r="G565" s="238">
        <f>G566</f>
        <v>152000</v>
      </c>
      <c r="H565" s="217">
        <f>H566</f>
        <v>77979.91</v>
      </c>
      <c r="I565" s="217">
        <f>I566</f>
        <v>152000</v>
      </c>
      <c r="J565" s="238">
        <f>J566</f>
        <v>158000</v>
      </c>
      <c r="K565" s="331">
        <f>K566</f>
        <v>158000</v>
      </c>
      <c r="L565" s="313">
        <f t="shared" si="97"/>
        <v>0</v>
      </c>
      <c r="M565" s="314">
        <f t="shared" si="98"/>
        <v>103.94736842105263</v>
      </c>
      <c r="N565" s="314">
        <f t="shared" si="99"/>
        <v>103.94736842105263</v>
      </c>
    </row>
    <row r="566" spans="1:14" ht="34" outlineLevel="7" x14ac:dyDescent="0.3">
      <c r="A566" s="213" t="s">
        <v>37</v>
      </c>
      <c r="B566" s="214" t="s">
        <v>490</v>
      </c>
      <c r="C566" s="214" t="s">
        <v>111</v>
      </c>
      <c r="D566" s="293" t="s">
        <v>276</v>
      </c>
      <c r="E566" s="293" t="s">
        <v>38</v>
      </c>
      <c r="F566" s="294">
        <v>111181.43</v>
      </c>
      <c r="G566" s="238">
        <f>G567</f>
        <v>152000</v>
      </c>
      <c r="H566" s="217">
        <f>H567</f>
        <v>77979.91</v>
      </c>
      <c r="I566" s="217">
        <v>152000</v>
      </c>
      <c r="J566" s="238">
        <f>J567</f>
        <v>158000</v>
      </c>
      <c r="K566" s="331">
        <f>K567</f>
        <v>158000</v>
      </c>
      <c r="L566" s="313">
        <f t="shared" si="97"/>
        <v>0</v>
      </c>
      <c r="M566" s="314">
        <f t="shared" si="98"/>
        <v>103.94736842105263</v>
      </c>
      <c r="N566" s="314">
        <f t="shared" si="99"/>
        <v>103.94736842105263</v>
      </c>
    </row>
    <row r="567" spans="1:14" outlineLevel="7" x14ac:dyDescent="0.3">
      <c r="A567" s="213" t="s">
        <v>74</v>
      </c>
      <c r="B567" s="214" t="s">
        <v>490</v>
      </c>
      <c r="C567" s="214" t="s">
        <v>111</v>
      </c>
      <c r="D567" s="293" t="s">
        <v>276</v>
      </c>
      <c r="E567" s="293" t="s">
        <v>75</v>
      </c>
      <c r="F567" s="294">
        <v>111181.43</v>
      </c>
      <c r="G567" s="238">
        <v>152000</v>
      </c>
      <c r="H567" s="218">
        <v>77979.91</v>
      </c>
      <c r="I567" s="217">
        <v>152000</v>
      </c>
      <c r="J567" s="238">
        <v>158000</v>
      </c>
      <c r="K567" s="331">
        <v>158000</v>
      </c>
      <c r="L567" s="313">
        <f t="shared" si="97"/>
        <v>0</v>
      </c>
      <c r="M567" s="314">
        <f t="shared" si="98"/>
        <v>103.94736842105263</v>
      </c>
      <c r="N567" s="314">
        <f t="shared" si="99"/>
        <v>103.94736842105263</v>
      </c>
    </row>
    <row r="568" spans="1:14" outlineLevel="7" x14ac:dyDescent="0.3">
      <c r="A568" s="213" t="s">
        <v>300</v>
      </c>
      <c r="B568" s="214" t="s">
        <v>490</v>
      </c>
      <c r="C568" s="214" t="s">
        <v>111</v>
      </c>
      <c r="D568" s="293" t="s">
        <v>488</v>
      </c>
      <c r="E568" s="293" t="s">
        <v>6</v>
      </c>
      <c r="F568" s="294">
        <v>413306</v>
      </c>
      <c r="G568" s="238">
        <f t="shared" ref="G568:K569" si="109">G569</f>
        <v>92750</v>
      </c>
      <c r="H568" s="217">
        <f t="shared" si="109"/>
        <v>4700</v>
      </c>
      <c r="I568" s="217">
        <f t="shared" si="109"/>
        <v>400000</v>
      </c>
      <c r="J568" s="238">
        <f t="shared" si="109"/>
        <v>2200000</v>
      </c>
      <c r="K568" s="331">
        <f t="shared" si="109"/>
        <v>0</v>
      </c>
      <c r="L568" s="313">
        <f t="shared" si="97"/>
        <v>-2200000</v>
      </c>
      <c r="M568" s="314">
        <f t="shared" si="98"/>
        <v>2371.967654986523</v>
      </c>
      <c r="N568" s="314">
        <f t="shared" si="99"/>
        <v>0</v>
      </c>
    </row>
    <row r="569" spans="1:14" ht="34" outlineLevel="7" x14ac:dyDescent="0.3">
      <c r="A569" s="213" t="s">
        <v>37</v>
      </c>
      <c r="B569" s="214" t="s">
        <v>490</v>
      </c>
      <c r="C569" s="214" t="s">
        <v>111</v>
      </c>
      <c r="D569" s="293" t="s">
        <v>488</v>
      </c>
      <c r="E569" s="293" t="s">
        <v>38</v>
      </c>
      <c r="F569" s="294">
        <v>413306</v>
      </c>
      <c r="G569" s="238">
        <f t="shared" si="109"/>
        <v>92750</v>
      </c>
      <c r="H569" s="217">
        <f t="shared" si="109"/>
        <v>4700</v>
      </c>
      <c r="I569" s="217">
        <f t="shared" si="109"/>
        <v>400000</v>
      </c>
      <c r="J569" s="238">
        <f t="shared" si="109"/>
        <v>2200000</v>
      </c>
      <c r="K569" s="331">
        <f t="shared" si="109"/>
        <v>0</v>
      </c>
      <c r="L569" s="313">
        <f t="shared" si="97"/>
        <v>-2200000</v>
      </c>
      <c r="M569" s="314">
        <f t="shared" si="98"/>
        <v>2371.967654986523</v>
      </c>
      <c r="N569" s="314">
        <f t="shared" si="99"/>
        <v>0</v>
      </c>
    </row>
    <row r="570" spans="1:14" outlineLevel="7" x14ac:dyDescent="0.3">
      <c r="A570" s="213" t="s">
        <v>74</v>
      </c>
      <c r="B570" s="214" t="s">
        <v>490</v>
      </c>
      <c r="C570" s="214" t="s">
        <v>111</v>
      </c>
      <c r="D570" s="293" t="s">
        <v>488</v>
      </c>
      <c r="E570" s="293" t="s">
        <v>75</v>
      </c>
      <c r="F570" s="294">
        <v>413306</v>
      </c>
      <c r="G570" s="238">
        <f>273250-180500</f>
        <v>92750</v>
      </c>
      <c r="H570" s="218">
        <v>4700</v>
      </c>
      <c r="I570" s="217">
        <v>400000</v>
      </c>
      <c r="J570" s="238">
        <v>2200000</v>
      </c>
      <c r="K570" s="331">
        <f>2200000-2200000</f>
        <v>0</v>
      </c>
      <c r="L570" s="313">
        <f t="shared" si="97"/>
        <v>-2200000</v>
      </c>
      <c r="M570" s="314">
        <f t="shared" si="98"/>
        <v>2371.967654986523</v>
      </c>
      <c r="N570" s="314">
        <f t="shared" si="99"/>
        <v>0</v>
      </c>
    </row>
    <row r="571" spans="1:14" ht="50.95" outlineLevel="7" x14ac:dyDescent="0.3">
      <c r="A571" s="225" t="s">
        <v>415</v>
      </c>
      <c r="B571" s="214" t="s">
        <v>490</v>
      </c>
      <c r="C571" s="214" t="s">
        <v>111</v>
      </c>
      <c r="D571" s="293" t="s">
        <v>416</v>
      </c>
      <c r="E571" s="293" t="s">
        <v>6</v>
      </c>
      <c r="F571" s="294">
        <v>125600</v>
      </c>
      <c r="G571" s="238">
        <f t="shared" ref="G571:K572" si="110">G572</f>
        <v>6000000</v>
      </c>
      <c r="H571" s="217">
        <f t="shared" si="110"/>
        <v>1800000</v>
      </c>
      <c r="I571" s="217">
        <f t="shared" si="110"/>
        <v>1400000</v>
      </c>
      <c r="J571" s="238">
        <f t="shared" si="110"/>
        <v>2817500</v>
      </c>
      <c r="K571" s="331">
        <f t="shared" si="110"/>
        <v>0</v>
      </c>
      <c r="L571" s="313">
        <f t="shared" si="97"/>
        <v>-2817500</v>
      </c>
      <c r="M571" s="314">
        <f t="shared" si="98"/>
        <v>46.958333333333336</v>
      </c>
      <c r="N571" s="314">
        <f t="shared" si="99"/>
        <v>0</v>
      </c>
    </row>
    <row r="572" spans="1:14" ht="34" outlineLevel="7" x14ac:dyDescent="0.3">
      <c r="A572" s="213" t="s">
        <v>37</v>
      </c>
      <c r="B572" s="214" t="s">
        <v>490</v>
      </c>
      <c r="C572" s="214" t="s">
        <v>111</v>
      </c>
      <c r="D572" s="293" t="s">
        <v>416</v>
      </c>
      <c r="E572" s="293" t="s">
        <v>38</v>
      </c>
      <c r="F572" s="294">
        <v>125600</v>
      </c>
      <c r="G572" s="238">
        <f t="shared" si="110"/>
        <v>6000000</v>
      </c>
      <c r="H572" s="217">
        <f t="shared" si="110"/>
        <v>1800000</v>
      </c>
      <c r="I572" s="217">
        <f t="shared" si="110"/>
        <v>1400000</v>
      </c>
      <c r="J572" s="238">
        <f t="shared" si="110"/>
        <v>2817500</v>
      </c>
      <c r="K572" s="331">
        <f t="shared" si="110"/>
        <v>0</v>
      </c>
      <c r="L572" s="313">
        <f t="shared" si="97"/>
        <v>-2817500</v>
      </c>
      <c r="M572" s="314">
        <f t="shared" si="98"/>
        <v>46.958333333333336</v>
      </c>
      <c r="N572" s="314">
        <f t="shared" si="99"/>
        <v>0</v>
      </c>
    </row>
    <row r="573" spans="1:14" ht="17.7" outlineLevel="2" thickBot="1" x14ac:dyDescent="0.35">
      <c r="A573" s="213" t="s">
        <v>74</v>
      </c>
      <c r="B573" s="214" t="s">
        <v>490</v>
      </c>
      <c r="C573" s="214" t="s">
        <v>111</v>
      </c>
      <c r="D573" s="293" t="s">
        <v>416</v>
      </c>
      <c r="E573" s="293" t="s">
        <v>75</v>
      </c>
      <c r="F573" s="294">
        <v>125600</v>
      </c>
      <c r="G573" s="238">
        <f>[2]потребность!I520+3300000-3000000-400000+6000000</f>
        <v>6000000</v>
      </c>
      <c r="H573" s="218">
        <v>1800000</v>
      </c>
      <c r="I573" s="217">
        <v>1400000</v>
      </c>
      <c r="J573" s="238">
        <v>2817500</v>
      </c>
      <c r="K573" s="331">
        <f>2817500-2817500</f>
        <v>0</v>
      </c>
      <c r="L573" s="313">
        <f t="shared" si="97"/>
        <v>-2817500</v>
      </c>
      <c r="M573" s="314">
        <f t="shared" si="98"/>
        <v>46.958333333333336</v>
      </c>
      <c r="N573" s="314">
        <f t="shared" si="99"/>
        <v>0</v>
      </c>
    </row>
    <row r="574" spans="1:14" s="224" customFormat="1" ht="57.25" customHeight="1" outlineLevel="3" thickBot="1" x14ac:dyDescent="0.35">
      <c r="A574" s="241" t="s">
        <v>806</v>
      </c>
      <c r="B574" s="214" t="s">
        <v>490</v>
      </c>
      <c r="C574" s="214" t="s">
        <v>111</v>
      </c>
      <c r="D574" s="293" t="s">
        <v>657</v>
      </c>
      <c r="E574" s="293" t="s">
        <v>6</v>
      </c>
      <c r="F574" s="294">
        <v>343895</v>
      </c>
      <c r="G574" s="238">
        <f>G575</f>
        <v>3492103.5300000003</v>
      </c>
      <c r="H574" s="217">
        <f>H575</f>
        <v>3365356.19</v>
      </c>
      <c r="I574" s="217">
        <v>0</v>
      </c>
      <c r="J574" s="272">
        <v>0</v>
      </c>
      <c r="K574" s="332">
        <v>0</v>
      </c>
      <c r="L574" s="313">
        <f t="shared" si="97"/>
        <v>0</v>
      </c>
      <c r="M574" s="314">
        <f t="shared" si="98"/>
        <v>0</v>
      </c>
      <c r="N574" s="314">
        <f t="shared" si="99"/>
        <v>0</v>
      </c>
    </row>
    <row r="575" spans="1:14" ht="23.95" customHeight="1" outlineLevel="4" x14ac:dyDescent="0.3">
      <c r="A575" s="213" t="s">
        <v>37</v>
      </c>
      <c r="B575" s="214" t="s">
        <v>490</v>
      </c>
      <c r="C575" s="214" t="s">
        <v>111</v>
      </c>
      <c r="D575" s="293" t="s">
        <v>657</v>
      </c>
      <c r="E575" s="293" t="s">
        <v>38</v>
      </c>
      <c r="F575" s="294">
        <v>343895</v>
      </c>
      <c r="G575" s="238">
        <f>G576</f>
        <v>3492103.5300000003</v>
      </c>
      <c r="H575" s="217">
        <f>H576</f>
        <v>3365356.19</v>
      </c>
      <c r="I575" s="217">
        <v>0</v>
      </c>
      <c r="J575" s="238">
        <v>0</v>
      </c>
      <c r="K575" s="331">
        <v>0</v>
      </c>
      <c r="L575" s="313">
        <f t="shared" si="97"/>
        <v>0</v>
      </c>
      <c r="M575" s="314">
        <f t="shared" si="98"/>
        <v>0</v>
      </c>
      <c r="N575" s="314">
        <f t="shared" si="99"/>
        <v>0</v>
      </c>
    </row>
    <row r="576" spans="1:14" ht="22.75" customHeight="1" outlineLevel="4" x14ac:dyDescent="0.3">
      <c r="A576" s="213" t="s">
        <v>74</v>
      </c>
      <c r="B576" s="214" t="s">
        <v>490</v>
      </c>
      <c r="C576" s="214" t="s">
        <v>111</v>
      </c>
      <c r="D576" s="293" t="s">
        <v>657</v>
      </c>
      <c r="E576" s="293" t="s">
        <v>75</v>
      </c>
      <c r="F576" s="294">
        <v>343895</v>
      </c>
      <c r="G576" s="238">
        <f>[2]потребность!L521+340000+282103.53+400000+70000</f>
        <v>3492103.5300000003</v>
      </c>
      <c r="H576" s="218">
        <v>3365356.19</v>
      </c>
      <c r="I576" s="217">
        <v>0</v>
      </c>
      <c r="J576" s="238">
        <v>0</v>
      </c>
      <c r="K576" s="331">
        <v>0</v>
      </c>
      <c r="L576" s="313">
        <f t="shared" si="97"/>
        <v>0</v>
      </c>
      <c r="M576" s="314">
        <f t="shared" si="98"/>
        <v>0</v>
      </c>
      <c r="N576" s="314">
        <f t="shared" si="99"/>
        <v>0</v>
      </c>
    </row>
    <row r="577" spans="1:14" ht="73.400000000000006" customHeight="1" outlineLevel="4" x14ac:dyDescent="0.3">
      <c r="A577" s="185" t="s">
        <v>533</v>
      </c>
      <c r="B577" s="214" t="s">
        <v>490</v>
      </c>
      <c r="C577" s="214" t="s">
        <v>111</v>
      </c>
      <c r="D577" s="293" t="s">
        <v>534</v>
      </c>
      <c r="E577" s="293" t="s">
        <v>6</v>
      </c>
      <c r="F577" s="294">
        <v>394753.14</v>
      </c>
      <c r="G577" s="238">
        <f>G578</f>
        <v>0</v>
      </c>
      <c r="H577" s="217">
        <f>H578</f>
        <v>0</v>
      </c>
      <c r="I577" s="217">
        <v>0</v>
      </c>
      <c r="J577" s="238">
        <v>0</v>
      </c>
      <c r="K577" s="331">
        <v>0</v>
      </c>
      <c r="L577" s="313">
        <f t="shared" si="97"/>
        <v>0</v>
      </c>
      <c r="M577" s="314"/>
      <c r="N577" s="314"/>
    </row>
    <row r="578" spans="1:14" ht="43.5" customHeight="1" outlineLevel="4" x14ac:dyDescent="0.3">
      <c r="A578" s="213" t="s">
        <v>37</v>
      </c>
      <c r="B578" s="214" t="s">
        <v>490</v>
      </c>
      <c r="C578" s="214" t="s">
        <v>111</v>
      </c>
      <c r="D578" s="293" t="s">
        <v>534</v>
      </c>
      <c r="E578" s="293" t="s">
        <v>38</v>
      </c>
      <c r="F578" s="294">
        <v>394753.14</v>
      </c>
      <c r="G578" s="238">
        <f>G579</f>
        <v>0</v>
      </c>
      <c r="H578" s="217">
        <f>H579</f>
        <v>0</v>
      </c>
      <c r="I578" s="217">
        <v>0</v>
      </c>
      <c r="J578" s="238">
        <v>0</v>
      </c>
      <c r="K578" s="331">
        <v>0</v>
      </c>
      <c r="L578" s="313">
        <f t="shared" si="97"/>
        <v>0</v>
      </c>
      <c r="M578" s="314"/>
      <c r="N578" s="314"/>
    </row>
    <row r="579" spans="1:14" ht="30.75" customHeight="1" outlineLevel="4" x14ac:dyDescent="0.3">
      <c r="A579" s="213" t="s">
        <v>74</v>
      </c>
      <c r="B579" s="214" t="s">
        <v>490</v>
      </c>
      <c r="C579" s="214" t="s">
        <v>111</v>
      </c>
      <c r="D579" s="293" t="s">
        <v>534</v>
      </c>
      <c r="E579" s="293" t="s">
        <v>75</v>
      </c>
      <c r="F579" s="294">
        <v>394753.14</v>
      </c>
      <c r="G579" s="238">
        <v>0</v>
      </c>
      <c r="H579" s="217">
        <v>0</v>
      </c>
      <c r="I579" s="217">
        <v>0</v>
      </c>
      <c r="J579" s="238">
        <v>0</v>
      </c>
      <c r="K579" s="331">
        <v>0</v>
      </c>
      <c r="L579" s="313">
        <f t="shared" si="97"/>
        <v>0</v>
      </c>
      <c r="M579" s="314"/>
      <c r="N579" s="314"/>
    </row>
    <row r="580" spans="1:14" ht="67.95" outlineLevel="5" x14ac:dyDescent="0.3">
      <c r="A580" s="213" t="s">
        <v>405</v>
      </c>
      <c r="B580" s="214" t="s">
        <v>490</v>
      </c>
      <c r="C580" s="214" t="s">
        <v>111</v>
      </c>
      <c r="D580" s="293" t="s">
        <v>406</v>
      </c>
      <c r="E580" s="293" t="s">
        <v>6</v>
      </c>
      <c r="F580" s="294">
        <v>12208.86</v>
      </c>
      <c r="G580" s="238">
        <f t="shared" ref="G580:K581" si="111">G581</f>
        <v>0</v>
      </c>
      <c r="H580" s="217">
        <f t="shared" si="111"/>
        <v>0</v>
      </c>
      <c r="I580" s="217">
        <f t="shared" si="111"/>
        <v>357983.4</v>
      </c>
      <c r="J580" s="238">
        <f t="shared" si="111"/>
        <v>188466.9</v>
      </c>
      <c r="K580" s="331">
        <f t="shared" si="111"/>
        <v>188466.9</v>
      </c>
      <c r="L580" s="313">
        <f t="shared" si="97"/>
        <v>0</v>
      </c>
      <c r="M580" s="314"/>
      <c r="N580" s="314"/>
    </row>
    <row r="581" spans="1:14" ht="34" outlineLevel="6" x14ac:dyDescent="0.3">
      <c r="A581" s="213" t="s">
        <v>37</v>
      </c>
      <c r="B581" s="214" t="s">
        <v>490</v>
      </c>
      <c r="C581" s="214" t="s">
        <v>111</v>
      </c>
      <c r="D581" s="293" t="s">
        <v>406</v>
      </c>
      <c r="E581" s="293" t="s">
        <v>38</v>
      </c>
      <c r="F581" s="294">
        <v>12208.86</v>
      </c>
      <c r="G581" s="238">
        <f t="shared" si="111"/>
        <v>0</v>
      </c>
      <c r="H581" s="217">
        <f t="shared" si="111"/>
        <v>0</v>
      </c>
      <c r="I581" s="217">
        <f t="shared" si="111"/>
        <v>357983.4</v>
      </c>
      <c r="J581" s="238">
        <f t="shared" si="111"/>
        <v>188466.9</v>
      </c>
      <c r="K581" s="331">
        <f t="shared" si="111"/>
        <v>188466.9</v>
      </c>
      <c r="L581" s="313">
        <f t="shared" si="97"/>
        <v>0</v>
      </c>
      <c r="M581" s="314"/>
      <c r="N581" s="314"/>
    </row>
    <row r="582" spans="1:14" ht="20.25" customHeight="1" outlineLevel="7" x14ac:dyDescent="0.3">
      <c r="A582" s="213" t="s">
        <v>74</v>
      </c>
      <c r="B582" s="214" t="s">
        <v>490</v>
      </c>
      <c r="C582" s="214" t="s">
        <v>111</v>
      </c>
      <c r="D582" s="293" t="s">
        <v>406</v>
      </c>
      <c r="E582" s="293" t="s">
        <v>75</v>
      </c>
      <c r="F582" s="294">
        <v>12208.86</v>
      </c>
      <c r="G582" s="238">
        <f>282103.53-282103.53</f>
        <v>0</v>
      </c>
      <c r="H582" s="217">
        <f>282103.53-282103.53</f>
        <v>0</v>
      </c>
      <c r="I582" s="217">
        <v>357983.4</v>
      </c>
      <c r="J582" s="238">
        <v>188466.9</v>
      </c>
      <c r="K582" s="331">
        <v>188466.9</v>
      </c>
      <c r="L582" s="313">
        <f t="shared" si="97"/>
        <v>0</v>
      </c>
      <c r="M582" s="314"/>
      <c r="N582" s="314"/>
    </row>
    <row r="583" spans="1:14" ht="63.7" customHeight="1" outlineLevel="5" x14ac:dyDescent="0.3">
      <c r="A583" s="226" t="s">
        <v>535</v>
      </c>
      <c r="B583" s="214" t="s">
        <v>490</v>
      </c>
      <c r="C583" s="214" t="s">
        <v>111</v>
      </c>
      <c r="D583" s="293" t="s">
        <v>536</v>
      </c>
      <c r="E583" s="293" t="s">
        <v>6</v>
      </c>
      <c r="F583" s="293" t="s">
        <v>838</v>
      </c>
      <c r="G583" s="238">
        <f t="shared" ref="G583:H585" si="112">G584</f>
        <v>0</v>
      </c>
      <c r="H583" s="217">
        <f t="shared" si="112"/>
        <v>0</v>
      </c>
      <c r="I583" s="217">
        <v>0</v>
      </c>
      <c r="J583" s="238">
        <v>0</v>
      </c>
      <c r="K583" s="331">
        <v>0</v>
      </c>
      <c r="L583" s="313">
        <f t="shared" si="97"/>
        <v>0</v>
      </c>
      <c r="M583" s="314"/>
      <c r="N583" s="314"/>
    </row>
    <row r="584" spans="1:14" ht="101.9" outlineLevel="5" x14ac:dyDescent="0.3">
      <c r="A584" s="225" t="s">
        <v>513</v>
      </c>
      <c r="B584" s="214" t="s">
        <v>490</v>
      </c>
      <c r="C584" s="214" t="s">
        <v>111</v>
      </c>
      <c r="D584" s="293" t="s">
        <v>609</v>
      </c>
      <c r="E584" s="293" t="s">
        <v>6</v>
      </c>
      <c r="F584" s="293" t="s">
        <v>838</v>
      </c>
      <c r="G584" s="238">
        <f t="shared" si="112"/>
        <v>0</v>
      </c>
      <c r="H584" s="217">
        <f t="shared" si="112"/>
        <v>0</v>
      </c>
      <c r="I584" s="217">
        <v>0</v>
      </c>
      <c r="J584" s="238">
        <v>0</v>
      </c>
      <c r="K584" s="331">
        <v>0</v>
      </c>
      <c r="L584" s="313">
        <f t="shared" ref="L584:L644" si="113">K584-J584</f>
        <v>0</v>
      </c>
      <c r="M584" s="314"/>
      <c r="N584" s="314"/>
    </row>
    <row r="585" spans="1:14" ht="50.95" outlineLevel="5" x14ac:dyDescent="0.3">
      <c r="A585" s="213" t="s">
        <v>258</v>
      </c>
      <c r="B585" s="214" t="s">
        <v>490</v>
      </c>
      <c r="C585" s="214" t="s">
        <v>111</v>
      </c>
      <c r="D585" s="293" t="s">
        <v>609</v>
      </c>
      <c r="E585" s="293" t="s">
        <v>259</v>
      </c>
      <c r="F585" s="293" t="s">
        <v>838</v>
      </c>
      <c r="G585" s="238">
        <f t="shared" si="112"/>
        <v>0</v>
      </c>
      <c r="H585" s="217">
        <f t="shared" si="112"/>
        <v>0</v>
      </c>
      <c r="I585" s="217">
        <v>0</v>
      </c>
      <c r="J585" s="238">
        <v>0</v>
      </c>
      <c r="K585" s="331">
        <v>0</v>
      </c>
      <c r="L585" s="313">
        <f t="shared" si="113"/>
        <v>0</v>
      </c>
      <c r="M585" s="314"/>
      <c r="N585" s="314"/>
    </row>
    <row r="586" spans="1:14" ht="24.8" customHeight="1" outlineLevel="5" x14ac:dyDescent="0.3">
      <c r="A586" s="213" t="s">
        <v>260</v>
      </c>
      <c r="B586" s="214" t="s">
        <v>490</v>
      </c>
      <c r="C586" s="214" t="s">
        <v>111</v>
      </c>
      <c r="D586" s="293" t="s">
        <v>609</v>
      </c>
      <c r="E586" s="293" t="s">
        <v>261</v>
      </c>
      <c r="F586" s="293" t="s">
        <v>838</v>
      </c>
      <c r="G586" s="238">
        <v>0</v>
      </c>
      <c r="H586" s="217">
        <v>0</v>
      </c>
      <c r="I586" s="217">
        <v>0</v>
      </c>
      <c r="J586" s="238">
        <v>0</v>
      </c>
      <c r="K586" s="331">
        <v>0</v>
      </c>
      <c r="L586" s="313">
        <f t="shared" si="113"/>
        <v>0</v>
      </c>
      <c r="M586" s="314"/>
      <c r="N586" s="314"/>
    </row>
    <row r="587" spans="1:14" outlineLevel="5" x14ac:dyDescent="0.3">
      <c r="A587" s="213" t="s">
        <v>71</v>
      </c>
      <c r="B587" s="214" t="s">
        <v>490</v>
      </c>
      <c r="C587" s="214" t="s">
        <v>72</v>
      </c>
      <c r="D587" s="293" t="s">
        <v>126</v>
      </c>
      <c r="E587" s="293" t="s">
        <v>6</v>
      </c>
      <c r="F587" s="294">
        <v>367630079.58999997</v>
      </c>
      <c r="G587" s="237">
        <f t="shared" ref="G587:K588" si="114">G588</f>
        <v>449063829.87</v>
      </c>
      <c r="H587" s="215" t="e">
        <f t="shared" si="114"/>
        <v>#REF!</v>
      </c>
      <c r="I587" s="215" t="e">
        <f t="shared" si="114"/>
        <v>#REF!</v>
      </c>
      <c r="J587" s="237">
        <f t="shared" si="114"/>
        <v>407407265.77999997</v>
      </c>
      <c r="K587" s="330">
        <f t="shared" si="114"/>
        <v>403407265.78000003</v>
      </c>
      <c r="L587" s="313">
        <f t="shared" si="113"/>
        <v>-3999999.9999999404</v>
      </c>
      <c r="M587" s="314">
        <f t="shared" ref="M587:M643" si="115">J587/G587%</f>
        <v>90.7236875207564</v>
      </c>
      <c r="N587" s="314">
        <f t="shared" ref="N587:N643" si="116">K587/G587*100</f>
        <v>89.832945551812287</v>
      </c>
    </row>
    <row r="588" spans="1:14" ht="34" outlineLevel="5" x14ac:dyDescent="0.3">
      <c r="A588" s="219" t="s">
        <v>720</v>
      </c>
      <c r="B588" s="220" t="s">
        <v>490</v>
      </c>
      <c r="C588" s="220" t="s">
        <v>72</v>
      </c>
      <c r="D588" s="295" t="s">
        <v>138</v>
      </c>
      <c r="E588" s="295" t="s">
        <v>6</v>
      </c>
      <c r="F588" s="296">
        <v>367630079.58999997</v>
      </c>
      <c r="G588" s="273">
        <f t="shared" si="114"/>
        <v>449063829.87</v>
      </c>
      <c r="H588" s="221" t="e">
        <f t="shared" si="114"/>
        <v>#REF!</v>
      </c>
      <c r="I588" s="221" t="e">
        <f t="shared" si="114"/>
        <v>#REF!</v>
      </c>
      <c r="J588" s="273">
        <f t="shared" si="114"/>
        <v>407407265.77999997</v>
      </c>
      <c r="K588" s="333">
        <f t="shared" si="114"/>
        <v>403407265.78000003</v>
      </c>
      <c r="L588" s="313">
        <f t="shared" si="113"/>
        <v>-3999999.9999999404</v>
      </c>
      <c r="M588" s="314">
        <f t="shared" si="115"/>
        <v>90.7236875207564</v>
      </c>
      <c r="N588" s="314">
        <f t="shared" si="116"/>
        <v>89.832945551812287</v>
      </c>
    </row>
    <row r="589" spans="1:14" ht="45" customHeight="1" outlineLevel="5" x14ac:dyDescent="0.3">
      <c r="A589" s="213" t="s">
        <v>725</v>
      </c>
      <c r="B589" s="214" t="s">
        <v>490</v>
      </c>
      <c r="C589" s="214" t="s">
        <v>72</v>
      </c>
      <c r="D589" s="293" t="s">
        <v>146</v>
      </c>
      <c r="E589" s="293" t="s">
        <v>6</v>
      </c>
      <c r="F589" s="296">
        <v>367630079.58999997</v>
      </c>
      <c r="G589" s="237">
        <f>G590+G603+G622+G626</f>
        <v>449063829.87</v>
      </c>
      <c r="H589" s="215" t="e">
        <f>H590+H603+H622+H626</f>
        <v>#REF!</v>
      </c>
      <c r="I589" s="215" t="e">
        <f>I590+I603+I622+I626</f>
        <v>#REF!</v>
      </c>
      <c r="J589" s="237">
        <f>J590+J603+J622+J626</f>
        <v>407407265.77999997</v>
      </c>
      <c r="K589" s="330">
        <f>K590+K603+K622+K626</f>
        <v>403407265.78000003</v>
      </c>
      <c r="L589" s="313">
        <f t="shared" si="113"/>
        <v>-3999999.9999999404</v>
      </c>
      <c r="M589" s="314">
        <f t="shared" si="115"/>
        <v>90.7236875207564</v>
      </c>
      <c r="N589" s="314">
        <f t="shared" si="116"/>
        <v>89.832945551812287</v>
      </c>
    </row>
    <row r="590" spans="1:14" ht="45.7" customHeight="1" outlineLevel="5" x14ac:dyDescent="0.3">
      <c r="A590" s="225" t="s">
        <v>203</v>
      </c>
      <c r="B590" s="214" t="s">
        <v>490</v>
      </c>
      <c r="C590" s="214" t="s">
        <v>72</v>
      </c>
      <c r="D590" s="293" t="s">
        <v>219</v>
      </c>
      <c r="E590" s="293" t="s">
        <v>6</v>
      </c>
      <c r="F590" s="294">
        <v>351510244.41000003</v>
      </c>
      <c r="G590" s="237">
        <f>G591+G594+G597+G600</f>
        <v>376463222.84000003</v>
      </c>
      <c r="H590" s="215" t="e">
        <f>H591+H594+H597+#REF!+H600</f>
        <v>#REF!</v>
      </c>
      <c r="I590" s="215" t="e">
        <f>I591+I594+I597+#REF!+I600</f>
        <v>#REF!</v>
      </c>
      <c r="J590" s="237">
        <f>J591+J594+J597+J600</f>
        <v>393003907.13999999</v>
      </c>
      <c r="K590" s="330">
        <f>K591+K594+K597+K600</f>
        <v>392101366.04000002</v>
      </c>
      <c r="L590" s="313">
        <f t="shared" si="113"/>
        <v>-902541.09999996424</v>
      </c>
      <c r="M590" s="314">
        <f t="shared" si="115"/>
        <v>104.39370522709196</v>
      </c>
      <c r="N590" s="314">
        <f t="shared" si="116"/>
        <v>104.15396305700924</v>
      </c>
    </row>
    <row r="591" spans="1:14" ht="67.95" outlineLevel="5" x14ac:dyDescent="0.3">
      <c r="A591" s="189" t="s">
        <v>537</v>
      </c>
      <c r="B591" s="214" t="s">
        <v>490</v>
      </c>
      <c r="C591" s="214" t="s">
        <v>72</v>
      </c>
      <c r="D591" s="293" t="s">
        <v>538</v>
      </c>
      <c r="E591" s="293" t="s">
        <v>6</v>
      </c>
      <c r="F591" s="294">
        <v>19603028.300000001</v>
      </c>
      <c r="G591" s="237">
        <f t="shared" ref="G591:K592" si="117">G592</f>
        <v>20475000</v>
      </c>
      <c r="H591" s="215">
        <f t="shared" si="117"/>
        <v>15369721.029999999</v>
      </c>
      <c r="I591" s="215">
        <f t="shared" si="117"/>
        <v>20475000</v>
      </c>
      <c r="J591" s="237">
        <f t="shared" si="117"/>
        <v>21060000</v>
      </c>
      <c r="K591" s="330">
        <f t="shared" si="117"/>
        <v>21060000</v>
      </c>
      <c r="L591" s="313">
        <f t="shared" si="113"/>
        <v>0</v>
      </c>
      <c r="M591" s="314">
        <f t="shared" si="115"/>
        <v>102.85714285714286</v>
      </c>
      <c r="N591" s="314">
        <f t="shared" si="116"/>
        <v>102.85714285714285</v>
      </c>
    </row>
    <row r="592" spans="1:14" ht="34" outlineLevel="5" x14ac:dyDescent="0.3">
      <c r="A592" s="213" t="s">
        <v>37</v>
      </c>
      <c r="B592" s="214" t="s">
        <v>490</v>
      </c>
      <c r="C592" s="214" t="s">
        <v>72</v>
      </c>
      <c r="D592" s="293" t="s">
        <v>538</v>
      </c>
      <c r="E592" s="293" t="s">
        <v>38</v>
      </c>
      <c r="F592" s="294">
        <v>19603028.300000001</v>
      </c>
      <c r="G592" s="237">
        <f t="shared" si="117"/>
        <v>20475000</v>
      </c>
      <c r="H592" s="215">
        <f t="shared" si="117"/>
        <v>15369721.029999999</v>
      </c>
      <c r="I592" s="215">
        <f t="shared" si="117"/>
        <v>20475000</v>
      </c>
      <c r="J592" s="237">
        <f t="shared" si="117"/>
        <v>21060000</v>
      </c>
      <c r="K592" s="330">
        <f t="shared" si="117"/>
        <v>21060000</v>
      </c>
      <c r="L592" s="313">
        <f t="shared" si="113"/>
        <v>0</v>
      </c>
      <c r="M592" s="314">
        <f t="shared" si="115"/>
        <v>102.85714285714286</v>
      </c>
      <c r="N592" s="314">
        <f t="shared" si="116"/>
        <v>102.85714285714285</v>
      </c>
    </row>
    <row r="593" spans="1:14" outlineLevel="5" x14ac:dyDescent="0.3">
      <c r="A593" s="213" t="s">
        <v>74</v>
      </c>
      <c r="B593" s="214" t="s">
        <v>490</v>
      </c>
      <c r="C593" s="214" t="s">
        <v>72</v>
      </c>
      <c r="D593" s="293" t="s">
        <v>538</v>
      </c>
      <c r="E593" s="293" t="s">
        <v>75</v>
      </c>
      <c r="F593" s="294">
        <v>19603028.300000001</v>
      </c>
      <c r="G593" s="237">
        <v>20475000</v>
      </c>
      <c r="H593" s="216">
        <v>15369721.029999999</v>
      </c>
      <c r="I593" s="215">
        <v>20475000</v>
      </c>
      <c r="J593" s="237">
        <v>21060000</v>
      </c>
      <c r="K593" s="330">
        <v>21060000</v>
      </c>
      <c r="L593" s="313">
        <f t="shared" si="113"/>
        <v>0</v>
      </c>
      <c r="M593" s="314">
        <f t="shared" si="115"/>
        <v>102.85714285714286</v>
      </c>
      <c r="N593" s="314">
        <f t="shared" si="116"/>
        <v>102.85714285714285</v>
      </c>
    </row>
    <row r="594" spans="1:14" ht="50.95" outlineLevel="5" x14ac:dyDescent="0.3">
      <c r="A594" s="213" t="s">
        <v>114</v>
      </c>
      <c r="B594" s="214" t="s">
        <v>490</v>
      </c>
      <c r="C594" s="214" t="s">
        <v>72</v>
      </c>
      <c r="D594" s="293" t="s">
        <v>147</v>
      </c>
      <c r="E594" s="293" t="s">
        <v>6</v>
      </c>
      <c r="F594" s="294">
        <v>90019549.159999996</v>
      </c>
      <c r="G594" s="237">
        <f t="shared" ref="G594:K595" si="118">G595</f>
        <v>98033803.840000004</v>
      </c>
      <c r="H594" s="215">
        <f t="shared" si="118"/>
        <v>68707267.829999998</v>
      </c>
      <c r="I594" s="215">
        <f t="shared" si="118"/>
        <v>95919169.370000005</v>
      </c>
      <c r="J594" s="237">
        <f t="shared" si="118"/>
        <v>102159299.14</v>
      </c>
      <c r="K594" s="330">
        <f t="shared" si="118"/>
        <v>101256758.04000001</v>
      </c>
      <c r="L594" s="313">
        <f t="shared" si="113"/>
        <v>-902541.09999999404</v>
      </c>
      <c r="M594" s="314">
        <f t="shared" si="115"/>
        <v>104.20823750421148</v>
      </c>
      <c r="N594" s="314">
        <f t="shared" si="116"/>
        <v>103.28759476196613</v>
      </c>
    </row>
    <row r="595" spans="1:14" ht="34" outlineLevel="5" x14ac:dyDescent="0.3">
      <c r="A595" s="213" t="s">
        <v>37</v>
      </c>
      <c r="B595" s="214" t="s">
        <v>490</v>
      </c>
      <c r="C595" s="214" t="s">
        <v>72</v>
      </c>
      <c r="D595" s="293" t="s">
        <v>147</v>
      </c>
      <c r="E595" s="293" t="s">
        <v>38</v>
      </c>
      <c r="F595" s="294">
        <v>90019549.159999996</v>
      </c>
      <c r="G595" s="237">
        <f t="shared" si="118"/>
        <v>98033803.840000004</v>
      </c>
      <c r="H595" s="215">
        <f t="shared" si="118"/>
        <v>68707267.829999998</v>
      </c>
      <c r="I595" s="215">
        <f t="shared" si="118"/>
        <v>95919169.370000005</v>
      </c>
      <c r="J595" s="237">
        <f t="shared" si="118"/>
        <v>102159299.14</v>
      </c>
      <c r="K595" s="330">
        <f t="shared" si="118"/>
        <v>101256758.04000001</v>
      </c>
      <c r="L595" s="313">
        <f t="shared" si="113"/>
        <v>-902541.09999999404</v>
      </c>
      <c r="M595" s="314">
        <f t="shared" si="115"/>
        <v>104.20823750421148</v>
      </c>
      <c r="N595" s="314">
        <f t="shared" si="116"/>
        <v>103.28759476196613</v>
      </c>
    </row>
    <row r="596" spans="1:14" outlineLevel="5" x14ac:dyDescent="0.3">
      <c r="A596" s="213" t="s">
        <v>74</v>
      </c>
      <c r="B596" s="214" t="s">
        <v>490</v>
      </c>
      <c r="C596" s="214" t="s">
        <v>72</v>
      </c>
      <c r="D596" s="293" t="s">
        <v>147</v>
      </c>
      <c r="E596" s="293" t="s">
        <v>75</v>
      </c>
      <c r="F596" s="294">
        <v>90019549.159999996</v>
      </c>
      <c r="G596" s="238">
        <f>[2]потребность!I543-4490000+1689516+590000+85160-50000+1454727+1150987.84</f>
        <v>98033803.840000004</v>
      </c>
      <c r="H596" s="218">
        <v>68707267.829999998</v>
      </c>
      <c r="I596" s="217">
        <v>95919169.370000005</v>
      </c>
      <c r="J596" s="238">
        <f>102159299.14+1100000+95625.42-1100000-95625.42</f>
        <v>102159299.14</v>
      </c>
      <c r="K596" s="331">
        <f>102159299.14+1100000+95625.42-1100000-95625.42-1000000+97458.9</f>
        <v>101256758.04000001</v>
      </c>
      <c r="L596" s="313">
        <f t="shared" si="113"/>
        <v>-902541.09999999404</v>
      </c>
      <c r="M596" s="314">
        <f t="shared" si="115"/>
        <v>104.20823750421148</v>
      </c>
      <c r="N596" s="314">
        <f t="shared" si="116"/>
        <v>103.28759476196613</v>
      </c>
    </row>
    <row r="597" spans="1:14" ht="135.85" outlineLevel="5" x14ac:dyDescent="0.3">
      <c r="A597" s="225" t="s">
        <v>376</v>
      </c>
      <c r="B597" s="214" t="s">
        <v>490</v>
      </c>
      <c r="C597" s="214" t="s">
        <v>72</v>
      </c>
      <c r="D597" s="293" t="s">
        <v>148</v>
      </c>
      <c r="E597" s="293" t="s">
        <v>6</v>
      </c>
      <c r="F597" s="294">
        <v>232256540</v>
      </c>
      <c r="G597" s="237">
        <f t="shared" ref="G597:K598" si="119">G598</f>
        <v>247077819</v>
      </c>
      <c r="H597" s="215">
        <f t="shared" si="119"/>
        <v>179186292</v>
      </c>
      <c r="I597" s="215">
        <f t="shared" si="119"/>
        <v>253254890</v>
      </c>
      <c r="J597" s="237">
        <f t="shared" si="119"/>
        <v>256548408</v>
      </c>
      <c r="K597" s="330">
        <f t="shared" si="119"/>
        <v>256548408</v>
      </c>
      <c r="L597" s="313">
        <f t="shared" si="113"/>
        <v>0</v>
      </c>
      <c r="M597" s="314">
        <f t="shared" si="115"/>
        <v>103.83303893418292</v>
      </c>
      <c r="N597" s="314">
        <f t="shared" si="116"/>
        <v>103.83303893418292</v>
      </c>
    </row>
    <row r="598" spans="1:14" ht="34" outlineLevel="5" x14ac:dyDescent="0.3">
      <c r="A598" s="213" t="s">
        <v>37</v>
      </c>
      <c r="B598" s="214" t="s">
        <v>490</v>
      </c>
      <c r="C598" s="214" t="s">
        <v>72</v>
      </c>
      <c r="D598" s="293" t="s">
        <v>148</v>
      </c>
      <c r="E598" s="293" t="s">
        <v>38</v>
      </c>
      <c r="F598" s="294">
        <v>232256540</v>
      </c>
      <c r="G598" s="237">
        <f t="shared" si="119"/>
        <v>247077819</v>
      </c>
      <c r="H598" s="215">
        <f t="shared" si="119"/>
        <v>179186292</v>
      </c>
      <c r="I598" s="215">
        <f t="shared" si="119"/>
        <v>253254890</v>
      </c>
      <c r="J598" s="237">
        <f t="shared" si="119"/>
        <v>256548408</v>
      </c>
      <c r="K598" s="330">
        <f t="shared" si="119"/>
        <v>256548408</v>
      </c>
      <c r="L598" s="313">
        <f t="shared" si="113"/>
        <v>0</v>
      </c>
      <c r="M598" s="314">
        <f t="shared" si="115"/>
        <v>103.83303893418292</v>
      </c>
      <c r="N598" s="314">
        <f t="shared" si="116"/>
        <v>103.83303893418292</v>
      </c>
    </row>
    <row r="599" spans="1:14" outlineLevel="5" x14ac:dyDescent="0.3">
      <c r="A599" s="213" t="s">
        <v>74</v>
      </c>
      <c r="B599" s="214" t="s">
        <v>490</v>
      </c>
      <c r="C599" s="214" t="s">
        <v>72</v>
      </c>
      <c r="D599" s="293" t="s">
        <v>148</v>
      </c>
      <c r="E599" s="293" t="s">
        <v>75</v>
      </c>
      <c r="F599" s="294">
        <v>232256540</v>
      </c>
      <c r="G599" s="238">
        <f>238943015.2+8134803.8</f>
        <v>247077819</v>
      </c>
      <c r="H599" s="218">
        <v>179186292</v>
      </c>
      <c r="I599" s="217">
        <v>253254890</v>
      </c>
      <c r="J599" s="238">
        <v>256548408</v>
      </c>
      <c r="K599" s="331">
        <v>256548408</v>
      </c>
      <c r="L599" s="313">
        <f t="shared" si="113"/>
        <v>0</v>
      </c>
      <c r="M599" s="314">
        <f t="shared" si="115"/>
        <v>103.83303893418292</v>
      </c>
      <c r="N599" s="314">
        <f t="shared" si="116"/>
        <v>103.83303893418292</v>
      </c>
    </row>
    <row r="600" spans="1:14" ht="135.85" outlineLevel="5" x14ac:dyDescent="0.3">
      <c r="A600" s="189" t="s">
        <v>426</v>
      </c>
      <c r="B600" s="214" t="s">
        <v>490</v>
      </c>
      <c r="C600" s="214" t="s">
        <v>72</v>
      </c>
      <c r="D600" s="293" t="s">
        <v>794</v>
      </c>
      <c r="E600" s="293" t="s">
        <v>6</v>
      </c>
      <c r="F600" s="293"/>
      <c r="G600" s="238">
        <f t="shared" ref="G600:K601" si="120">G601</f>
        <v>10876600</v>
      </c>
      <c r="H600" s="217">
        <f t="shared" si="120"/>
        <v>7376968.6600000001</v>
      </c>
      <c r="I600" s="217">
        <f t="shared" si="120"/>
        <v>10876600</v>
      </c>
      <c r="J600" s="238">
        <f t="shared" si="120"/>
        <v>13236200</v>
      </c>
      <c r="K600" s="331">
        <f t="shared" si="120"/>
        <v>13236200</v>
      </c>
      <c r="L600" s="313">
        <f t="shared" si="113"/>
        <v>0</v>
      </c>
      <c r="M600" s="314">
        <f t="shared" si="115"/>
        <v>121.69427946233198</v>
      </c>
      <c r="N600" s="314">
        <f t="shared" si="116"/>
        <v>121.69427946233198</v>
      </c>
    </row>
    <row r="601" spans="1:14" ht="34" outlineLevel="5" x14ac:dyDescent="0.3">
      <c r="A601" s="213" t="s">
        <v>37</v>
      </c>
      <c r="B601" s="214" t="s">
        <v>490</v>
      </c>
      <c r="C601" s="214" t="s">
        <v>72</v>
      </c>
      <c r="D601" s="293" t="s">
        <v>794</v>
      </c>
      <c r="E601" s="293" t="s">
        <v>38</v>
      </c>
      <c r="F601" s="293"/>
      <c r="G601" s="238">
        <f t="shared" si="120"/>
        <v>10876600</v>
      </c>
      <c r="H601" s="217">
        <f t="shared" si="120"/>
        <v>7376968.6600000001</v>
      </c>
      <c r="I601" s="217">
        <f t="shared" si="120"/>
        <v>10876600</v>
      </c>
      <c r="J601" s="238">
        <f t="shared" si="120"/>
        <v>13236200</v>
      </c>
      <c r="K601" s="331">
        <f t="shared" si="120"/>
        <v>13236200</v>
      </c>
      <c r="L601" s="313">
        <f t="shared" si="113"/>
        <v>0</v>
      </c>
      <c r="M601" s="314">
        <f t="shared" si="115"/>
        <v>121.69427946233198</v>
      </c>
      <c r="N601" s="314">
        <f t="shared" si="116"/>
        <v>121.69427946233198</v>
      </c>
    </row>
    <row r="602" spans="1:14" outlineLevel="5" x14ac:dyDescent="0.3">
      <c r="A602" s="213" t="s">
        <v>74</v>
      </c>
      <c r="B602" s="214" t="s">
        <v>490</v>
      </c>
      <c r="C602" s="214" t="s">
        <v>72</v>
      </c>
      <c r="D602" s="293" t="s">
        <v>794</v>
      </c>
      <c r="E602" s="293" t="s">
        <v>75</v>
      </c>
      <c r="F602" s="293"/>
      <c r="G602" s="238">
        <v>10876600</v>
      </c>
      <c r="H602" s="218">
        <v>7376968.6600000001</v>
      </c>
      <c r="I602" s="217">
        <v>10876600</v>
      </c>
      <c r="J602" s="238">
        <v>13236200</v>
      </c>
      <c r="K602" s="331">
        <v>13236200</v>
      </c>
      <c r="L602" s="313">
        <f t="shared" si="113"/>
        <v>0</v>
      </c>
      <c r="M602" s="314">
        <f t="shared" si="115"/>
        <v>121.69427946233198</v>
      </c>
      <c r="N602" s="314">
        <f t="shared" si="116"/>
        <v>121.69427946233198</v>
      </c>
    </row>
    <row r="603" spans="1:14" ht="34" outlineLevel="5" x14ac:dyDescent="0.3">
      <c r="A603" s="225" t="s">
        <v>204</v>
      </c>
      <c r="B603" s="214" t="s">
        <v>490</v>
      </c>
      <c r="C603" s="214" t="s">
        <v>72</v>
      </c>
      <c r="D603" s="293" t="s">
        <v>217</v>
      </c>
      <c r="E603" s="293" t="s">
        <v>6</v>
      </c>
      <c r="F603" s="294">
        <v>8008436.3600000003</v>
      </c>
      <c r="G603" s="238">
        <f>G616+G604+G607+G613+G610+G619+G630</f>
        <v>66483157.030000001</v>
      </c>
      <c r="H603" s="217">
        <f>H616+H604+H607+H613+H610+H619+H630</f>
        <v>36949732.850000001</v>
      </c>
      <c r="I603" s="217">
        <f>I616+I604+I607+I613+I610+I619+I630</f>
        <v>2356579.52</v>
      </c>
      <c r="J603" s="238">
        <f>J616+J604+J607+J613+J610+J619+J630</f>
        <v>4214979.5199999996</v>
      </c>
      <c r="K603" s="331">
        <f>K616+K604+K607+K613+K610+K619+K630</f>
        <v>1214979.52</v>
      </c>
      <c r="L603" s="313">
        <f t="shared" si="113"/>
        <v>-2999999.9999999995</v>
      </c>
      <c r="M603" s="314">
        <f t="shared" si="115"/>
        <v>6.3399208285160453</v>
      </c>
      <c r="N603" s="314">
        <f t="shared" si="116"/>
        <v>1.8274997371917072</v>
      </c>
    </row>
    <row r="604" spans="1:14" ht="34" outlineLevel="5" x14ac:dyDescent="0.3">
      <c r="A604" s="213" t="s">
        <v>262</v>
      </c>
      <c r="B604" s="214" t="s">
        <v>490</v>
      </c>
      <c r="C604" s="214" t="s">
        <v>72</v>
      </c>
      <c r="D604" s="293" t="s">
        <v>263</v>
      </c>
      <c r="E604" s="293" t="s">
        <v>6</v>
      </c>
      <c r="F604" s="294">
        <v>147686.07</v>
      </c>
      <c r="G604" s="238">
        <f t="shared" ref="G604:K605" si="121">G605</f>
        <v>212800</v>
      </c>
      <c r="H604" s="217">
        <f t="shared" si="121"/>
        <v>124850.48</v>
      </c>
      <c r="I604" s="217">
        <f t="shared" si="121"/>
        <v>212800</v>
      </c>
      <c r="J604" s="238">
        <f t="shared" si="121"/>
        <v>221200</v>
      </c>
      <c r="K604" s="331">
        <f t="shared" si="121"/>
        <v>221200</v>
      </c>
      <c r="L604" s="313">
        <f t="shared" si="113"/>
        <v>0</v>
      </c>
      <c r="M604" s="314">
        <f t="shared" si="115"/>
        <v>103.94736842105263</v>
      </c>
      <c r="N604" s="314">
        <f t="shared" si="116"/>
        <v>103.94736842105263</v>
      </c>
    </row>
    <row r="605" spans="1:14" ht="34" outlineLevel="5" x14ac:dyDescent="0.3">
      <c r="A605" s="213" t="s">
        <v>37</v>
      </c>
      <c r="B605" s="214" t="s">
        <v>490</v>
      </c>
      <c r="C605" s="214" t="s">
        <v>72</v>
      </c>
      <c r="D605" s="293" t="s">
        <v>263</v>
      </c>
      <c r="E605" s="293" t="s">
        <v>38</v>
      </c>
      <c r="F605" s="294">
        <v>147686.07</v>
      </c>
      <c r="G605" s="238">
        <f t="shared" si="121"/>
        <v>212800</v>
      </c>
      <c r="H605" s="217">
        <f t="shared" si="121"/>
        <v>124850.48</v>
      </c>
      <c r="I605" s="217">
        <f t="shared" si="121"/>
        <v>212800</v>
      </c>
      <c r="J605" s="238">
        <f t="shared" si="121"/>
        <v>221200</v>
      </c>
      <c r="K605" s="331">
        <f t="shared" si="121"/>
        <v>221200</v>
      </c>
      <c r="L605" s="313">
        <f t="shared" si="113"/>
        <v>0</v>
      </c>
      <c r="M605" s="314">
        <f t="shared" si="115"/>
        <v>103.94736842105263</v>
      </c>
      <c r="N605" s="314">
        <f t="shared" si="116"/>
        <v>103.94736842105263</v>
      </c>
    </row>
    <row r="606" spans="1:14" outlineLevel="5" x14ac:dyDescent="0.3">
      <c r="A606" s="213" t="s">
        <v>74</v>
      </c>
      <c r="B606" s="214" t="s">
        <v>490</v>
      </c>
      <c r="C606" s="214" t="s">
        <v>72</v>
      </c>
      <c r="D606" s="293" t="s">
        <v>263</v>
      </c>
      <c r="E606" s="293" t="s">
        <v>75</v>
      </c>
      <c r="F606" s="294">
        <v>147686.07</v>
      </c>
      <c r="G606" s="238">
        <v>212800</v>
      </c>
      <c r="H606" s="218">
        <v>124850.48</v>
      </c>
      <c r="I606" s="217">
        <v>212800</v>
      </c>
      <c r="J606" s="238">
        <v>221200</v>
      </c>
      <c r="K606" s="331">
        <v>221200</v>
      </c>
      <c r="L606" s="313">
        <f t="shared" si="113"/>
        <v>0</v>
      </c>
      <c r="M606" s="314">
        <f t="shared" si="115"/>
        <v>103.94736842105263</v>
      </c>
      <c r="N606" s="314">
        <f t="shared" si="116"/>
        <v>103.94736842105263</v>
      </c>
    </row>
    <row r="607" spans="1:14" outlineLevel="5" x14ac:dyDescent="0.3">
      <c r="A607" s="225" t="s">
        <v>300</v>
      </c>
      <c r="B607" s="214" t="s">
        <v>490</v>
      </c>
      <c r="C607" s="214" t="s">
        <v>72</v>
      </c>
      <c r="D607" s="293" t="s">
        <v>301</v>
      </c>
      <c r="E607" s="293" t="s">
        <v>6</v>
      </c>
      <c r="F607" s="294">
        <v>631535</v>
      </c>
      <c r="G607" s="238">
        <f t="shared" ref="G607:K608" si="122">G608</f>
        <v>881000</v>
      </c>
      <c r="H607" s="217">
        <f t="shared" si="122"/>
        <v>874250</v>
      </c>
      <c r="I607" s="217">
        <f t="shared" si="122"/>
        <v>350000</v>
      </c>
      <c r="J607" s="238">
        <f t="shared" si="122"/>
        <v>3000000</v>
      </c>
      <c r="K607" s="331">
        <f t="shared" si="122"/>
        <v>0</v>
      </c>
      <c r="L607" s="313">
        <f t="shared" si="113"/>
        <v>-3000000</v>
      </c>
      <c r="M607" s="314">
        <f t="shared" si="115"/>
        <v>340.52213393870602</v>
      </c>
      <c r="N607" s="314">
        <f t="shared" si="116"/>
        <v>0</v>
      </c>
    </row>
    <row r="608" spans="1:14" ht="34" outlineLevel="5" x14ac:dyDescent="0.3">
      <c r="A608" s="213" t="s">
        <v>37</v>
      </c>
      <c r="B608" s="214" t="s">
        <v>490</v>
      </c>
      <c r="C608" s="214" t="s">
        <v>72</v>
      </c>
      <c r="D608" s="293" t="s">
        <v>301</v>
      </c>
      <c r="E608" s="293" t="s">
        <v>38</v>
      </c>
      <c r="F608" s="294">
        <v>631535</v>
      </c>
      <c r="G608" s="238">
        <f t="shared" si="122"/>
        <v>881000</v>
      </c>
      <c r="H608" s="217">
        <f t="shared" si="122"/>
        <v>874250</v>
      </c>
      <c r="I608" s="217">
        <f t="shared" si="122"/>
        <v>350000</v>
      </c>
      <c r="J608" s="238">
        <f t="shared" si="122"/>
        <v>3000000</v>
      </c>
      <c r="K608" s="331">
        <f t="shared" si="122"/>
        <v>0</v>
      </c>
      <c r="L608" s="313">
        <f t="shared" si="113"/>
        <v>-3000000</v>
      </c>
      <c r="M608" s="314">
        <f t="shared" si="115"/>
        <v>340.52213393870602</v>
      </c>
      <c r="N608" s="314">
        <f t="shared" si="116"/>
        <v>0</v>
      </c>
    </row>
    <row r="609" spans="1:14" outlineLevel="5" x14ac:dyDescent="0.3">
      <c r="A609" s="213" t="s">
        <v>74</v>
      </c>
      <c r="B609" s="214" t="s">
        <v>490</v>
      </c>
      <c r="C609" s="214" t="s">
        <v>72</v>
      </c>
      <c r="D609" s="293" t="s">
        <v>301</v>
      </c>
      <c r="E609" s="293" t="s">
        <v>75</v>
      </c>
      <c r="F609" s="294">
        <v>631535</v>
      </c>
      <c r="G609" s="238">
        <f>350000+350500+180500</f>
        <v>881000</v>
      </c>
      <c r="H609" s="218">
        <v>874250</v>
      </c>
      <c r="I609" s="217">
        <v>350000</v>
      </c>
      <c r="J609" s="238">
        <v>3000000</v>
      </c>
      <c r="K609" s="331">
        <f>3000000-3000000</f>
        <v>0</v>
      </c>
      <c r="L609" s="313">
        <f t="shared" si="113"/>
        <v>-3000000</v>
      </c>
      <c r="M609" s="314">
        <f t="shared" si="115"/>
        <v>340.52213393870602</v>
      </c>
      <c r="N609" s="314">
        <f t="shared" si="116"/>
        <v>0</v>
      </c>
    </row>
    <row r="610" spans="1:14" ht="39.75" customHeight="1" outlineLevel="5" x14ac:dyDescent="0.3">
      <c r="A610" s="225" t="s">
        <v>415</v>
      </c>
      <c r="B610" s="214" t="s">
        <v>490</v>
      </c>
      <c r="C610" s="214" t="s">
        <v>72</v>
      </c>
      <c r="D610" s="293" t="s">
        <v>651</v>
      </c>
      <c r="E610" s="293" t="s">
        <v>6</v>
      </c>
      <c r="F610" s="294">
        <v>1876201</v>
      </c>
      <c r="G610" s="238">
        <f t="shared" ref="G610:K611" si="123">G611</f>
        <v>193200</v>
      </c>
      <c r="H610" s="217">
        <f t="shared" si="123"/>
        <v>193200</v>
      </c>
      <c r="I610" s="217">
        <f t="shared" si="123"/>
        <v>800000</v>
      </c>
      <c r="J610" s="238">
        <f t="shared" si="123"/>
        <v>0</v>
      </c>
      <c r="K610" s="331">
        <f t="shared" si="123"/>
        <v>0</v>
      </c>
      <c r="L610" s="313">
        <f t="shared" si="113"/>
        <v>0</v>
      </c>
      <c r="M610" s="314">
        <f t="shared" si="115"/>
        <v>0</v>
      </c>
      <c r="N610" s="314">
        <f t="shared" si="116"/>
        <v>0</v>
      </c>
    </row>
    <row r="611" spans="1:14" ht="34" outlineLevel="5" x14ac:dyDescent="0.3">
      <c r="A611" s="213" t="s">
        <v>37</v>
      </c>
      <c r="B611" s="214" t="s">
        <v>490</v>
      </c>
      <c r="C611" s="214" t="s">
        <v>72</v>
      </c>
      <c r="D611" s="293" t="s">
        <v>651</v>
      </c>
      <c r="E611" s="293" t="s">
        <v>38</v>
      </c>
      <c r="F611" s="294">
        <v>1876201</v>
      </c>
      <c r="G611" s="238">
        <f t="shared" si="123"/>
        <v>193200</v>
      </c>
      <c r="H611" s="217">
        <f t="shared" si="123"/>
        <v>193200</v>
      </c>
      <c r="I611" s="217">
        <f t="shared" si="123"/>
        <v>800000</v>
      </c>
      <c r="J611" s="238">
        <f t="shared" si="123"/>
        <v>0</v>
      </c>
      <c r="K611" s="331">
        <f t="shared" si="123"/>
        <v>0</v>
      </c>
      <c r="L611" s="313">
        <f t="shared" si="113"/>
        <v>0</v>
      </c>
      <c r="M611" s="314">
        <f t="shared" si="115"/>
        <v>0</v>
      </c>
      <c r="N611" s="314">
        <f t="shared" si="116"/>
        <v>0</v>
      </c>
    </row>
    <row r="612" spans="1:14" outlineLevel="5" x14ac:dyDescent="0.3">
      <c r="A612" s="213" t="s">
        <v>74</v>
      </c>
      <c r="B612" s="214" t="s">
        <v>490</v>
      </c>
      <c r="C612" s="214" t="s">
        <v>72</v>
      </c>
      <c r="D612" s="293" t="s">
        <v>651</v>
      </c>
      <c r="E612" s="293" t="s">
        <v>75</v>
      </c>
      <c r="F612" s="294">
        <v>1876201</v>
      </c>
      <c r="G612" s="238">
        <f>[2]потребность!I559+5490000-5000000-590000+193200</f>
        <v>193200</v>
      </c>
      <c r="H612" s="218">
        <v>193200</v>
      </c>
      <c r="I612" s="217">
        <v>800000</v>
      </c>
      <c r="J612" s="238">
        <v>0</v>
      </c>
      <c r="K612" s="331">
        <v>0</v>
      </c>
      <c r="L612" s="313">
        <f t="shared" si="113"/>
        <v>0</v>
      </c>
      <c r="M612" s="314">
        <f t="shared" si="115"/>
        <v>0</v>
      </c>
      <c r="N612" s="314">
        <f t="shared" si="116"/>
        <v>0</v>
      </c>
    </row>
    <row r="613" spans="1:14" ht="67.95" outlineLevel="5" x14ac:dyDescent="0.3">
      <c r="A613" s="189" t="s">
        <v>539</v>
      </c>
      <c r="B613" s="214" t="s">
        <v>490</v>
      </c>
      <c r="C613" s="214" t="s">
        <v>72</v>
      </c>
      <c r="D613" s="293" t="s">
        <v>540</v>
      </c>
      <c r="E613" s="293" t="s">
        <v>6</v>
      </c>
      <c r="F613" s="294">
        <v>5192423.8600000003</v>
      </c>
      <c r="G613" s="238">
        <f t="shared" ref="G613:K614" si="124">G614</f>
        <v>19325166.399999999</v>
      </c>
      <c r="H613" s="217">
        <f t="shared" si="124"/>
        <v>12158531.359999999</v>
      </c>
      <c r="I613" s="217">
        <f t="shared" si="124"/>
        <v>0</v>
      </c>
      <c r="J613" s="238">
        <f t="shared" si="124"/>
        <v>0</v>
      </c>
      <c r="K613" s="331">
        <f t="shared" si="124"/>
        <v>0</v>
      </c>
      <c r="L613" s="313">
        <f t="shared" si="113"/>
        <v>0</v>
      </c>
      <c r="M613" s="314">
        <f t="shared" si="115"/>
        <v>0</v>
      </c>
      <c r="N613" s="314">
        <f t="shared" si="116"/>
        <v>0</v>
      </c>
    </row>
    <row r="614" spans="1:14" s="224" customFormat="1" ht="34" outlineLevel="5" x14ac:dyDescent="0.3">
      <c r="A614" s="213" t="s">
        <v>37</v>
      </c>
      <c r="B614" s="214" t="s">
        <v>490</v>
      </c>
      <c r="C614" s="214" t="s">
        <v>72</v>
      </c>
      <c r="D614" s="293" t="s">
        <v>540</v>
      </c>
      <c r="E614" s="293" t="s">
        <v>38</v>
      </c>
      <c r="F614" s="294">
        <v>5192423.8600000003</v>
      </c>
      <c r="G614" s="238">
        <f t="shared" si="124"/>
        <v>19325166.399999999</v>
      </c>
      <c r="H614" s="217">
        <f t="shared" si="124"/>
        <v>12158531.359999999</v>
      </c>
      <c r="I614" s="217">
        <f t="shared" si="124"/>
        <v>0</v>
      </c>
      <c r="J614" s="238">
        <f t="shared" si="124"/>
        <v>0</v>
      </c>
      <c r="K614" s="331">
        <f t="shared" si="124"/>
        <v>0</v>
      </c>
      <c r="L614" s="313">
        <f t="shared" si="113"/>
        <v>0</v>
      </c>
      <c r="M614" s="314">
        <f t="shared" si="115"/>
        <v>0</v>
      </c>
      <c r="N614" s="314">
        <f t="shared" si="116"/>
        <v>0</v>
      </c>
    </row>
    <row r="615" spans="1:14" ht="23.3" customHeight="1" outlineLevel="4" x14ac:dyDescent="0.3">
      <c r="A615" s="213" t="s">
        <v>74</v>
      </c>
      <c r="B615" s="214" t="s">
        <v>490</v>
      </c>
      <c r="C615" s="214" t="s">
        <v>72</v>
      </c>
      <c r="D615" s="293" t="s">
        <v>540</v>
      </c>
      <c r="E615" s="293" t="s">
        <v>75</v>
      </c>
      <c r="F615" s="294">
        <v>5192423.8600000003</v>
      </c>
      <c r="G615" s="238">
        <f>36003230.04-16678063.64</f>
        <v>19325166.399999999</v>
      </c>
      <c r="H615" s="218">
        <v>12158531.359999999</v>
      </c>
      <c r="I615" s="217">
        <v>0</v>
      </c>
      <c r="J615" s="238">
        <v>0</v>
      </c>
      <c r="K615" s="331">
        <v>0</v>
      </c>
      <c r="L615" s="313">
        <f t="shared" si="113"/>
        <v>0</v>
      </c>
      <c r="M615" s="314">
        <f t="shared" si="115"/>
        <v>0</v>
      </c>
      <c r="N615" s="314">
        <f t="shared" si="116"/>
        <v>0</v>
      </c>
    </row>
    <row r="616" spans="1:14" ht="34" outlineLevel="4" x14ac:dyDescent="0.3">
      <c r="A616" s="213" t="s">
        <v>407</v>
      </c>
      <c r="B616" s="214" t="s">
        <v>490</v>
      </c>
      <c r="C616" s="214" t="s">
        <v>72</v>
      </c>
      <c r="D616" s="293" t="s">
        <v>408</v>
      </c>
      <c r="E616" s="293" t="s">
        <v>6</v>
      </c>
      <c r="F616" s="294">
        <v>160590.43</v>
      </c>
      <c r="G616" s="238">
        <f t="shared" ref="G616:K617" si="125">G617</f>
        <v>597685.56000000006</v>
      </c>
      <c r="H616" s="217">
        <f t="shared" si="125"/>
        <v>364162.07</v>
      </c>
      <c r="I616" s="217">
        <f t="shared" si="125"/>
        <v>993779.52</v>
      </c>
      <c r="J616" s="238">
        <f t="shared" si="125"/>
        <v>993779.52</v>
      </c>
      <c r="K616" s="331">
        <f t="shared" si="125"/>
        <v>993779.52</v>
      </c>
      <c r="L616" s="313">
        <f t="shared" si="113"/>
        <v>0</v>
      </c>
      <c r="M616" s="314">
        <f t="shared" si="115"/>
        <v>166.27129489291994</v>
      </c>
      <c r="N616" s="314">
        <f t="shared" si="116"/>
        <v>166.27129489291994</v>
      </c>
    </row>
    <row r="617" spans="1:14" ht="34" outlineLevel="5" x14ac:dyDescent="0.3">
      <c r="A617" s="213" t="s">
        <v>37</v>
      </c>
      <c r="B617" s="214" t="s">
        <v>490</v>
      </c>
      <c r="C617" s="214" t="s">
        <v>72</v>
      </c>
      <c r="D617" s="293" t="s">
        <v>408</v>
      </c>
      <c r="E617" s="293" t="s">
        <v>38</v>
      </c>
      <c r="F617" s="294">
        <v>160590.43</v>
      </c>
      <c r="G617" s="238">
        <f t="shared" si="125"/>
        <v>597685.56000000006</v>
      </c>
      <c r="H617" s="217">
        <f t="shared" si="125"/>
        <v>364162.07</v>
      </c>
      <c r="I617" s="217">
        <f t="shared" si="125"/>
        <v>993779.52</v>
      </c>
      <c r="J617" s="238">
        <f t="shared" si="125"/>
        <v>993779.52</v>
      </c>
      <c r="K617" s="331">
        <f t="shared" si="125"/>
        <v>993779.52</v>
      </c>
      <c r="L617" s="313">
        <f t="shared" si="113"/>
        <v>0</v>
      </c>
      <c r="M617" s="314">
        <f t="shared" si="115"/>
        <v>166.27129489291994</v>
      </c>
      <c r="N617" s="314">
        <f t="shared" si="116"/>
        <v>166.27129489291994</v>
      </c>
    </row>
    <row r="618" spans="1:14" outlineLevel="6" x14ac:dyDescent="0.3">
      <c r="A618" s="213" t="s">
        <v>74</v>
      </c>
      <c r="B618" s="214" t="s">
        <v>490</v>
      </c>
      <c r="C618" s="214" t="s">
        <v>72</v>
      </c>
      <c r="D618" s="293" t="s">
        <v>408</v>
      </c>
      <c r="E618" s="293" t="s">
        <v>75</v>
      </c>
      <c r="F618" s="294">
        <v>160590.43</v>
      </c>
      <c r="G618" s="238">
        <f>1730960-617458+50000-565816.44</f>
        <v>597685.56000000006</v>
      </c>
      <c r="H618" s="218">
        <v>364162.07</v>
      </c>
      <c r="I618" s="217">
        <v>993779.52</v>
      </c>
      <c r="J618" s="238">
        <v>993779.52</v>
      </c>
      <c r="K618" s="331">
        <v>993779.52</v>
      </c>
      <c r="L618" s="313">
        <f t="shared" si="113"/>
        <v>0</v>
      </c>
      <c r="M618" s="314">
        <f t="shared" si="115"/>
        <v>166.27129489291994</v>
      </c>
      <c r="N618" s="314">
        <f t="shared" si="116"/>
        <v>166.27129489291994</v>
      </c>
    </row>
    <row r="619" spans="1:14" ht="34" outlineLevel="6" x14ac:dyDescent="0.3">
      <c r="A619" s="213" t="s">
        <v>795</v>
      </c>
      <c r="B619" s="214" t="s">
        <v>490</v>
      </c>
      <c r="C619" s="214" t="s">
        <v>72</v>
      </c>
      <c r="D619" s="293" t="s">
        <v>796</v>
      </c>
      <c r="E619" s="293" t="s">
        <v>6</v>
      </c>
      <c r="F619" s="293" t="s">
        <v>838</v>
      </c>
      <c r="G619" s="238">
        <f>G620</f>
        <v>41911341.160000004</v>
      </c>
      <c r="H619" s="217">
        <f>H620</f>
        <v>21307038.940000001</v>
      </c>
      <c r="I619" s="217">
        <v>0</v>
      </c>
      <c r="J619" s="238">
        <v>0</v>
      </c>
      <c r="K619" s="331">
        <v>0</v>
      </c>
      <c r="L619" s="313">
        <f t="shared" si="113"/>
        <v>0</v>
      </c>
      <c r="M619" s="314">
        <f t="shared" si="115"/>
        <v>0</v>
      </c>
      <c r="N619" s="314">
        <f t="shared" si="116"/>
        <v>0</v>
      </c>
    </row>
    <row r="620" spans="1:14" ht="34" outlineLevel="6" x14ac:dyDescent="0.3">
      <c r="A620" s="213" t="s">
        <v>37</v>
      </c>
      <c r="B620" s="214" t="s">
        <v>490</v>
      </c>
      <c r="C620" s="214" t="s">
        <v>72</v>
      </c>
      <c r="D620" s="293" t="s">
        <v>796</v>
      </c>
      <c r="E620" s="293" t="s">
        <v>38</v>
      </c>
      <c r="F620" s="293" t="s">
        <v>838</v>
      </c>
      <c r="G620" s="238">
        <f>G621</f>
        <v>41911341.160000004</v>
      </c>
      <c r="H620" s="217">
        <f>H621</f>
        <v>21307038.940000001</v>
      </c>
      <c r="I620" s="217">
        <v>0</v>
      </c>
      <c r="J620" s="238">
        <v>0</v>
      </c>
      <c r="K620" s="331">
        <v>0</v>
      </c>
      <c r="L620" s="313">
        <f t="shared" si="113"/>
        <v>0</v>
      </c>
      <c r="M620" s="314">
        <f t="shared" si="115"/>
        <v>0</v>
      </c>
      <c r="N620" s="314">
        <f t="shared" si="116"/>
        <v>0</v>
      </c>
    </row>
    <row r="621" spans="1:14" outlineLevel="6" x14ac:dyDescent="0.3">
      <c r="A621" s="213" t="s">
        <v>74</v>
      </c>
      <c r="B621" s="214" t="s">
        <v>490</v>
      </c>
      <c r="C621" s="214" t="s">
        <v>72</v>
      </c>
      <c r="D621" s="293" t="s">
        <v>796</v>
      </c>
      <c r="E621" s="293" t="s">
        <v>75</v>
      </c>
      <c r="F621" s="293" t="s">
        <v>838</v>
      </c>
      <c r="G621" s="238">
        <f>'[2]прил 7 динамика2023'!C58+180149.71+2700000+1500000</f>
        <v>41911341.160000004</v>
      </c>
      <c r="H621" s="218">
        <v>21307038.940000001</v>
      </c>
      <c r="I621" s="217">
        <v>0</v>
      </c>
      <c r="J621" s="238">
        <v>0</v>
      </c>
      <c r="K621" s="331">
        <v>0</v>
      </c>
      <c r="L621" s="313">
        <f t="shared" si="113"/>
        <v>0</v>
      </c>
      <c r="M621" s="314">
        <f t="shared" si="115"/>
        <v>0</v>
      </c>
      <c r="N621" s="314">
        <f t="shared" si="116"/>
        <v>0</v>
      </c>
    </row>
    <row r="622" spans="1:14" ht="34" outlineLevel="7" x14ac:dyDescent="0.3">
      <c r="A622" s="225" t="s">
        <v>267</v>
      </c>
      <c r="B622" s="214" t="s">
        <v>490</v>
      </c>
      <c r="C622" s="214" t="s">
        <v>72</v>
      </c>
      <c r="D622" s="293" t="s">
        <v>220</v>
      </c>
      <c r="E622" s="293" t="s">
        <v>6</v>
      </c>
      <c r="F622" s="294">
        <v>5101292.82</v>
      </c>
      <c r="G622" s="238">
        <f t="shared" ref="G622:K624" si="126">G623</f>
        <v>6117450</v>
      </c>
      <c r="H622" s="217">
        <f t="shared" si="126"/>
        <v>3823078.77</v>
      </c>
      <c r="I622" s="217">
        <f t="shared" si="126"/>
        <v>6188850</v>
      </c>
      <c r="J622" s="238">
        <f t="shared" si="126"/>
        <v>7109400</v>
      </c>
      <c r="K622" s="331">
        <f t="shared" si="126"/>
        <v>7109400</v>
      </c>
      <c r="L622" s="313">
        <f t="shared" si="113"/>
        <v>0</v>
      </c>
      <c r="M622" s="314">
        <f t="shared" si="115"/>
        <v>116.21508962067529</v>
      </c>
      <c r="N622" s="314">
        <f t="shared" si="116"/>
        <v>116.21508962067529</v>
      </c>
    </row>
    <row r="623" spans="1:14" ht="101.9" outlineLevel="7" x14ac:dyDescent="0.3">
      <c r="A623" s="189" t="s">
        <v>595</v>
      </c>
      <c r="B623" s="214" t="s">
        <v>490</v>
      </c>
      <c r="C623" s="214" t="s">
        <v>72</v>
      </c>
      <c r="D623" s="293" t="s">
        <v>596</v>
      </c>
      <c r="E623" s="293" t="s">
        <v>6</v>
      </c>
      <c r="F623" s="294">
        <v>5101292.82</v>
      </c>
      <c r="G623" s="238">
        <f t="shared" si="126"/>
        <v>6117450</v>
      </c>
      <c r="H623" s="217">
        <f t="shared" si="126"/>
        <v>3823078.77</v>
      </c>
      <c r="I623" s="217">
        <f t="shared" si="126"/>
        <v>6188850</v>
      </c>
      <c r="J623" s="238">
        <f t="shared" si="126"/>
        <v>7109400</v>
      </c>
      <c r="K623" s="331">
        <f t="shared" si="126"/>
        <v>7109400</v>
      </c>
      <c r="L623" s="313">
        <f t="shared" si="113"/>
        <v>0</v>
      </c>
      <c r="M623" s="314">
        <f t="shared" si="115"/>
        <v>116.21508962067529</v>
      </c>
      <c r="N623" s="314">
        <f t="shared" si="116"/>
        <v>116.21508962067529</v>
      </c>
    </row>
    <row r="624" spans="1:14" ht="34" outlineLevel="7" x14ac:dyDescent="0.3">
      <c r="A624" s="213" t="s">
        <v>37</v>
      </c>
      <c r="B624" s="214" t="s">
        <v>490</v>
      </c>
      <c r="C624" s="214" t="s">
        <v>72</v>
      </c>
      <c r="D624" s="293" t="s">
        <v>596</v>
      </c>
      <c r="E624" s="293" t="s">
        <v>38</v>
      </c>
      <c r="F624" s="294">
        <v>5101292.82</v>
      </c>
      <c r="G624" s="238">
        <f t="shared" si="126"/>
        <v>6117450</v>
      </c>
      <c r="H624" s="217">
        <f t="shared" si="126"/>
        <v>3823078.77</v>
      </c>
      <c r="I624" s="217">
        <f t="shared" si="126"/>
        <v>6188850</v>
      </c>
      <c r="J624" s="238">
        <f t="shared" si="126"/>
        <v>7109400</v>
      </c>
      <c r="K624" s="331">
        <f t="shared" si="126"/>
        <v>7109400</v>
      </c>
      <c r="L624" s="313">
        <f t="shared" si="113"/>
        <v>0</v>
      </c>
      <c r="M624" s="314">
        <f t="shared" si="115"/>
        <v>116.21508962067529</v>
      </c>
      <c r="N624" s="314">
        <f t="shared" si="116"/>
        <v>116.21508962067529</v>
      </c>
    </row>
    <row r="625" spans="1:14" ht="22.75" customHeight="1" outlineLevel="7" x14ac:dyDescent="0.3">
      <c r="A625" s="213" t="s">
        <v>74</v>
      </c>
      <c r="B625" s="214" t="s">
        <v>490</v>
      </c>
      <c r="C625" s="214" t="s">
        <v>72</v>
      </c>
      <c r="D625" s="298" t="s">
        <v>596</v>
      </c>
      <c r="E625" s="298" t="s">
        <v>75</v>
      </c>
      <c r="F625" s="294">
        <v>5101292.82</v>
      </c>
      <c r="G625" s="238">
        <v>6117450</v>
      </c>
      <c r="H625" s="218">
        <v>3823078.77</v>
      </c>
      <c r="I625" s="217">
        <v>6188850</v>
      </c>
      <c r="J625" s="238">
        <v>7109400</v>
      </c>
      <c r="K625" s="331">
        <v>7109400</v>
      </c>
      <c r="L625" s="313">
        <f t="shared" si="113"/>
        <v>0</v>
      </c>
      <c r="M625" s="314">
        <f t="shared" si="115"/>
        <v>116.21508962067529</v>
      </c>
      <c r="N625" s="314">
        <f t="shared" si="116"/>
        <v>116.21508962067529</v>
      </c>
    </row>
    <row r="626" spans="1:14" outlineLevel="7" x14ac:dyDescent="0.3">
      <c r="A626" s="189" t="s">
        <v>880</v>
      </c>
      <c r="B626" s="214" t="s">
        <v>490</v>
      </c>
      <c r="C626" s="214" t="s">
        <v>72</v>
      </c>
      <c r="D626" s="298" t="s">
        <v>302</v>
      </c>
      <c r="E626" s="298" t="s">
        <v>6</v>
      </c>
      <c r="F626" s="294">
        <v>3010106</v>
      </c>
      <c r="G626" s="238">
        <f t="shared" ref="G626:K628" si="127">G627</f>
        <v>0</v>
      </c>
      <c r="H626" s="217">
        <f t="shared" si="127"/>
        <v>0</v>
      </c>
      <c r="I626" s="217">
        <f t="shared" si="127"/>
        <v>2685634.51</v>
      </c>
      <c r="J626" s="238">
        <f t="shared" si="127"/>
        <v>3078979.12</v>
      </c>
      <c r="K626" s="331">
        <f t="shared" si="127"/>
        <v>2981520.22</v>
      </c>
      <c r="L626" s="313">
        <f t="shared" si="113"/>
        <v>-97458.899999999907</v>
      </c>
      <c r="M626" s="314"/>
      <c r="N626" s="314"/>
    </row>
    <row r="627" spans="1:14" ht="50.95" outlineLevel="7" x14ac:dyDescent="0.3">
      <c r="A627" s="213" t="s">
        <v>425</v>
      </c>
      <c r="B627" s="214" t="s">
        <v>490</v>
      </c>
      <c r="C627" s="214" t="s">
        <v>72</v>
      </c>
      <c r="D627" s="298" t="s">
        <v>831</v>
      </c>
      <c r="E627" s="298" t="s">
        <v>6</v>
      </c>
      <c r="F627" s="294">
        <v>3010106</v>
      </c>
      <c r="G627" s="238">
        <f t="shared" si="127"/>
        <v>0</v>
      </c>
      <c r="H627" s="217">
        <f t="shared" si="127"/>
        <v>0</v>
      </c>
      <c r="I627" s="217">
        <f t="shared" si="127"/>
        <v>2685634.51</v>
      </c>
      <c r="J627" s="238">
        <f t="shared" si="127"/>
        <v>3078979.12</v>
      </c>
      <c r="K627" s="331">
        <f t="shared" si="127"/>
        <v>2981520.22</v>
      </c>
      <c r="L627" s="313">
        <f t="shared" si="113"/>
        <v>-97458.899999999907</v>
      </c>
      <c r="M627" s="314"/>
      <c r="N627" s="314"/>
    </row>
    <row r="628" spans="1:14" ht="34" outlineLevel="7" x14ac:dyDescent="0.3">
      <c r="A628" s="213" t="s">
        <v>37</v>
      </c>
      <c r="B628" s="214" t="s">
        <v>490</v>
      </c>
      <c r="C628" s="214" t="s">
        <v>72</v>
      </c>
      <c r="D628" s="298" t="s">
        <v>831</v>
      </c>
      <c r="E628" s="298" t="s">
        <v>38</v>
      </c>
      <c r="F628" s="294">
        <v>3010106</v>
      </c>
      <c r="G628" s="238">
        <f t="shared" si="127"/>
        <v>0</v>
      </c>
      <c r="H628" s="217">
        <f t="shared" si="127"/>
        <v>0</v>
      </c>
      <c r="I628" s="217">
        <f t="shared" si="127"/>
        <v>2685634.51</v>
      </c>
      <c r="J628" s="238">
        <f t="shared" si="127"/>
        <v>3078979.12</v>
      </c>
      <c r="K628" s="331">
        <f t="shared" si="127"/>
        <v>2981520.22</v>
      </c>
      <c r="L628" s="313">
        <f t="shared" si="113"/>
        <v>-97458.899999999907</v>
      </c>
      <c r="M628" s="314"/>
      <c r="N628" s="314"/>
    </row>
    <row r="629" spans="1:14" ht="17.7" outlineLevel="7" thickBot="1" x14ac:dyDescent="0.35">
      <c r="A629" s="213" t="s">
        <v>74</v>
      </c>
      <c r="B629" s="214" t="s">
        <v>490</v>
      </c>
      <c r="C629" s="214" t="s">
        <v>72</v>
      </c>
      <c r="D629" s="298" t="s">
        <v>831</v>
      </c>
      <c r="E629" s="298" t="s">
        <v>75</v>
      </c>
      <c r="F629" s="294">
        <v>3010106</v>
      </c>
      <c r="G629" s="238">
        <v>0</v>
      </c>
      <c r="H629" s="217">
        <v>0</v>
      </c>
      <c r="I629" s="217">
        <v>2685634.51</v>
      </c>
      <c r="J629" s="238">
        <f>186904.51+2892074.61</f>
        <v>3078979.12</v>
      </c>
      <c r="K629" s="331">
        <f>186904.51+2892074.61-97458.9</f>
        <v>2981520.22</v>
      </c>
      <c r="L629" s="313">
        <f t="shared" si="113"/>
        <v>-97458.899999999907</v>
      </c>
      <c r="M629" s="314"/>
      <c r="N629" s="314"/>
    </row>
    <row r="630" spans="1:14" ht="51.65" outlineLevel="7" thickBot="1" x14ac:dyDescent="0.35">
      <c r="A630" s="241" t="s">
        <v>806</v>
      </c>
      <c r="B630" s="214" t="s">
        <v>490</v>
      </c>
      <c r="C630" s="214" t="s">
        <v>72</v>
      </c>
      <c r="D630" s="293" t="s">
        <v>807</v>
      </c>
      <c r="E630" s="293" t="s">
        <v>6</v>
      </c>
      <c r="F630" s="293" t="s">
        <v>838</v>
      </c>
      <c r="G630" s="238">
        <f>G631</f>
        <v>3361963.91</v>
      </c>
      <c r="H630" s="217">
        <f>H631</f>
        <v>1927700</v>
      </c>
      <c r="I630" s="217">
        <v>0</v>
      </c>
      <c r="J630" s="238">
        <v>0</v>
      </c>
      <c r="K630" s="331">
        <v>0</v>
      </c>
      <c r="L630" s="313">
        <f t="shared" si="113"/>
        <v>0</v>
      </c>
      <c r="M630" s="314">
        <f t="shared" si="115"/>
        <v>0</v>
      </c>
      <c r="N630" s="314">
        <f t="shared" si="116"/>
        <v>0</v>
      </c>
    </row>
    <row r="631" spans="1:14" ht="34" outlineLevel="7" x14ac:dyDescent="0.3">
      <c r="A631" s="213" t="s">
        <v>37</v>
      </c>
      <c r="B631" s="214" t="s">
        <v>490</v>
      </c>
      <c r="C631" s="214" t="s">
        <v>72</v>
      </c>
      <c r="D631" s="293" t="s">
        <v>807</v>
      </c>
      <c r="E631" s="293" t="s">
        <v>38</v>
      </c>
      <c r="F631" s="293" t="s">
        <v>838</v>
      </c>
      <c r="G631" s="238">
        <f>G632</f>
        <v>3361963.91</v>
      </c>
      <c r="H631" s="217">
        <f>H632</f>
        <v>1927700</v>
      </c>
      <c r="I631" s="217">
        <v>0</v>
      </c>
      <c r="J631" s="238">
        <v>0</v>
      </c>
      <c r="K631" s="331">
        <v>0</v>
      </c>
      <c r="L631" s="313">
        <f t="shared" si="113"/>
        <v>0</v>
      </c>
      <c r="M631" s="314">
        <f t="shared" si="115"/>
        <v>0</v>
      </c>
      <c r="N631" s="314">
        <f t="shared" si="116"/>
        <v>0</v>
      </c>
    </row>
    <row r="632" spans="1:14" outlineLevel="7" x14ac:dyDescent="0.3">
      <c r="A632" s="213" t="s">
        <v>74</v>
      </c>
      <c r="B632" s="214" t="s">
        <v>490</v>
      </c>
      <c r="C632" s="214" t="s">
        <v>72</v>
      </c>
      <c r="D632" s="293" t="s">
        <v>807</v>
      </c>
      <c r="E632" s="293" t="s">
        <v>75</v>
      </c>
      <c r="F632" s="293" t="s">
        <v>838</v>
      </c>
      <c r="G632" s="238">
        <f>1000000+1613963.91+748000</f>
        <v>3361963.91</v>
      </c>
      <c r="H632" s="218">
        <v>1927700</v>
      </c>
      <c r="I632" s="217">
        <v>0</v>
      </c>
      <c r="J632" s="238">
        <v>0</v>
      </c>
      <c r="K632" s="331">
        <v>0</v>
      </c>
      <c r="L632" s="313">
        <f t="shared" si="113"/>
        <v>0</v>
      </c>
      <c r="M632" s="314">
        <f t="shared" si="115"/>
        <v>0</v>
      </c>
      <c r="N632" s="314">
        <f t="shared" si="116"/>
        <v>0</v>
      </c>
    </row>
    <row r="633" spans="1:14" outlineLevel="5" x14ac:dyDescent="0.3">
      <c r="A633" s="213" t="s">
        <v>251</v>
      </c>
      <c r="B633" s="214" t="s">
        <v>490</v>
      </c>
      <c r="C633" s="214" t="s">
        <v>250</v>
      </c>
      <c r="D633" s="293" t="s">
        <v>126</v>
      </c>
      <c r="E633" s="293" t="s">
        <v>6</v>
      </c>
      <c r="F633" s="294">
        <v>23253055.059999999</v>
      </c>
      <c r="G633" s="238">
        <f t="shared" ref="G633:K634" si="128">G634</f>
        <v>24723029.260000002</v>
      </c>
      <c r="H633" s="217">
        <f t="shared" si="128"/>
        <v>17264875.789999999</v>
      </c>
      <c r="I633" s="217">
        <f t="shared" si="128"/>
        <v>28310464</v>
      </c>
      <c r="J633" s="238">
        <f t="shared" si="128"/>
        <v>27710552</v>
      </c>
      <c r="K633" s="331">
        <f t="shared" si="128"/>
        <v>26493367.960000001</v>
      </c>
      <c r="L633" s="313">
        <f t="shared" si="113"/>
        <v>-1217184.0399999991</v>
      </c>
      <c r="M633" s="314">
        <f t="shared" si="115"/>
        <v>112.08396717320392</v>
      </c>
      <c r="N633" s="314">
        <f t="shared" si="116"/>
        <v>107.16068682919966</v>
      </c>
    </row>
    <row r="634" spans="1:14" ht="34" outlineLevel="6" x14ac:dyDescent="0.3">
      <c r="A634" s="219" t="s">
        <v>720</v>
      </c>
      <c r="B634" s="220" t="s">
        <v>490</v>
      </c>
      <c r="C634" s="220" t="s">
        <v>250</v>
      </c>
      <c r="D634" s="295" t="s">
        <v>138</v>
      </c>
      <c r="E634" s="295" t="s">
        <v>6</v>
      </c>
      <c r="F634" s="296">
        <v>23253055.059999999</v>
      </c>
      <c r="G634" s="272">
        <f t="shared" si="128"/>
        <v>24723029.260000002</v>
      </c>
      <c r="H634" s="223">
        <f t="shared" si="128"/>
        <v>17264875.789999999</v>
      </c>
      <c r="I634" s="223">
        <f t="shared" si="128"/>
        <v>28310464</v>
      </c>
      <c r="J634" s="272">
        <f t="shared" si="128"/>
        <v>27710552</v>
      </c>
      <c r="K634" s="332">
        <f t="shared" si="128"/>
        <v>26493367.960000001</v>
      </c>
      <c r="L634" s="313">
        <f t="shared" si="113"/>
        <v>-1217184.0399999991</v>
      </c>
      <c r="M634" s="314">
        <f t="shared" si="115"/>
        <v>112.08396717320392</v>
      </c>
      <c r="N634" s="314">
        <f t="shared" si="116"/>
        <v>107.16068682919966</v>
      </c>
    </row>
    <row r="635" spans="1:14" ht="49.75" customHeight="1" outlineLevel="7" x14ac:dyDescent="0.3">
      <c r="A635" s="213" t="s">
        <v>726</v>
      </c>
      <c r="B635" s="214" t="s">
        <v>490</v>
      </c>
      <c r="C635" s="214" t="s">
        <v>250</v>
      </c>
      <c r="D635" s="293" t="s">
        <v>149</v>
      </c>
      <c r="E635" s="293" t="s">
        <v>6</v>
      </c>
      <c r="F635" s="296">
        <v>23253055.059999999</v>
      </c>
      <c r="G635" s="237">
        <f>G636+G640+G650</f>
        <v>24723029.260000002</v>
      </c>
      <c r="H635" s="215">
        <f>H636+H640+H650</f>
        <v>17264875.789999999</v>
      </c>
      <c r="I635" s="215">
        <f>I636+I640+I650</f>
        <v>28310464</v>
      </c>
      <c r="J635" s="237">
        <f>J636+J640+J650</f>
        <v>27710552</v>
      </c>
      <c r="K635" s="330">
        <f>K636+K640+K650</f>
        <v>26493367.960000001</v>
      </c>
      <c r="L635" s="313">
        <f t="shared" si="113"/>
        <v>-1217184.0399999991</v>
      </c>
      <c r="M635" s="314">
        <f t="shared" si="115"/>
        <v>112.08396717320392</v>
      </c>
      <c r="N635" s="314">
        <f t="shared" si="116"/>
        <v>107.16068682919966</v>
      </c>
    </row>
    <row r="636" spans="1:14" ht="42.45" customHeight="1" outlineLevel="7" x14ac:dyDescent="0.3">
      <c r="A636" s="225" t="s">
        <v>205</v>
      </c>
      <c r="B636" s="214" t="s">
        <v>490</v>
      </c>
      <c r="C636" s="214" t="s">
        <v>250</v>
      </c>
      <c r="D636" s="293" t="s">
        <v>221</v>
      </c>
      <c r="E636" s="293" t="s">
        <v>6</v>
      </c>
      <c r="F636" s="294">
        <v>22721588.399999999</v>
      </c>
      <c r="G636" s="237">
        <f t="shared" ref="G636:K638" si="129">G637</f>
        <v>22949529.260000002</v>
      </c>
      <c r="H636" s="215">
        <f t="shared" si="129"/>
        <v>16567468.119999999</v>
      </c>
      <c r="I636" s="215">
        <f t="shared" si="129"/>
        <v>26996964</v>
      </c>
      <c r="J636" s="237">
        <f t="shared" si="129"/>
        <v>25942762</v>
      </c>
      <c r="K636" s="330">
        <f t="shared" si="129"/>
        <v>24725577.960000001</v>
      </c>
      <c r="L636" s="313">
        <f t="shared" si="113"/>
        <v>-1217184.0399999991</v>
      </c>
      <c r="M636" s="314">
        <f t="shared" si="115"/>
        <v>113.04267597861831</v>
      </c>
      <c r="N636" s="314">
        <f t="shared" si="116"/>
        <v>107.73893302942632</v>
      </c>
    </row>
    <row r="637" spans="1:14" ht="22.75" customHeight="1" outlineLevel="7" x14ac:dyDescent="0.3">
      <c r="A637" s="213" t="s">
        <v>115</v>
      </c>
      <c r="B637" s="214" t="s">
        <v>490</v>
      </c>
      <c r="C637" s="214" t="s">
        <v>250</v>
      </c>
      <c r="D637" s="293" t="s">
        <v>151</v>
      </c>
      <c r="E637" s="293" t="s">
        <v>6</v>
      </c>
      <c r="F637" s="294">
        <v>22721588.399999999</v>
      </c>
      <c r="G637" s="237">
        <f t="shared" si="129"/>
        <v>22949529.260000002</v>
      </c>
      <c r="H637" s="215">
        <f t="shared" si="129"/>
        <v>16567468.119999999</v>
      </c>
      <c r="I637" s="215">
        <f t="shared" si="129"/>
        <v>26996964</v>
      </c>
      <c r="J637" s="237">
        <f t="shared" si="129"/>
        <v>25942762</v>
      </c>
      <c r="K637" s="330">
        <f t="shared" si="129"/>
        <v>24725577.960000001</v>
      </c>
      <c r="L637" s="313">
        <f t="shared" si="113"/>
        <v>-1217184.0399999991</v>
      </c>
      <c r="M637" s="314">
        <f t="shared" si="115"/>
        <v>113.04267597861831</v>
      </c>
      <c r="N637" s="314">
        <f t="shared" si="116"/>
        <v>107.73893302942632</v>
      </c>
    </row>
    <row r="638" spans="1:14" ht="24.8" customHeight="1" outlineLevel="7" x14ac:dyDescent="0.3">
      <c r="A638" s="213" t="s">
        <v>37</v>
      </c>
      <c r="B638" s="214" t="s">
        <v>490</v>
      </c>
      <c r="C638" s="214" t="s">
        <v>250</v>
      </c>
      <c r="D638" s="293" t="s">
        <v>151</v>
      </c>
      <c r="E638" s="293" t="s">
        <v>38</v>
      </c>
      <c r="F638" s="294">
        <v>22721588.399999999</v>
      </c>
      <c r="G638" s="237">
        <f t="shared" si="129"/>
        <v>22949529.260000002</v>
      </c>
      <c r="H638" s="215">
        <f t="shared" si="129"/>
        <v>16567468.119999999</v>
      </c>
      <c r="I638" s="215">
        <f t="shared" si="129"/>
        <v>26996964</v>
      </c>
      <c r="J638" s="237">
        <f t="shared" si="129"/>
        <v>25942762</v>
      </c>
      <c r="K638" s="330">
        <f t="shared" si="129"/>
        <v>24725577.960000001</v>
      </c>
      <c r="L638" s="313">
        <f t="shared" si="113"/>
        <v>-1217184.0399999991</v>
      </c>
      <c r="M638" s="314">
        <f t="shared" si="115"/>
        <v>113.04267597861831</v>
      </c>
      <c r="N638" s="314">
        <f t="shared" si="116"/>
        <v>107.73893302942632</v>
      </c>
    </row>
    <row r="639" spans="1:14" ht="27" customHeight="1" outlineLevel="7" x14ac:dyDescent="0.3">
      <c r="A639" s="213" t="s">
        <v>74</v>
      </c>
      <c r="B639" s="214" t="s">
        <v>490</v>
      </c>
      <c r="C639" s="214" t="s">
        <v>250</v>
      </c>
      <c r="D639" s="293" t="s">
        <v>151</v>
      </c>
      <c r="E639" s="293" t="s">
        <v>75</v>
      </c>
      <c r="F639" s="294">
        <v>22721588.399999999</v>
      </c>
      <c r="G639" s="238">
        <f>[2]потребность!I580-1000000-1177656.74+130222</f>
        <v>22949529.260000002</v>
      </c>
      <c r="H639" s="218">
        <v>16567468.119999999</v>
      </c>
      <c r="I639" s="217">
        <v>26996964</v>
      </c>
      <c r="J639" s="238">
        <v>25942762</v>
      </c>
      <c r="K639" s="331">
        <f>25942762-500000-1112102.8+358800+36118.76</f>
        <v>24725577.960000001</v>
      </c>
      <c r="L639" s="313">
        <f t="shared" si="113"/>
        <v>-1217184.0399999991</v>
      </c>
      <c r="M639" s="314">
        <f t="shared" si="115"/>
        <v>113.04267597861831</v>
      </c>
      <c r="N639" s="314">
        <f t="shared" si="116"/>
        <v>107.73893302942632</v>
      </c>
    </row>
    <row r="640" spans="1:14" ht="34" outlineLevel="7" x14ac:dyDescent="0.3">
      <c r="A640" s="225" t="s">
        <v>377</v>
      </c>
      <c r="B640" s="214" t="s">
        <v>490</v>
      </c>
      <c r="C640" s="214" t="s">
        <v>250</v>
      </c>
      <c r="D640" s="293" t="s">
        <v>222</v>
      </c>
      <c r="E640" s="293" t="s">
        <v>6</v>
      </c>
      <c r="F640" s="294">
        <v>273051.64</v>
      </c>
      <c r="G640" s="238">
        <f>G641+G647+G656</f>
        <v>570500</v>
      </c>
      <c r="H640" s="217">
        <f>H641+H647+H656</f>
        <v>187954.08000000002</v>
      </c>
      <c r="I640" s="217">
        <f>I641+I647</f>
        <v>110500</v>
      </c>
      <c r="J640" s="238">
        <f>J641+J647</f>
        <v>31600</v>
      </c>
      <c r="K640" s="331">
        <f>K641+K647</f>
        <v>31600</v>
      </c>
      <c r="L640" s="313">
        <f t="shared" si="113"/>
        <v>0</v>
      </c>
      <c r="M640" s="314">
        <f t="shared" si="115"/>
        <v>5.5390008764241889</v>
      </c>
      <c r="N640" s="314">
        <f t="shared" si="116"/>
        <v>5.5390008764241898</v>
      </c>
    </row>
    <row r="641" spans="1:14" ht="34" outlineLevel="7" x14ac:dyDescent="0.3">
      <c r="A641" s="213" t="s">
        <v>262</v>
      </c>
      <c r="B641" s="214" t="s">
        <v>490</v>
      </c>
      <c r="C641" s="214" t="s">
        <v>250</v>
      </c>
      <c r="D641" s="293" t="s">
        <v>280</v>
      </c>
      <c r="E641" s="293" t="s">
        <v>6</v>
      </c>
      <c r="F641" s="294">
        <v>19201.89</v>
      </c>
      <c r="G641" s="238">
        <f t="shared" ref="G641:K642" si="130">G642</f>
        <v>25000</v>
      </c>
      <c r="H641" s="217">
        <f t="shared" si="130"/>
        <v>15994.08</v>
      </c>
      <c r="I641" s="217">
        <f t="shared" si="130"/>
        <v>25000</v>
      </c>
      <c r="J641" s="238">
        <f t="shared" si="130"/>
        <v>31600</v>
      </c>
      <c r="K641" s="331">
        <f t="shared" si="130"/>
        <v>31600</v>
      </c>
      <c r="L641" s="313">
        <f t="shared" si="113"/>
        <v>0</v>
      </c>
      <c r="M641" s="314">
        <f t="shared" si="115"/>
        <v>126.4</v>
      </c>
      <c r="N641" s="314">
        <f t="shared" si="116"/>
        <v>126.4</v>
      </c>
    </row>
    <row r="642" spans="1:14" ht="34" outlineLevel="7" x14ac:dyDescent="0.3">
      <c r="A642" s="213" t="s">
        <v>37</v>
      </c>
      <c r="B642" s="214" t="s">
        <v>490</v>
      </c>
      <c r="C642" s="214" t="s">
        <v>250</v>
      </c>
      <c r="D642" s="293" t="s">
        <v>280</v>
      </c>
      <c r="E642" s="293" t="s">
        <v>38</v>
      </c>
      <c r="F642" s="294">
        <v>19201.89</v>
      </c>
      <c r="G642" s="238">
        <f t="shared" si="130"/>
        <v>25000</v>
      </c>
      <c r="H642" s="217">
        <f t="shared" si="130"/>
        <v>15994.08</v>
      </c>
      <c r="I642" s="217">
        <f t="shared" si="130"/>
        <v>25000</v>
      </c>
      <c r="J642" s="238">
        <f t="shared" si="130"/>
        <v>31600</v>
      </c>
      <c r="K642" s="331">
        <f t="shared" si="130"/>
        <v>31600</v>
      </c>
      <c r="L642" s="313">
        <f t="shared" si="113"/>
        <v>0</v>
      </c>
      <c r="M642" s="314">
        <f t="shared" si="115"/>
        <v>126.4</v>
      </c>
      <c r="N642" s="314">
        <f t="shared" si="116"/>
        <v>126.4</v>
      </c>
    </row>
    <row r="643" spans="1:14" outlineLevel="2" x14ac:dyDescent="0.3">
      <c r="A643" s="213" t="s">
        <v>74</v>
      </c>
      <c r="B643" s="214" t="s">
        <v>490</v>
      </c>
      <c r="C643" s="214" t="s">
        <v>250</v>
      </c>
      <c r="D643" s="293" t="s">
        <v>280</v>
      </c>
      <c r="E643" s="293" t="s">
        <v>75</v>
      </c>
      <c r="F643" s="294">
        <v>19201.89</v>
      </c>
      <c r="G643" s="238">
        <v>25000</v>
      </c>
      <c r="H643" s="218">
        <v>15994.08</v>
      </c>
      <c r="I643" s="217">
        <v>25000</v>
      </c>
      <c r="J643" s="238">
        <v>31600</v>
      </c>
      <c r="K643" s="331">
        <v>31600</v>
      </c>
      <c r="L643" s="313">
        <f t="shared" si="113"/>
        <v>0</v>
      </c>
      <c r="M643" s="314">
        <f t="shared" si="115"/>
        <v>126.4</v>
      </c>
      <c r="N643" s="314">
        <f t="shared" si="116"/>
        <v>126.4</v>
      </c>
    </row>
    <row r="644" spans="1:14" s="224" customFormat="1" ht="28.2" customHeight="1" outlineLevel="3" x14ac:dyDescent="0.3">
      <c r="A644" s="225" t="s">
        <v>300</v>
      </c>
      <c r="B644" s="214" t="s">
        <v>490</v>
      </c>
      <c r="C644" s="214" t="s">
        <v>250</v>
      </c>
      <c r="D644" s="293" t="s">
        <v>666</v>
      </c>
      <c r="E644" s="293" t="s">
        <v>6</v>
      </c>
      <c r="F644" s="294">
        <v>124350</v>
      </c>
      <c r="G644" s="238">
        <f>G645</f>
        <v>0</v>
      </c>
      <c r="H644" s="217">
        <f>H645</f>
        <v>0</v>
      </c>
      <c r="I644" s="217">
        <v>0</v>
      </c>
      <c r="J644" s="238">
        <v>0</v>
      </c>
      <c r="K644" s="331">
        <v>0</v>
      </c>
      <c r="L644" s="313">
        <f t="shared" si="113"/>
        <v>0</v>
      </c>
      <c r="M644" s="314"/>
      <c r="N644" s="314"/>
    </row>
    <row r="645" spans="1:14" ht="34" outlineLevel="3" x14ac:dyDescent="0.3">
      <c r="A645" s="213" t="s">
        <v>37</v>
      </c>
      <c r="B645" s="214" t="s">
        <v>490</v>
      </c>
      <c r="C645" s="214" t="s">
        <v>250</v>
      </c>
      <c r="D645" s="293" t="s">
        <v>666</v>
      </c>
      <c r="E645" s="293" t="s">
        <v>38</v>
      </c>
      <c r="F645" s="294">
        <v>124350</v>
      </c>
      <c r="G645" s="238">
        <f>G646</f>
        <v>0</v>
      </c>
      <c r="H645" s="217">
        <f>H646</f>
        <v>0</v>
      </c>
      <c r="I645" s="217">
        <v>0</v>
      </c>
      <c r="J645" s="238">
        <v>0</v>
      </c>
      <c r="K645" s="331">
        <v>0</v>
      </c>
      <c r="L645" s="313">
        <f t="shared" ref="L645:L708" si="131">K645-J645</f>
        <v>0</v>
      </c>
      <c r="M645" s="314"/>
      <c r="N645" s="314"/>
    </row>
    <row r="646" spans="1:14" ht="19.55" customHeight="1" outlineLevel="3" x14ac:dyDescent="0.3">
      <c r="A646" s="213" t="s">
        <v>74</v>
      </c>
      <c r="B646" s="214" t="s">
        <v>490</v>
      </c>
      <c r="C646" s="214" t="s">
        <v>250</v>
      </c>
      <c r="D646" s="293" t="s">
        <v>666</v>
      </c>
      <c r="E646" s="293" t="s">
        <v>75</v>
      </c>
      <c r="F646" s="294">
        <v>124350</v>
      </c>
      <c r="G646" s="238">
        <v>0</v>
      </c>
      <c r="H646" s="218">
        <v>0</v>
      </c>
      <c r="I646" s="217">
        <v>0</v>
      </c>
      <c r="J646" s="238">
        <v>0</v>
      </c>
      <c r="K646" s="331">
        <v>0</v>
      </c>
      <c r="L646" s="313">
        <f t="shared" si="131"/>
        <v>0</v>
      </c>
      <c r="M646" s="314"/>
      <c r="N646" s="314"/>
    </row>
    <row r="647" spans="1:14" ht="21.25" customHeight="1" outlineLevel="3" x14ac:dyDescent="0.3">
      <c r="A647" s="213" t="s">
        <v>112</v>
      </c>
      <c r="B647" s="214" t="s">
        <v>490</v>
      </c>
      <c r="C647" s="214" t="s">
        <v>250</v>
      </c>
      <c r="D647" s="293" t="s">
        <v>150</v>
      </c>
      <c r="E647" s="293" t="s">
        <v>6</v>
      </c>
      <c r="F647" s="294">
        <v>77499.75</v>
      </c>
      <c r="G647" s="237">
        <f t="shared" ref="G647:K648" si="132">G648</f>
        <v>85500</v>
      </c>
      <c r="H647" s="215">
        <f t="shared" si="132"/>
        <v>39360</v>
      </c>
      <c r="I647" s="215">
        <f t="shared" si="132"/>
        <v>85500</v>
      </c>
      <c r="J647" s="277">
        <f t="shared" si="132"/>
        <v>0</v>
      </c>
      <c r="K647" s="335">
        <f t="shared" si="132"/>
        <v>0</v>
      </c>
      <c r="L647" s="313">
        <f t="shared" si="131"/>
        <v>0</v>
      </c>
      <c r="M647" s="314">
        <f t="shared" ref="M647:M710" si="133">J647/G647%</f>
        <v>0</v>
      </c>
      <c r="N647" s="314">
        <f t="shared" ref="N647:N710" si="134">K647/G647*100</f>
        <v>0</v>
      </c>
    </row>
    <row r="648" spans="1:14" ht="34" outlineLevel="3" x14ac:dyDescent="0.3">
      <c r="A648" s="213" t="s">
        <v>37</v>
      </c>
      <c r="B648" s="214" t="s">
        <v>490</v>
      </c>
      <c r="C648" s="214" t="s">
        <v>250</v>
      </c>
      <c r="D648" s="293" t="s">
        <v>150</v>
      </c>
      <c r="E648" s="293" t="s">
        <v>38</v>
      </c>
      <c r="F648" s="294">
        <v>77499.75</v>
      </c>
      <c r="G648" s="237">
        <f t="shared" si="132"/>
        <v>85500</v>
      </c>
      <c r="H648" s="215">
        <f t="shared" si="132"/>
        <v>39360</v>
      </c>
      <c r="I648" s="215">
        <f t="shared" si="132"/>
        <v>85500</v>
      </c>
      <c r="J648" s="277">
        <f t="shared" si="132"/>
        <v>0</v>
      </c>
      <c r="K648" s="335">
        <f t="shared" si="132"/>
        <v>0</v>
      </c>
      <c r="L648" s="313">
        <f t="shared" si="131"/>
        <v>0</v>
      </c>
      <c r="M648" s="314">
        <f t="shared" si="133"/>
        <v>0</v>
      </c>
      <c r="N648" s="314">
        <f t="shared" si="134"/>
        <v>0</v>
      </c>
    </row>
    <row r="649" spans="1:14" ht="21.25" customHeight="1" outlineLevel="3" x14ac:dyDescent="0.3">
      <c r="A649" s="213" t="s">
        <v>74</v>
      </c>
      <c r="B649" s="214" t="s">
        <v>490</v>
      </c>
      <c r="C649" s="214" t="s">
        <v>250</v>
      </c>
      <c r="D649" s="293" t="s">
        <v>150</v>
      </c>
      <c r="E649" s="293" t="s">
        <v>75</v>
      </c>
      <c r="F649" s="294">
        <v>77499.75</v>
      </c>
      <c r="G649" s="238">
        <v>85500</v>
      </c>
      <c r="H649" s="218">
        <v>39360</v>
      </c>
      <c r="I649" s="217">
        <v>85500</v>
      </c>
      <c r="J649" s="278">
        <v>0</v>
      </c>
      <c r="K649" s="336">
        <v>0</v>
      </c>
      <c r="L649" s="313">
        <f t="shared" si="131"/>
        <v>0</v>
      </c>
      <c r="M649" s="314">
        <f t="shared" si="133"/>
        <v>0</v>
      </c>
      <c r="N649" s="314">
        <f t="shared" si="134"/>
        <v>0</v>
      </c>
    </row>
    <row r="650" spans="1:14" ht="50.95" outlineLevel="3" x14ac:dyDescent="0.3">
      <c r="A650" s="213" t="s">
        <v>674</v>
      </c>
      <c r="B650" s="214" t="s">
        <v>490</v>
      </c>
      <c r="C650" s="214" t="s">
        <v>250</v>
      </c>
      <c r="D650" s="293" t="s">
        <v>675</v>
      </c>
      <c r="E650" s="293" t="s">
        <v>6</v>
      </c>
      <c r="F650" s="294">
        <v>258415.02</v>
      </c>
      <c r="G650" s="238">
        <f t="shared" ref="G650:K651" si="135">G651</f>
        <v>1203000</v>
      </c>
      <c r="H650" s="217">
        <f t="shared" si="135"/>
        <v>509453.59</v>
      </c>
      <c r="I650" s="217">
        <f t="shared" si="135"/>
        <v>1203000</v>
      </c>
      <c r="J650" s="238">
        <f t="shared" si="135"/>
        <v>1736190</v>
      </c>
      <c r="K650" s="331">
        <f t="shared" si="135"/>
        <v>1736190</v>
      </c>
      <c r="L650" s="313">
        <f t="shared" si="131"/>
        <v>0</v>
      </c>
      <c r="M650" s="314">
        <f t="shared" si="133"/>
        <v>144.32169576059852</v>
      </c>
      <c r="N650" s="314">
        <f t="shared" si="134"/>
        <v>144.32169576059849</v>
      </c>
    </row>
    <row r="651" spans="1:14" ht="34" outlineLevel="3" x14ac:dyDescent="0.3">
      <c r="A651" s="213" t="s">
        <v>37</v>
      </c>
      <c r="B651" s="214" t="s">
        <v>490</v>
      </c>
      <c r="C651" s="214" t="s">
        <v>250</v>
      </c>
      <c r="D651" s="293" t="s">
        <v>676</v>
      </c>
      <c r="E651" s="293" t="s">
        <v>38</v>
      </c>
      <c r="F651" s="294">
        <v>258415.02</v>
      </c>
      <c r="G651" s="238">
        <f t="shared" si="135"/>
        <v>1203000</v>
      </c>
      <c r="H651" s="217">
        <f t="shared" si="135"/>
        <v>509453.59</v>
      </c>
      <c r="I651" s="217">
        <f t="shared" si="135"/>
        <v>1203000</v>
      </c>
      <c r="J651" s="238">
        <f t="shared" si="135"/>
        <v>1736190</v>
      </c>
      <c r="K651" s="331">
        <f t="shared" si="135"/>
        <v>1736190</v>
      </c>
      <c r="L651" s="313">
        <f t="shared" si="131"/>
        <v>0</v>
      </c>
      <c r="M651" s="314">
        <f t="shared" si="133"/>
        <v>144.32169576059852</v>
      </c>
      <c r="N651" s="314">
        <f t="shared" si="134"/>
        <v>144.32169576059849</v>
      </c>
    </row>
    <row r="652" spans="1:14" ht="21.75" customHeight="1" outlineLevel="3" x14ac:dyDescent="0.3">
      <c r="A652" s="213" t="s">
        <v>74</v>
      </c>
      <c r="B652" s="214" t="s">
        <v>490</v>
      </c>
      <c r="C652" s="214" t="s">
        <v>250</v>
      </c>
      <c r="D652" s="293" t="s">
        <v>676</v>
      </c>
      <c r="E652" s="293" t="s">
        <v>75</v>
      </c>
      <c r="F652" s="294">
        <v>258415.02</v>
      </c>
      <c r="G652" s="238">
        <v>1203000</v>
      </c>
      <c r="H652" s="218">
        <v>509453.59</v>
      </c>
      <c r="I652" s="217">
        <v>1203000</v>
      </c>
      <c r="J652" s="238">
        <v>1736190</v>
      </c>
      <c r="K652" s="331">
        <v>1736190</v>
      </c>
      <c r="L652" s="313">
        <f t="shared" si="131"/>
        <v>0</v>
      </c>
      <c r="M652" s="314">
        <f t="shared" si="133"/>
        <v>144.32169576059852</v>
      </c>
      <c r="N652" s="314">
        <f t="shared" si="134"/>
        <v>144.32169576059849</v>
      </c>
    </row>
    <row r="653" spans="1:14" ht="50.95" outlineLevel="3" x14ac:dyDescent="0.3">
      <c r="A653" s="225" t="s">
        <v>415</v>
      </c>
      <c r="B653" s="214" t="s">
        <v>490</v>
      </c>
      <c r="C653" s="214" t="s">
        <v>250</v>
      </c>
      <c r="D653" s="293" t="s">
        <v>658</v>
      </c>
      <c r="E653" s="293" t="s">
        <v>6</v>
      </c>
      <c r="F653" s="294">
        <v>52000</v>
      </c>
      <c r="G653" s="238">
        <f t="shared" ref="G653:I654" si="136">G654</f>
        <v>0</v>
      </c>
      <c r="H653" s="217">
        <f t="shared" si="136"/>
        <v>0</v>
      </c>
      <c r="I653" s="217">
        <f t="shared" si="136"/>
        <v>100000</v>
      </c>
      <c r="J653" s="238">
        <v>0</v>
      </c>
      <c r="K653" s="331">
        <v>0</v>
      </c>
      <c r="L653" s="313">
        <f t="shared" si="131"/>
        <v>0</v>
      </c>
      <c r="M653" s="314"/>
      <c r="N653" s="314"/>
    </row>
    <row r="654" spans="1:14" ht="34" outlineLevel="3" x14ac:dyDescent="0.3">
      <c r="A654" s="213" t="s">
        <v>37</v>
      </c>
      <c r="B654" s="214" t="s">
        <v>490</v>
      </c>
      <c r="C654" s="214" t="s">
        <v>250</v>
      </c>
      <c r="D654" s="293" t="s">
        <v>658</v>
      </c>
      <c r="E654" s="293" t="s">
        <v>38</v>
      </c>
      <c r="F654" s="294">
        <v>52000</v>
      </c>
      <c r="G654" s="238">
        <f t="shared" si="136"/>
        <v>0</v>
      </c>
      <c r="H654" s="217">
        <f t="shared" si="136"/>
        <v>0</v>
      </c>
      <c r="I654" s="217">
        <f t="shared" si="136"/>
        <v>100000</v>
      </c>
      <c r="J654" s="238">
        <v>0</v>
      </c>
      <c r="K654" s="331">
        <v>0</v>
      </c>
      <c r="L654" s="313">
        <f t="shared" si="131"/>
        <v>0</v>
      </c>
      <c r="M654" s="314"/>
      <c r="N654" s="314"/>
    </row>
    <row r="655" spans="1:14" ht="17.7" outlineLevel="3" thickBot="1" x14ac:dyDescent="0.35">
      <c r="A655" s="213" t="s">
        <v>74</v>
      </c>
      <c r="B655" s="214" t="s">
        <v>490</v>
      </c>
      <c r="C655" s="214" t="s">
        <v>250</v>
      </c>
      <c r="D655" s="293" t="s">
        <v>658</v>
      </c>
      <c r="E655" s="293" t="s">
        <v>75</v>
      </c>
      <c r="F655" s="294">
        <v>52000</v>
      </c>
      <c r="G655" s="238">
        <v>0</v>
      </c>
      <c r="H655" s="217">
        <v>0</v>
      </c>
      <c r="I655" s="217">
        <v>100000</v>
      </c>
      <c r="J655" s="238">
        <v>0</v>
      </c>
      <c r="K655" s="331">
        <v>0</v>
      </c>
      <c r="L655" s="313">
        <f t="shared" si="131"/>
        <v>0</v>
      </c>
      <c r="M655" s="314"/>
      <c r="N655" s="314"/>
    </row>
    <row r="656" spans="1:14" ht="51.65" outlineLevel="3" thickBot="1" x14ac:dyDescent="0.35">
      <c r="A656" s="241" t="s">
        <v>806</v>
      </c>
      <c r="B656" s="214" t="s">
        <v>490</v>
      </c>
      <c r="C656" s="214" t="s">
        <v>250</v>
      </c>
      <c r="D656" s="293" t="s">
        <v>842</v>
      </c>
      <c r="E656" s="293" t="s">
        <v>6</v>
      </c>
      <c r="F656" s="294"/>
      <c r="G656" s="238">
        <f>G657</f>
        <v>460000</v>
      </c>
      <c r="H656" s="217">
        <f>H657</f>
        <v>132600</v>
      </c>
      <c r="I656" s="217"/>
      <c r="J656" s="238">
        <v>0</v>
      </c>
      <c r="K656" s="331">
        <v>0</v>
      </c>
      <c r="L656" s="313">
        <f t="shared" si="131"/>
        <v>0</v>
      </c>
      <c r="M656" s="314"/>
      <c r="N656" s="314"/>
    </row>
    <row r="657" spans="1:14" ht="34" outlineLevel="3" x14ac:dyDescent="0.3">
      <c r="A657" s="213" t="s">
        <v>37</v>
      </c>
      <c r="B657" s="214" t="s">
        <v>490</v>
      </c>
      <c r="C657" s="214" t="s">
        <v>250</v>
      </c>
      <c r="D657" s="293" t="s">
        <v>843</v>
      </c>
      <c r="E657" s="293" t="s">
        <v>38</v>
      </c>
      <c r="F657" s="294"/>
      <c r="G657" s="238">
        <f>G658</f>
        <v>460000</v>
      </c>
      <c r="H657" s="217">
        <f>H658</f>
        <v>132600</v>
      </c>
      <c r="I657" s="217"/>
      <c r="J657" s="238">
        <v>0</v>
      </c>
      <c r="K657" s="331">
        <v>0</v>
      </c>
      <c r="L657" s="313">
        <f t="shared" si="131"/>
        <v>0</v>
      </c>
      <c r="M657" s="314"/>
      <c r="N657" s="314"/>
    </row>
    <row r="658" spans="1:14" outlineLevel="3" x14ac:dyDescent="0.3">
      <c r="A658" s="213" t="s">
        <v>74</v>
      </c>
      <c r="B658" s="214" t="s">
        <v>490</v>
      </c>
      <c r="C658" s="214" t="s">
        <v>250</v>
      </c>
      <c r="D658" s="293" t="s">
        <v>843</v>
      </c>
      <c r="E658" s="293" t="s">
        <v>75</v>
      </c>
      <c r="F658" s="294"/>
      <c r="G658" s="238">
        <v>460000</v>
      </c>
      <c r="H658" s="217">
        <v>132600</v>
      </c>
      <c r="I658" s="217"/>
      <c r="J658" s="238">
        <v>0</v>
      </c>
      <c r="K658" s="331">
        <v>0</v>
      </c>
      <c r="L658" s="313">
        <f t="shared" si="131"/>
        <v>0</v>
      </c>
      <c r="M658" s="314"/>
      <c r="N658" s="314"/>
    </row>
    <row r="659" spans="1:14" outlineLevel="3" x14ac:dyDescent="0.3">
      <c r="A659" s="213" t="s">
        <v>76</v>
      </c>
      <c r="B659" s="214" t="s">
        <v>490</v>
      </c>
      <c r="C659" s="214" t="s">
        <v>77</v>
      </c>
      <c r="D659" s="293" t="s">
        <v>126</v>
      </c>
      <c r="E659" s="293" t="s">
        <v>6</v>
      </c>
      <c r="F659" s="294">
        <v>1754985.46</v>
      </c>
      <c r="G659" s="237">
        <f>G660</f>
        <v>2042300</v>
      </c>
      <c r="H659" s="215">
        <f>H660</f>
        <v>1919444.25</v>
      </c>
      <c r="I659" s="215">
        <f>I660</f>
        <v>2042300</v>
      </c>
      <c r="J659" s="237">
        <f>J660</f>
        <v>2803119.25</v>
      </c>
      <c r="K659" s="330">
        <f>K660</f>
        <v>2803119.25</v>
      </c>
      <c r="L659" s="313">
        <f t="shared" si="131"/>
        <v>0</v>
      </c>
      <c r="M659" s="314">
        <f t="shared" si="133"/>
        <v>137.25306027517993</v>
      </c>
      <c r="N659" s="314">
        <f t="shared" si="134"/>
        <v>137.25306027517993</v>
      </c>
    </row>
    <row r="660" spans="1:14" ht="34" outlineLevel="3" x14ac:dyDescent="0.3">
      <c r="A660" s="219" t="s">
        <v>720</v>
      </c>
      <c r="B660" s="220" t="s">
        <v>490</v>
      </c>
      <c r="C660" s="220" t="s">
        <v>77</v>
      </c>
      <c r="D660" s="295" t="s">
        <v>138</v>
      </c>
      <c r="E660" s="295" t="s">
        <v>6</v>
      </c>
      <c r="F660" s="294">
        <v>1754985.46</v>
      </c>
      <c r="G660" s="273">
        <f>G661+G675</f>
        <v>2042300</v>
      </c>
      <c r="H660" s="221">
        <f>H661+H675</f>
        <v>1919444.25</v>
      </c>
      <c r="I660" s="221">
        <f>I661+I675</f>
        <v>2042300</v>
      </c>
      <c r="J660" s="273">
        <f>J661+J675</f>
        <v>2803119.25</v>
      </c>
      <c r="K660" s="333">
        <f>K661+K675</f>
        <v>2803119.25</v>
      </c>
      <c r="L660" s="313">
        <f t="shared" si="131"/>
        <v>0</v>
      </c>
      <c r="M660" s="314">
        <f t="shared" si="133"/>
        <v>137.25306027517993</v>
      </c>
      <c r="N660" s="314">
        <f t="shared" si="134"/>
        <v>137.25306027517993</v>
      </c>
    </row>
    <row r="661" spans="1:14" ht="50.95" outlineLevel="3" x14ac:dyDescent="0.3">
      <c r="A661" s="213" t="s">
        <v>727</v>
      </c>
      <c r="B661" s="214" t="s">
        <v>490</v>
      </c>
      <c r="C661" s="214" t="s">
        <v>77</v>
      </c>
      <c r="D661" s="293" t="s">
        <v>146</v>
      </c>
      <c r="E661" s="293" t="s">
        <v>6</v>
      </c>
      <c r="F661" s="294">
        <v>69978.509999999995</v>
      </c>
      <c r="G661" s="237">
        <f>G662+G666</f>
        <v>1917300</v>
      </c>
      <c r="H661" s="215">
        <f>H662+H666</f>
        <v>1858488.25</v>
      </c>
      <c r="I661" s="215">
        <f>I662+I666</f>
        <v>1917300</v>
      </c>
      <c r="J661" s="237">
        <f>J662+J666</f>
        <v>2678119.25</v>
      </c>
      <c r="K661" s="330">
        <f>K662+K666</f>
        <v>2678119.25</v>
      </c>
      <c r="L661" s="313">
        <f t="shared" si="131"/>
        <v>0</v>
      </c>
      <c r="M661" s="314">
        <f t="shared" si="133"/>
        <v>139.68180514264853</v>
      </c>
      <c r="N661" s="314">
        <f t="shared" si="134"/>
        <v>139.68180514264853</v>
      </c>
    </row>
    <row r="662" spans="1:14" ht="34" outlineLevel="7" x14ac:dyDescent="0.3">
      <c r="A662" s="225" t="s">
        <v>204</v>
      </c>
      <c r="B662" s="214" t="s">
        <v>490</v>
      </c>
      <c r="C662" s="214" t="s">
        <v>77</v>
      </c>
      <c r="D662" s="293" t="s">
        <v>217</v>
      </c>
      <c r="E662" s="293" t="s">
        <v>6</v>
      </c>
      <c r="F662" s="294">
        <v>69978.509999999995</v>
      </c>
      <c r="G662" s="237">
        <f t="shared" ref="G662:K664" si="137">G663</f>
        <v>70000</v>
      </c>
      <c r="H662" s="215">
        <f t="shared" si="137"/>
        <v>53268</v>
      </c>
      <c r="I662" s="215">
        <f t="shared" si="137"/>
        <v>70000</v>
      </c>
      <c r="J662" s="237">
        <f t="shared" si="137"/>
        <v>70000</v>
      </c>
      <c r="K662" s="330">
        <f t="shared" si="137"/>
        <v>70000</v>
      </c>
      <c r="L662" s="313">
        <f t="shared" si="131"/>
        <v>0</v>
      </c>
      <c r="M662" s="314">
        <f t="shared" si="133"/>
        <v>100</v>
      </c>
      <c r="N662" s="314">
        <f t="shared" si="134"/>
        <v>100</v>
      </c>
    </row>
    <row r="663" spans="1:14" outlineLevel="7" x14ac:dyDescent="0.3">
      <c r="A663" s="213" t="s">
        <v>395</v>
      </c>
      <c r="B663" s="214" t="s">
        <v>490</v>
      </c>
      <c r="C663" s="214" t="s">
        <v>77</v>
      </c>
      <c r="D663" s="293" t="s">
        <v>232</v>
      </c>
      <c r="E663" s="293" t="s">
        <v>6</v>
      </c>
      <c r="F663" s="294">
        <v>69978.509999999995</v>
      </c>
      <c r="G663" s="237">
        <f t="shared" si="137"/>
        <v>70000</v>
      </c>
      <c r="H663" s="215">
        <f t="shared" si="137"/>
        <v>53268</v>
      </c>
      <c r="I663" s="215">
        <f t="shared" si="137"/>
        <v>70000</v>
      </c>
      <c r="J663" s="237">
        <f t="shared" si="137"/>
        <v>70000</v>
      </c>
      <c r="K663" s="330">
        <f t="shared" si="137"/>
        <v>70000</v>
      </c>
      <c r="L663" s="313">
        <f t="shared" si="131"/>
        <v>0</v>
      </c>
      <c r="M663" s="314">
        <f t="shared" si="133"/>
        <v>100</v>
      </c>
      <c r="N663" s="314">
        <f t="shared" si="134"/>
        <v>100</v>
      </c>
    </row>
    <row r="664" spans="1:14" ht="23.3" customHeight="1" outlineLevel="7" x14ac:dyDescent="0.3">
      <c r="A664" s="213" t="s">
        <v>15</v>
      </c>
      <c r="B664" s="214" t="s">
        <v>490</v>
      </c>
      <c r="C664" s="214" t="s">
        <v>77</v>
      </c>
      <c r="D664" s="293" t="s">
        <v>232</v>
      </c>
      <c r="E664" s="293" t="s">
        <v>16</v>
      </c>
      <c r="F664" s="294">
        <v>69978.509999999995</v>
      </c>
      <c r="G664" s="237">
        <f t="shared" si="137"/>
        <v>70000</v>
      </c>
      <c r="H664" s="215">
        <f t="shared" si="137"/>
        <v>53268</v>
      </c>
      <c r="I664" s="215">
        <f t="shared" si="137"/>
        <v>70000</v>
      </c>
      <c r="J664" s="237">
        <f t="shared" si="137"/>
        <v>70000</v>
      </c>
      <c r="K664" s="330">
        <f t="shared" si="137"/>
        <v>70000</v>
      </c>
      <c r="L664" s="313">
        <f t="shared" si="131"/>
        <v>0</v>
      </c>
      <c r="M664" s="314">
        <f t="shared" si="133"/>
        <v>100</v>
      </c>
      <c r="N664" s="314">
        <f t="shared" si="134"/>
        <v>100</v>
      </c>
    </row>
    <row r="665" spans="1:14" ht="34" outlineLevel="2" x14ac:dyDescent="0.3">
      <c r="A665" s="213" t="s">
        <v>17</v>
      </c>
      <c r="B665" s="214" t="s">
        <v>490</v>
      </c>
      <c r="C665" s="214" t="s">
        <v>77</v>
      </c>
      <c r="D665" s="293" t="s">
        <v>232</v>
      </c>
      <c r="E665" s="293" t="s">
        <v>18</v>
      </c>
      <c r="F665" s="294">
        <v>69978.509999999995</v>
      </c>
      <c r="G665" s="238">
        <v>70000</v>
      </c>
      <c r="H665" s="218">
        <v>53268</v>
      </c>
      <c r="I665" s="217">
        <v>70000</v>
      </c>
      <c r="J665" s="238">
        <v>70000</v>
      </c>
      <c r="K665" s="331">
        <v>70000</v>
      </c>
      <c r="L665" s="313">
        <f t="shared" si="131"/>
        <v>0</v>
      </c>
      <c r="M665" s="314">
        <f t="shared" si="133"/>
        <v>100</v>
      </c>
      <c r="N665" s="314">
        <f t="shared" si="134"/>
        <v>100</v>
      </c>
    </row>
    <row r="666" spans="1:14" s="224" customFormat="1" ht="34" outlineLevel="3" x14ac:dyDescent="0.3">
      <c r="A666" s="225" t="s">
        <v>267</v>
      </c>
      <c r="B666" s="214" t="s">
        <v>490</v>
      </c>
      <c r="C666" s="214" t="s">
        <v>77</v>
      </c>
      <c r="D666" s="293" t="s">
        <v>220</v>
      </c>
      <c r="E666" s="293" t="s">
        <v>6</v>
      </c>
      <c r="F666" s="294">
        <v>1561006.95</v>
      </c>
      <c r="G666" s="238">
        <f>G667</f>
        <v>1847300</v>
      </c>
      <c r="H666" s="217">
        <f>H667</f>
        <v>1805220.25</v>
      </c>
      <c r="I666" s="217">
        <f>I667</f>
        <v>1847300</v>
      </c>
      <c r="J666" s="238">
        <f>J667</f>
        <v>2608119.25</v>
      </c>
      <c r="K666" s="331">
        <f>K667</f>
        <v>2608119.25</v>
      </c>
      <c r="L666" s="313">
        <f t="shared" si="131"/>
        <v>0</v>
      </c>
      <c r="M666" s="314">
        <f t="shared" si="133"/>
        <v>141.18547339360148</v>
      </c>
      <c r="N666" s="314">
        <f t="shared" si="134"/>
        <v>141.18547339360148</v>
      </c>
    </row>
    <row r="667" spans="1:14" s="224" customFormat="1" ht="84.9" outlineLevel="3" x14ac:dyDescent="0.3">
      <c r="A667" s="185" t="s">
        <v>378</v>
      </c>
      <c r="B667" s="214" t="s">
        <v>490</v>
      </c>
      <c r="C667" s="214" t="s">
        <v>77</v>
      </c>
      <c r="D667" s="293" t="s">
        <v>152</v>
      </c>
      <c r="E667" s="293" t="s">
        <v>6</v>
      </c>
      <c r="F667" s="294">
        <v>1561006.95</v>
      </c>
      <c r="G667" s="237">
        <f>G668+G672+G670</f>
        <v>1847300</v>
      </c>
      <c r="H667" s="215">
        <f>H668+H672+H670</f>
        <v>1805220.25</v>
      </c>
      <c r="I667" s="215">
        <f>I668+I672+I670</f>
        <v>1847300</v>
      </c>
      <c r="J667" s="237">
        <v>2608119.25</v>
      </c>
      <c r="K667" s="237">
        <f>K668+K672+K670</f>
        <v>2608119.25</v>
      </c>
      <c r="L667" s="313">
        <f t="shared" si="131"/>
        <v>0</v>
      </c>
      <c r="M667" s="314">
        <f t="shared" si="133"/>
        <v>141.18547339360148</v>
      </c>
      <c r="N667" s="314">
        <f t="shared" si="134"/>
        <v>141.18547339360148</v>
      </c>
    </row>
    <row r="668" spans="1:14" ht="34" outlineLevel="5" x14ac:dyDescent="0.3">
      <c r="A668" s="213" t="s">
        <v>15</v>
      </c>
      <c r="B668" s="214" t="s">
        <v>490</v>
      </c>
      <c r="C668" s="214" t="s">
        <v>77</v>
      </c>
      <c r="D668" s="293" t="s">
        <v>152</v>
      </c>
      <c r="E668" s="293" t="s">
        <v>16</v>
      </c>
      <c r="F668" s="294">
        <v>0</v>
      </c>
      <c r="G668" s="237">
        <f>G669</f>
        <v>2000</v>
      </c>
      <c r="H668" s="215">
        <f>H669</f>
        <v>0</v>
      </c>
      <c r="I668" s="215">
        <f>I669</f>
        <v>2000</v>
      </c>
      <c r="J668" s="237">
        <f>J669</f>
        <v>2608119.25</v>
      </c>
      <c r="K668" s="330">
        <f>K669</f>
        <v>2000</v>
      </c>
      <c r="L668" s="313">
        <f t="shared" si="131"/>
        <v>-2606119.25</v>
      </c>
      <c r="M668" s="314"/>
      <c r="N668" s="314">
        <f t="shared" si="134"/>
        <v>100</v>
      </c>
    </row>
    <row r="669" spans="1:14" ht="34" outlineLevel="6" x14ac:dyDescent="0.3">
      <c r="A669" s="213" t="s">
        <v>17</v>
      </c>
      <c r="B669" s="214" t="s">
        <v>490</v>
      </c>
      <c r="C669" s="214" t="s">
        <v>77</v>
      </c>
      <c r="D669" s="293" t="s">
        <v>152</v>
      </c>
      <c r="E669" s="293" t="s">
        <v>18</v>
      </c>
      <c r="F669" s="294">
        <v>0</v>
      </c>
      <c r="G669" s="238">
        <v>2000</v>
      </c>
      <c r="H669" s="217">
        <v>0</v>
      </c>
      <c r="I669" s="217">
        <v>2000</v>
      </c>
      <c r="J669" s="238">
        <v>2608119.25</v>
      </c>
      <c r="K669" s="331">
        <v>2000</v>
      </c>
      <c r="L669" s="313">
        <f t="shared" si="131"/>
        <v>-2606119.25</v>
      </c>
      <c r="M669" s="314"/>
      <c r="N669" s="314">
        <f t="shared" si="134"/>
        <v>100</v>
      </c>
    </row>
    <row r="670" spans="1:14" outlineLevel="7" x14ac:dyDescent="0.3">
      <c r="A670" s="213" t="s">
        <v>90</v>
      </c>
      <c r="B670" s="214" t="s">
        <v>490</v>
      </c>
      <c r="C670" s="214" t="s">
        <v>77</v>
      </c>
      <c r="D670" s="293" t="s">
        <v>152</v>
      </c>
      <c r="E670" s="293" t="s">
        <v>91</v>
      </c>
      <c r="F670" s="294">
        <v>194977.5</v>
      </c>
      <c r="G670" s="237">
        <f>G671</f>
        <v>320000</v>
      </c>
      <c r="H670" s="215">
        <f>H671</f>
        <v>280851.25</v>
      </c>
      <c r="I670" s="215">
        <f>I671</f>
        <v>320000</v>
      </c>
      <c r="J670" s="237">
        <f>J671</f>
        <v>0</v>
      </c>
      <c r="K670" s="330">
        <f>K671</f>
        <v>320000</v>
      </c>
      <c r="L670" s="313">
        <f t="shared" si="131"/>
        <v>320000</v>
      </c>
      <c r="M670" s="314">
        <f t="shared" si="133"/>
        <v>0</v>
      </c>
      <c r="N670" s="314">
        <f t="shared" si="134"/>
        <v>100</v>
      </c>
    </row>
    <row r="671" spans="1:14" ht="34" outlineLevel="6" x14ac:dyDescent="0.3">
      <c r="A671" s="213" t="s">
        <v>97</v>
      </c>
      <c r="B671" s="214" t="s">
        <v>490</v>
      </c>
      <c r="C671" s="214" t="s">
        <v>77</v>
      </c>
      <c r="D671" s="293" t="s">
        <v>152</v>
      </c>
      <c r="E671" s="293" t="s">
        <v>98</v>
      </c>
      <c r="F671" s="294">
        <v>194977.5</v>
      </c>
      <c r="G671" s="238">
        <v>320000</v>
      </c>
      <c r="H671" s="218">
        <v>280851.25</v>
      </c>
      <c r="I671" s="217">
        <v>320000</v>
      </c>
      <c r="J671" s="238">
        <v>0</v>
      </c>
      <c r="K671" s="331">
        <v>320000</v>
      </c>
      <c r="L671" s="313">
        <f t="shared" si="131"/>
        <v>320000</v>
      </c>
      <c r="M671" s="314">
        <f t="shared" si="133"/>
        <v>0</v>
      </c>
      <c r="N671" s="314">
        <f t="shared" si="134"/>
        <v>100</v>
      </c>
    </row>
    <row r="672" spans="1:14" ht="21.25" customHeight="1" outlineLevel="7" x14ac:dyDescent="0.3">
      <c r="A672" s="213" t="s">
        <v>37</v>
      </c>
      <c r="B672" s="214" t="s">
        <v>490</v>
      </c>
      <c r="C672" s="214" t="s">
        <v>77</v>
      </c>
      <c r="D672" s="293" t="s">
        <v>152</v>
      </c>
      <c r="E672" s="293" t="s">
        <v>38</v>
      </c>
      <c r="F672" s="294">
        <v>1366029.45</v>
      </c>
      <c r="G672" s="237">
        <f>G673</f>
        <v>1525300</v>
      </c>
      <c r="H672" s="216">
        <v>1524369</v>
      </c>
      <c r="I672" s="215">
        <f>I673</f>
        <v>1525300</v>
      </c>
      <c r="J672" s="237">
        <f>J673</f>
        <v>0</v>
      </c>
      <c r="K672" s="330">
        <f>K673</f>
        <v>2286119.25</v>
      </c>
      <c r="L672" s="313">
        <f t="shared" si="131"/>
        <v>2286119.25</v>
      </c>
      <c r="M672" s="314">
        <f t="shared" si="133"/>
        <v>0</v>
      </c>
      <c r="N672" s="314">
        <f t="shared" si="134"/>
        <v>149.87997443125943</v>
      </c>
    </row>
    <row r="673" spans="1:14" outlineLevel="7" x14ac:dyDescent="0.3">
      <c r="A673" s="213" t="s">
        <v>74</v>
      </c>
      <c r="B673" s="214" t="s">
        <v>490</v>
      </c>
      <c r="C673" s="214" t="s">
        <v>77</v>
      </c>
      <c r="D673" s="293" t="s">
        <v>152</v>
      </c>
      <c r="E673" s="293" t="s">
        <v>75</v>
      </c>
      <c r="F673" s="294">
        <v>1366029.45</v>
      </c>
      <c r="G673" s="238">
        <v>1525300</v>
      </c>
      <c r="H673" s="218">
        <v>1524369</v>
      </c>
      <c r="I673" s="217">
        <v>1525300</v>
      </c>
      <c r="J673" s="238">
        <v>0</v>
      </c>
      <c r="K673" s="331">
        <v>2286119.25</v>
      </c>
      <c r="L673" s="313">
        <f t="shared" si="131"/>
        <v>2286119.25</v>
      </c>
      <c r="M673" s="314">
        <f t="shared" si="133"/>
        <v>0</v>
      </c>
      <c r="N673" s="314">
        <f t="shared" si="134"/>
        <v>149.87997443125943</v>
      </c>
    </row>
    <row r="674" spans="1:14" ht="34" outlineLevel="7" x14ac:dyDescent="0.3">
      <c r="A674" s="189" t="s">
        <v>234</v>
      </c>
      <c r="B674" s="214" t="s">
        <v>490</v>
      </c>
      <c r="C674" s="214" t="s">
        <v>77</v>
      </c>
      <c r="D674" s="293" t="s">
        <v>233</v>
      </c>
      <c r="E674" s="293" t="s">
        <v>6</v>
      </c>
      <c r="F674" s="294">
        <v>124000</v>
      </c>
      <c r="G674" s="238">
        <f t="shared" ref="G674:K676" si="138">G675</f>
        <v>125000</v>
      </c>
      <c r="H674" s="217">
        <f t="shared" si="138"/>
        <v>60956</v>
      </c>
      <c r="I674" s="217">
        <f t="shared" si="138"/>
        <v>125000</v>
      </c>
      <c r="J674" s="238">
        <f t="shared" si="138"/>
        <v>125000</v>
      </c>
      <c r="K674" s="331">
        <f t="shared" si="138"/>
        <v>125000</v>
      </c>
      <c r="L674" s="313">
        <f t="shared" si="131"/>
        <v>0</v>
      </c>
      <c r="M674" s="314">
        <f t="shared" si="133"/>
        <v>100</v>
      </c>
      <c r="N674" s="314">
        <f t="shared" si="134"/>
        <v>100</v>
      </c>
    </row>
    <row r="675" spans="1:14" outlineLevel="5" x14ac:dyDescent="0.3">
      <c r="A675" s="213" t="s">
        <v>78</v>
      </c>
      <c r="B675" s="214" t="s">
        <v>490</v>
      </c>
      <c r="C675" s="214" t="s">
        <v>77</v>
      </c>
      <c r="D675" s="293" t="s">
        <v>153</v>
      </c>
      <c r="E675" s="293" t="s">
        <v>6</v>
      </c>
      <c r="F675" s="294">
        <v>124000</v>
      </c>
      <c r="G675" s="237">
        <f t="shared" si="138"/>
        <v>125000</v>
      </c>
      <c r="H675" s="215">
        <f t="shared" si="138"/>
        <v>60956</v>
      </c>
      <c r="I675" s="215">
        <f t="shared" si="138"/>
        <v>125000</v>
      </c>
      <c r="J675" s="237">
        <f t="shared" si="138"/>
        <v>125000</v>
      </c>
      <c r="K675" s="330">
        <f t="shared" si="138"/>
        <v>125000</v>
      </c>
      <c r="L675" s="313">
        <f t="shared" si="131"/>
        <v>0</v>
      </c>
      <c r="M675" s="314">
        <f t="shared" si="133"/>
        <v>100</v>
      </c>
      <c r="N675" s="314">
        <f t="shared" si="134"/>
        <v>100</v>
      </c>
    </row>
    <row r="676" spans="1:14" ht="34" outlineLevel="6" x14ac:dyDescent="0.3">
      <c r="A676" s="213" t="s">
        <v>15</v>
      </c>
      <c r="B676" s="214" t="s">
        <v>490</v>
      </c>
      <c r="C676" s="214" t="s">
        <v>77</v>
      </c>
      <c r="D676" s="293" t="s">
        <v>153</v>
      </c>
      <c r="E676" s="293" t="s">
        <v>16</v>
      </c>
      <c r="F676" s="294">
        <v>124000</v>
      </c>
      <c r="G676" s="237">
        <f t="shared" si="138"/>
        <v>125000</v>
      </c>
      <c r="H676" s="215">
        <f t="shared" si="138"/>
        <v>60956</v>
      </c>
      <c r="I676" s="215">
        <f t="shared" si="138"/>
        <v>125000</v>
      </c>
      <c r="J676" s="237">
        <f t="shared" si="138"/>
        <v>125000</v>
      </c>
      <c r="K676" s="330">
        <f t="shared" si="138"/>
        <v>125000</v>
      </c>
      <c r="L676" s="313">
        <f t="shared" si="131"/>
        <v>0</v>
      </c>
      <c r="M676" s="314">
        <f t="shared" si="133"/>
        <v>100</v>
      </c>
      <c r="N676" s="314">
        <f t="shared" si="134"/>
        <v>100</v>
      </c>
    </row>
    <row r="677" spans="1:14" ht="34" outlineLevel="7" x14ac:dyDescent="0.3">
      <c r="A677" s="213" t="s">
        <v>17</v>
      </c>
      <c r="B677" s="214" t="s">
        <v>490</v>
      </c>
      <c r="C677" s="214" t="s">
        <v>77</v>
      </c>
      <c r="D677" s="293" t="s">
        <v>153</v>
      </c>
      <c r="E677" s="293" t="s">
        <v>18</v>
      </c>
      <c r="F677" s="294">
        <v>124000</v>
      </c>
      <c r="G677" s="238">
        <v>125000</v>
      </c>
      <c r="H677" s="218">
        <v>60956</v>
      </c>
      <c r="I677" s="217">
        <v>125000</v>
      </c>
      <c r="J677" s="238">
        <v>125000</v>
      </c>
      <c r="K677" s="331">
        <v>125000</v>
      </c>
      <c r="L677" s="313">
        <f t="shared" si="131"/>
        <v>0</v>
      </c>
      <c r="M677" s="314">
        <f t="shared" si="133"/>
        <v>100</v>
      </c>
      <c r="N677" s="314">
        <f t="shared" si="134"/>
        <v>100</v>
      </c>
    </row>
    <row r="678" spans="1:14" outlineLevel="6" x14ac:dyDescent="0.3">
      <c r="A678" s="213" t="s">
        <v>116</v>
      </c>
      <c r="B678" s="214" t="s">
        <v>490</v>
      </c>
      <c r="C678" s="214" t="s">
        <v>117</v>
      </c>
      <c r="D678" s="293" t="s">
        <v>126</v>
      </c>
      <c r="E678" s="293" t="s">
        <v>6</v>
      </c>
      <c r="F678" s="294">
        <v>20583160.210000001</v>
      </c>
      <c r="G678" s="237">
        <f t="shared" ref="G678:K679" si="139">G679</f>
        <v>23901235</v>
      </c>
      <c r="H678" s="215">
        <f t="shared" si="139"/>
        <v>17186408.539999999</v>
      </c>
      <c r="I678" s="215">
        <f t="shared" si="139"/>
        <v>21748475</v>
      </c>
      <c r="J678" s="237">
        <f t="shared" si="139"/>
        <v>23843513</v>
      </c>
      <c r="K678" s="330">
        <f t="shared" si="139"/>
        <v>23557565</v>
      </c>
      <c r="L678" s="313">
        <f t="shared" si="131"/>
        <v>-285948</v>
      </c>
      <c r="M678" s="314">
        <f t="shared" si="133"/>
        <v>99.758497834944507</v>
      </c>
      <c r="N678" s="314">
        <f t="shared" si="134"/>
        <v>98.562124509465718</v>
      </c>
    </row>
    <row r="679" spans="1:14" ht="46.55" customHeight="1" outlineLevel="7" x14ac:dyDescent="0.3">
      <c r="A679" s="219" t="s">
        <v>721</v>
      </c>
      <c r="B679" s="220" t="s">
        <v>490</v>
      </c>
      <c r="C679" s="220" t="s">
        <v>117</v>
      </c>
      <c r="D679" s="295" t="s">
        <v>138</v>
      </c>
      <c r="E679" s="295" t="s">
        <v>6</v>
      </c>
      <c r="F679" s="296">
        <v>20583160.210000001</v>
      </c>
      <c r="G679" s="279">
        <f t="shared" si="139"/>
        <v>23901235</v>
      </c>
      <c r="H679" s="242">
        <f t="shared" si="139"/>
        <v>17186408.539999999</v>
      </c>
      <c r="I679" s="242">
        <f t="shared" si="139"/>
        <v>21748475</v>
      </c>
      <c r="J679" s="279">
        <f t="shared" si="139"/>
        <v>23843513</v>
      </c>
      <c r="K679" s="337">
        <f t="shared" si="139"/>
        <v>23557565</v>
      </c>
      <c r="L679" s="313">
        <f t="shared" si="131"/>
        <v>-285948</v>
      </c>
      <c r="M679" s="314">
        <f t="shared" si="133"/>
        <v>99.758497834944507</v>
      </c>
      <c r="N679" s="314">
        <f t="shared" si="134"/>
        <v>98.562124509465718</v>
      </c>
    </row>
    <row r="680" spans="1:14" outlineLevel="6" x14ac:dyDescent="0.3">
      <c r="A680" s="225" t="s">
        <v>879</v>
      </c>
      <c r="B680" s="214" t="s">
        <v>490</v>
      </c>
      <c r="C680" s="214" t="s">
        <v>117</v>
      </c>
      <c r="D680" s="293" t="s">
        <v>223</v>
      </c>
      <c r="E680" s="293" t="s">
        <v>6</v>
      </c>
      <c r="F680" s="294">
        <v>20583160.210000001</v>
      </c>
      <c r="G680" s="273">
        <f>G681+G688+G695</f>
        <v>23901235</v>
      </c>
      <c r="H680" s="221">
        <f>H681+H688+H695</f>
        <v>17186408.539999999</v>
      </c>
      <c r="I680" s="221">
        <f>I681+I688+I695</f>
        <v>21748475</v>
      </c>
      <c r="J680" s="273">
        <f>J681+J688+J695</f>
        <v>23843513</v>
      </c>
      <c r="K680" s="333">
        <f>K681+K688+K695</f>
        <v>23557565</v>
      </c>
      <c r="L680" s="313">
        <f t="shared" si="131"/>
        <v>-285948</v>
      </c>
      <c r="M680" s="314">
        <f t="shared" si="133"/>
        <v>99.758497834944507</v>
      </c>
      <c r="N680" s="314">
        <f t="shared" si="134"/>
        <v>98.562124509465718</v>
      </c>
    </row>
    <row r="681" spans="1:14" ht="39.75" customHeight="1" outlineLevel="7" x14ac:dyDescent="0.3">
      <c r="A681" s="213" t="s">
        <v>449</v>
      </c>
      <c r="B681" s="214" t="s">
        <v>490</v>
      </c>
      <c r="C681" s="214" t="s">
        <v>117</v>
      </c>
      <c r="D681" s="293" t="s">
        <v>489</v>
      </c>
      <c r="E681" s="293" t="s">
        <v>6</v>
      </c>
      <c r="F681" s="294">
        <v>4679801.09</v>
      </c>
      <c r="G681" s="237">
        <f>G682+G684+G686</f>
        <v>6389242</v>
      </c>
      <c r="H681" s="215">
        <f>H682+H684+H686</f>
        <v>4957074.93</v>
      </c>
      <c r="I681" s="215">
        <f>I682+I684+I686</f>
        <v>5189242</v>
      </c>
      <c r="J681" s="237">
        <f>J682+J684+J686</f>
        <v>5880410</v>
      </c>
      <c r="K681" s="330">
        <f>K682+K684+K686</f>
        <v>5400410</v>
      </c>
      <c r="L681" s="313">
        <f t="shared" si="131"/>
        <v>-480000</v>
      </c>
      <c r="M681" s="314">
        <f t="shared" si="133"/>
        <v>92.036113204038912</v>
      </c>
      <c r="N681" s="314">
        <f t="shared" si="134"/>
        <v>84.523484945475531</v>
      </c>
    </row>
    <row r="682" spans="1:14" ht="76.75" customHeight="1" outlineLevel="3" x14ac:dyDescent="0.3">
      <c r="A682" s="213" t="s">
        <v>11</v>
      </c>
      <c r="B682" s="214" t="s">
        <v>490</v>
      </c>
      <c r="C682" s="214" t="s">
        <v>117</v>
      </c>
      <c r="D682" s="293" t="s">
        <v>489</v>
      </c>
      <c r="E682" s="293" t="s">
        <v>12</v>
      </c>
      <c r="F682" s="294">
        <v>4322530.09</v>
      </c>
      <c r="G682" s="237">
        <f>G683</f>
        <v>5089242</v>
      </c>
      <c r="H682" s="215">
        <f>H683</f>
        <v>3737020.13</v>
      </c>
      <c r="I682" s="215">
        <f>I683</f>
        <v>5089242</v>
      </c>
      <c r="J682" s="237">
        <f>J683</f>
        <v>5300410</v>
      </c>
      <c r="K682" s="330">
        <f>K683</f>
        <v>5300410</v>
      </c>
      <c r="L682" s="313">
        <f t="shared" si="131"/>
        <v>0</v>
      </c>
      <c r="M682" s="314">
        <f t="shared" si="133"/>
        <v>104.14930160522923</v>
      </c>
      <c r="N682" s="314">
        <f t="shared" si="134"/>
        <v>104.14930160522921</v>
      </c>
    </row>
    <row r="683" spans="1:14" ht="34" outlineLevel="3" x14ac:dyDescent="0.3">
      <c r="A683" s="213" t="s">
        <v>13</v>
      </c>
      <c r="B683" s="214" t="s">
        <v>490</v>
      </c>
      <c r="C683" s="214" t="s">
        <v>117</v>
      </c>
      <c r="D683" s="293" t="s">
        <v>489</v>
      </c>
      <c r="E683" s="293" t="s">
        <v>14</v>
      </c>
      <c r="F683" s="294">
        <v>4322530.09</v>
      </c>
      <c r="G683" s="238">
        <f>[2]потребность!I621</f>
        <v>5089242</v>
      </c>
      <c r="H683" s="218">
        <v>3737020.13</v>
      </c>
      <c r="I683" s="217">
        <v>5089242</v>
      </c>
      <c r="J683" s="238">
        <v>5300410</v>
      </c>
      <c r="K683" s="331">
        <v>5300410</v>
      </c>
      <c r="L683" s="313">
        <f t="shared" si="131"/>
        <v>0</v>
      </c>
      <c r="M683" s="314">
        <f t="shared" si="133"/>
        <v>104.14930160522923</v>
      </c>
      <c r="N683" s="314">
        <f t="shared" si="134"/>
        <v>104.14930160522921</v>
      </c>
    </row>
    <row r="684" spans="1:14" ht="34" outlineLevel="3" x14ac:dyDescent="0.3">
      <c r="A684" s="213" t="s">
        <v>15</v>
      </c>
      <c r="B684" s="214" t="s">
        <v>490</v>
      </c>
      <c r="C684" s="214" t="s">
        <v>117</v>
      </c>
      <c r="D684" s="293" t="s">
        <v>489</v>
      </c>
      <c r="E684" s="293" t="s">
        <v>16</v>
      </c>
      <c r="F684" s="294">
        <v>310400</v>
      </c>
      <c r="G684" s="237">
        <f>G685</f>
        <v>1300000</v>
      </c>
      <c r="H684" s="215">
        <f>H685</f>
        <v>1220054.8</v>
      </c>
      <c r="I684" s="215">
        <f>I685</f>
        <v>100000</v>
      </c>
      <c r="J684" s="237">
        <f>J685</f>
        <v>580000</v>
      </c>
      <c r="K684" s="330">
        <f>K685</f>
        <v>100000</v>
      </c>
      <c r="L684" s="313">
        <f t="shared" si="131"/>
        <v>-480000</v>
      </c>
      <c r="M684" s="314">
        <f t="shared" si="133"/>
        <v>44.615384615384613</v>
      </c>
      <c r="N684" s="314">
        <f t="shared" si="134"/>
        <v>7.6923076923076925</v>
      </c>
    </row>
    <row r="685" spans="1:14" s="224" customFormat="1" ht="46.2" customHeight="1" outlineLevel="3" x14ac:dyDescent="0.3">
      <c r="A685" s="213" t="s">
        <v>17</v>
      </c>
      <c r="B685" s="214" t="s">
        <v>490</v>
      </c>
      <c r="C685" s="214" t="s">
        <v>117</v>
      </c>
      <c r="D685" s="293" t="s">
        <v>489</v>
      </c>
      <c r="E685" s="293" t="s">
        <v>18</v>
      </c>
      <c r="F685" s="294">
        <v>310400</v>
      </c>
      <c r="G685" s="238">
        <f>[2]потребность!I623+1200000</f>
        <v>1300000</v>
      </c>
      <c r="H685" s="218">
        <v>1220054.8</v>
      </c>
      <c r="I685" s="217">
        <v>100000</v>
      </c>
      <c r="J685" s="238">
        <v>580000</v>
      </c>
      <c r="K685" s="331">
        <f>580000-420000-60000</f>
        <v>100000</v>
      </c>
      <c r="L685" s="313">
        <f t="shared" si="131"/>
        <v>-480000</v>
      </c>
      <c r="M685" s="314">
        <f t="shared" si="133"/>
        <v>44.615384615384613</v>
      </c>
      <c r="N685" s="314">
        <f t="shared" si="134"/>
        <v>7.6923076923076925</v>
      </c>
    </row>
    <row r="686" spans="1:14" outlineLevel="3" x14ac:dyDescent="0.3">
      <c r="A686" s="213" t="s">
        <v>19</v>
      </c>
      <c r="B686" s="214" t="s">
        <v>490</v>
      </c>
      <c r="C686" s="214" t="s">
        <v>117</v>
      </c>
      <c r="D686" s="293" t="s">
        <v>489</v>
      </c>
      <c r="E686" s="293" t="s">
        <v>20</v>
      </c>
      <c r="F686" s="294">
        <v>46871</v>
      </c>
      <c r="G686" s="238">
        <f>G687</f>
        <v>0</v>
      </c>
      <c r="H686" s="217">
        <f>H687</f>
        <v>0</v>
      </c>
      <c r="I686" s="217">
        <f>I687</f>
        <v>0</v>
      </c>
      <c r="J686" s="238">
        <v>0</v>
      </c>
      <c r="K686" s="331">
        <v>0</v>
      </c>
      <c r="L686" s="313">
        <f t="shared" si="131"/>
        <v>0</v>
      </c>
      <c r="M686" s="314"/>
      <c r="N686" s="314"/>
    </row>
    <row r="687" spans="1:14" s="224" customFormat="1" outlineLevel="3" x14ac:dyDescent="0.3">
      <c r="A687" s="213" t="s">
        <v>21</v>
      </c>
      <c r="B687" s="214" t="s">
        <v>490</v>
      </c>
      <c r="C687" s="214" t="s">
        <v>117</v>
      </c>
      <c r="D687" s="293" t="s">
        <v>489</v>
      </c>
      <c r="E687" s="293" t="s">
        <v>22</v>
      </c>
      <c r="F687" s="294">
        <v>46871</v>
      </c>
      <c r="G687" s="238">
        <v>0</v>
      </c>
      <c r="H687" s="217">
        <v>0</v>
      </c>
      <c r="I687" s="217">
        <v>0</v>
      </c>
      <c r="J687" s="272">
        <v>0</v>
      </c>
      <c r="K687" s="332">
        <v>0</v>
      </c>
      <c r="L687" s="313">
        <f t="shared" si="131"/>
        <v>0</v>
      </c>
      <c r="M687" s="314"/>
      <c r="N687" s="314"/>
    </row>
    <row r="688" spans="1:14" ht="34" outlineLevel="3" x14ac:dyDescent="0.3">
      <c r="A688" s="213" t="s">
        <v>33</v>
      </c>
      <c r="B688" s="214" t="s">
        <v>490</v>
      </c>
      <c r="C688" s="214" t="s">
        <v>117</v>
      </c>
      <c r="D688" s="293" t="s">
        <v>154</v>
      </c>
      <c r="E688" s="293" t="s">
        <v>6</v>
      </c>
      <c r="F688" s="294">
        <v>13829667.76</v>
      </c>
      <c r="G688" s="237">
        <f>G689+G691+G693</f>
        <v>15354732</v>
      </c>
      <c r="H688" s="215">
        <f>H689+H691+H693</f>
        <v>10604991.219999999</v>
      </c>
      <c r="I688" s="215">
        <f>I689+I691+I693</f>
        <v>14477700</v>
      </c>
      <c r="J688" s="237">
        <f>J689+J691+J693</f>
        <v>15696868</v>
      </c>
      <c r="K688" s="330">
        <f>K689+K691+K693</f>
        <v>15890920</v>
      </c>
      <c r="L688" s="313">
        <f t="shared" si="131"/>
        <v>194052</v>
      </c>
      <c r="M688" s="314">
        <f t="shared" si="133"/>
        <v>102.2282121237935</v>
      </c>
      <c r="N688" s="314">
        <f t="shared" si="134"/>
        <v>103.492004940236</v>
      </c>
    </row>
    <row r="689" spans="1:15" ht="78.45" customHeight="1" outlineLevel="3" x14ac:dyDescent="0.3">
      <c r="A689" s="213" t="s">
        <v>11</v>
      </c>
      <c r="B689" s="214" t="s">
        <v>490</v>
      </c>
      <c r="C689" s="214" t="s">
        <v>117</v>
      </c>
      <c r="D689" s="293" t="s">
        <v>154</v>
      </c>
      <c r="E689" s="293" t="s">
        <v>12</v>
      </c>
      <c r="F689" s="294">
        <v>11317918.75</v>
      </c>
      <c r="G689" s="237">
        <f>G690</f>
        <v>12224586</v>
      </c>
      <c r="H689" s="215">
        <f>H690</f>
        <v>8887451.2799999993</v>
      </c>
      <c r="I689" s="215">
        <f>I690</f>
        <v>11638500</v>
      </c>
      <c r="J689" s="237">
        <f>J690</f>
        <v>12652855</v>
      </c>
      <c r="K689" s="330">
        <f>K690</f>
        <v>12652855</v>
      </c>
      <c r="L689" s="313">
        <f t="shared" si="131"/>
        <v>0</v>
      </c>
      <c r="M689" s="314">
        <f t="shared" si="133"/>
        <v>103.50334154465435</v>
      </c>
      <c r="N689" s="314">
        <f t="shared" si="134"/>
        <v>103.50334154465435</v>
      </c>
    </row>
    <row r="690" spans="1:15" outlineLevel="3" x14ac:dyDescent="0.3">
      <c r="A690" s="213" t="s">
        <v>34</v>
      </c>
      <c r="B690" s="214" t="s">
        <v>490</v>
      </c>
      <c r="C690" s="214" t="s">
        <v>117</v>
      </c>
      <c r="D690" s="293" t="s">
        <v>154</v>
      </c>
      <c r="E690" s="293" t="s">
        <v>35</v>
      </c>
      <c r="F690" s="294">
        <v>11317918.75</v>
      </c>
      <c r="G690" s="238">
        <f>11638500-64022+650000+108</f>
        <v>12224586</v>
      </c>
      <c r="H690" s="218">
        <v>8887451.2799999993</v>
      </c>
      <c r="I690" s="217">
        <v>11638500</v>
      </c>
      <c r="J690" s="238">
        <v>12652855</v>
      </c>
      <c r="K690" s="331">
        <v>12652855</v>
      </c>
      <c r="L690" s="313">
        <f t="shared" si="131"/>
        <v>0</v>
      </c>
      <c r="M690" s="314">
        <f t="shared" si="133"/>
        <v>103.50334154465435</v>
      </c>
      <c r="N690" s="314">
        <f t="shared" si="134"/>
        <v>103.50334154465435</v>
      </c>
    </row>
    <row r="691" spans="1:15" ht="34" outlineLevel="3" x14ac:dyDescent="0.3">
      <c r="A691" s="213" t="s">
        <v>15</v>
      </c>
      <c r="B691" s="214" t="s">
        <v>490</v>
      </c>
      <c r="C691" s="214" t="s">
        <v>117</v>
      </c>
      <c r="D691" s="293" t="s">
        <v>154</v>
      </c>
      <c r="E691" s="293" t="s">
        <v>16</v>
      </c>
      <c r="F691" s="294">
        <v>2478211.0099999998</v>
      </c>
      <c r="G691" s="237">
        <f>G692</f>
        <v>3090946</v>
      </c>
      <c r="H691" s="215">
        <f>H692</f>
        <v>1695350.94</v>
      </c>
      <c r="I691" s="215">
        <f>I692</f>
        <v>2800000</v>
      </c>
      <c r="J691" s="237">
        <f>J692</f>
        <v>3005948</v>
      </c>
      <c r="K691" s="330">
        <f>K692</f>
        <v>3200000</v>
      </c>
      <c r="L691" s="313">
        <f t="shared" si="131"/>
        <v>194052</v>
      </c>
      <c r="M691" s="314">
        <f t="shared" si="133"/>
        <v>97.250097542952872</v>
      </c>
      <c r="N691" s="314">
        <f t="shared" si="134"/>
        <v>103.52817551649235</v>
      </c>
      <c r="O691" s="183" t="s">
        <v>869</v>
      </c>
    </row>
    <row r="692" spans="1:15" ht="34" outlineLevel="3" x14ac:dyDescent="0.3">
      <c r="A692" s="213" t="s">
        <v>17</v>
      </c>
      <c r="B692" s="214" t="s">
        <v>490</v>
      </c>
      <c r="C692" s="214" t="s">
        <v>117</v>
      </c>
      <c r="D692" s="293" t="s">
        <v>154</v>
      </c>
      <c r="E692" s="293" t="s">
        <v>18</v>
      </c>
      <c r="F692" s="294">
        <v>2478211.0099999998</v>
      </c>
      <c r="G692" s="238">
        <f>[2]потребность!I630+7425+240000</f>
        <v>3090946</v>
      </c>
      <c r="H692" s="218">
        <v>1695350.94</v>
      </c>
      <c r="I692" s="217">
        <v>2800000</v>
      </c>
      <c r="J692" s="238">
        <v>3005948</v>
      </c>
      <c r="K692" s="331">
        <f>3200000</f>
        <v>3200000</v>
      </c>
      <c r="L692" s="313">
        <f t="shared" si="131"/>
        <v>194052</v>
      </c>
      <c r="M692" s="314">
        <f t="shared" si="133"/>
        <v>97.250097542952872</v>
      </c>
      <c r="N692" s="314">
        <f t="shared" si="134"/>
        <v>103.52817551649235</v>
      </c>
    </row>
    <row r="693" spans="1:15" s="224" customFormat="1" outlineLevel="3" x14ac:dyDescent="0.3">
      <c r="A693" s="213" t="s">
        <v>19</v>
      </c>
      <c r="B693" s="214" t="s">
        <v>490</v>
      </c>
      <c r="C693" s="214" t="s">
        <v>117</v>
      </c>
      <c r="D693" s="293" t="s">
        <v>154</v>
      </c>
      <c r="E693" s="293" t="s">
        <v>20</v>
      </c>
      <c r="F693" s="294">
        <v>33538</v>
      </c>
      <c r="G693" s="237">
        <f>G694</f>
        <v>39200</v>
      </c>
      <c r="H693" s="215">
        <f>H694</f>
        <v>22189</v>
      </c>
      <c r="I693" s="215">
        <f>I694</f>
        <v>39200</v>
      </c>
      <c r="J693" s="237">
        <f>J694</f>
        <v>38065</v>
      </c>
      <c r="K693" s="330">
        <f>K694</f>
        <v>38065</v>
      </c>
      <c r="L693" s="313">
        <f t="shared" si="131"/>
        <v>0</v>
      </c>
      <c r="M693" s="314">
        <f t="shared" si="133"/>
        <v>97.104591836734699</v>
      </c>
      <c r="N693" s="314">
        <f t="shared" si="134"/>
        <v>97.104591836734699</v>
      </c>
    </row>
    <row r="694" spans="1:15" outlineLevel="3" x14ac:dyDescent="0.3">
      <c r="A694" s="213" t="s">
        <v>21</v>
      </c>
      <c r="B694" s="214" t="s">
        <v>490</v>
      </c>
      <c r="C694" s="214" t="s">
        <v>117</v>
      </c>
      <c r="D694" s="293" t="s">
        <v>154</v>
      </c>
      <c r="E694" s="293" t="s">
        <v>22</v>
      </c>
      <c r="F694" s="294">
        <v>33538</v>
      </c>
      <c r="G694" s="238">
        <v>39200</v>
      </c>
      <c r="H694" s="218">
        <v>22189</v>
      </c>
      <c r="I694" s="217">
        <v>39200</v>
      </c>
      <c r="J694" s="238">
        <v>38065</v>
      </c>
      <c r="K694" s="331">
        <v>38065</v>
      </c>
      <c r="L694" s="313">
        <f t="shared" si="131"/>
        <v>0</v>
      </c>
      <c r="M694" s="314">
        <f t="shared" si="133"/>
        <v>97.104591836734699</v>
      </c>
      <c r="N694" s="314">
        <f t="shared" si="134"/>
        <v>97.104591836734699</v>
      </c>
    </row>
    <row r="695" spans="1:15" ht="23.3" customHeight="1" outlineLevel="3" x14ac:dyDescent="0.3">
      <c r="A695" s="189" t="s">
        <v>36</v>
      </c>
      <c r="B695" s="214" t="s">
        <v>490</v>
      </c>
      <c r="C695" s="214" t="s">
        <v>117</v>
      </c>
      <c r="D695" s="293" t="s">
        <v>155</v>
      </c>
      <c r="E695" s="293" t="s">
        <v>6</v>
      </c>
      <c r="F695" s="294">
        <v>2073691.36</v>
      </c>
      <c r="G695" s="237">
        <f t="shared" ref="G695:K696" si="140">G696</f>
        <v>2157261</v>
      </c>
      <c r="H695" s="215">
        <f t="shared" si="140"/>
        <v>1624342.39</v>
      </c>
      <c r="I695" s="215">
        <f t="shared" si="140"/>
        <v>2081533</v>
      </c>
      <c r="J695" s="238">
        <f t="shared" si="140"/>
        <v>2266235</v>
      </c>
      <c r="K695" s="331">
        <f t="shared" si="140"/>
        <v>2266235</v>
      </c>
      <c r="L695" s="313">
        <f t="shared" si="131"/>
        <v>0</v>
      </c>
      <c r="M695" s="314">
        <f t="shared" si="133"/>
        <v>105.05149817291463</v>
      </c>
      <c r="N695" s="314">
        <f t="shared" si="134"/>
        <v>105.05149817291463</v>
      </c>
    </row>
    <row r="696" spans="1:15" ht="45.7" customHeight="1" outlineLevel="3" x14ac:dyDescent="0.3">
      <c r="A696" s="213" t="s">
        <v>37</v>
      </c>
      <c r="B696" s="214" t="s">
        <v>490</v>
      </c>
      <c r="C696" s="214" t="s">
        <v>117</v>
      </c>
      <c r="D696" s="293" t="s">
        <v>155</v>
      </c>
      <c r="E696" s="293" t="s">
        <v>38</v>
      </c>
      <c r="F696" s="294">
        <v>2073691.36</v>
      </c>
      <c r="G696" s="237">
        <f t="shared" si="140"/>
        <v>2157261</v>
      </c>
      <c r="H696" s="215">
        <f t="shared" si="140"/>
        <v>1624342.39</v>
      </c>
      <c r="I696" s="215">
        <f t="shared" si="140"/>
        <v>2081533</v>
      </c>
      <c r="J696" s="238">
        <f t="shared" si="140"/>
        <v>2266235</v>
      </c>
      <c r="K696" s="331">
        <f t="shared" si="140"/>
        <v>2266235</v>
      </c>
      <c r="L696" s="313">
        <f t="shared" si="131"/>
        <v>0</v>
      </c>
      <c r="M696" s="314">
        <f t="shared" si="133"/>
        <v>105.05149817291463</v>
      </c>
      <c r="N696" s="314">
        <f t="shared" si="134"/>
        <v>105.05149817291463</v>
      </c>
    </row>
    <row r="697" spans="1:15" ht="22.75" customHeight="1" outlineLevel="3" x14ac:dyDescent="0.3">
      <c r="A697" s="213" t="s">
        <v>39</v>
      </c>
      <c r="B697" s="214" t="s">
        <v>490</v>
      </c>
      <c r="C697" s="214" t="s">
        <v>117</v>
      </c>
      <c r="D697" s="293" t="s">
        <v>155</v>
      </c>
      <c r="E697" s="293" t="s">
        <v>40</v>
      </c>
      <c r="F697" s="294">
        <v>2073691.36</v>
      </c>
      <c r="G697" s="238">
        <f>2081533+64022+11706</f>
        <v>2157261</v>
      </c>
      <c r="H697" s="218">
        <v>1624342.39</v>
      </c>
      <c r="I697" s="217">
        <v>2081533</v>
      </c>
      <c r="J697" s="238">
        <v>2266235</v>
      </c>
      <c r="K697" s="331">
        <v>2266235</v>
      </c>
      <c r="L697" s="313">
        <f t="shared" si="131"/>
        <v>0</v>
      </c>
      <c r="M697" s="314">
        <f t="shared" si="133"/>
        <v>105.05149817291463</v>
      </c>
      <c r="N697" s="314">
        <f t="shared" si="134"/>
        <v>105.05149817291463</v>
      </c>
    </row>
    <row r="698" spans="1:15" ht="23.3" customHeight="1" outlineLevel="3" x14ac:dyDescent="0.3">
      <c r="A698" s="219" t="s">
        <v>85</v>
      </c>
      <c r="B698" s="220" t="s">
        <v>490</v>
      </c>
      <c r="C698" s="220" t="s">
        <v>86</v>
      </c>
      <c r="D698" s="295" t="s">
        <v>126</v>
      </c>
      <c r="E698" s="295" t="s">
        <v>6</v>
      </c>
      <c r="F698" s="294">
        <v>4717600.49</v>
      </c>
      <c r="G698" s="273">
        <f>G699+G705</f>
        <v>4489069</v>
      </c>
      <c r="H698" s="221">
        <f>H699+H705</f>
        <v>2535444.17</v>
      </c>
      <c r="I698" s="221">
        <f>I699+I705</f>
        <v>4489069</v>
      </c>
      <c r="J698" s="273">
        <f>J699+J705</f>
        <v>5476354</v>
      </c>
      <c r="K698" s="333">
        <f>K699+K705</f>
        <v>5476354</v>
      </c>
      <c r="L698" s="313">
        <f t="shared" si="131"/>
        <v>0</v>
      </c>
      <c r="M698" s="314">
        <f t="shared" si="133"/>
        <v>121.99309032674704</v>
      </c>
      <c r="N698" s="314">
        <f t="shared" si="134"/>
        <v>121.99309032674704</v>
      </c>
    </row>
    <row r="699" spans="1:15" outlineLevel="3" x14ac:dyDescent="0.3">
      <c r="A699" s="213" t="s">
        <v>94</v>
      </c>
      <c r="B699" s="214" t="s">
        <v>490</v>
      </c>
      <c r="C699" s="214" t="s">
        <v>95</v>
      </c>
      <c r="D699" s="293" t="s">
        <v>126</v>
      </c>
      <c r="E699" s="293" t="s">
        <v>6</v>
      </c>
      <c r="F699" s="294">
        <v>1640454.55</v>
      </c>
      <c r="G699" s="237">
        <f t="shared" ref="G699:K703" si="141">G700</f>
        <v>1310000</v>
      </c>
      <c r="H699" s="215">
        <f t="shared" si="141"/>
        <v>566956.52</v>
      </c>
      <c r="I699" s="215">
        <f t="shared" si="141"/>
        <v>1310000</v>
      </c>
      <c r="J699" s="237">
        <f t="shared" si="141"/>
        <v>1685000</v>
      </c>
      <c r="K699" s="330">
        <f t="shared" si="141"/>
        <v>1685000</v>
      </c>
      <c r="L699" s="313">
        <f t="shared" si="131"/>
        <v>0</v>
      </c>
      <c r="M699" s="314">
        <f t="shared" si="133"/>
        <v>128.62595419847329</v>
      </c>
      <c r="N699" s="314">
        <f t="shared" si="134"/>
        <v>128.62595419847329</v>
      </c>
    </row>
    <row r="700" spans="1:15" ht="34" outlineLevel="3" x14ac:dyDescent="0.3">
      <c r="A700" s="219" t="s">
        <v>720</v>
      </c>
      <c r="B700" s="220" t="s">
        <v>490</v>
      </c>
      <c r="C700" s="220" t="s">
        <v>95</v>
      </c>
      <c r="D700" s="295" t="s">
        <v>138</v>
      </c>
      <c r="E700" s="295" t="s">
        <v>6</v>
      </c>
      <c r="F700" s="296">
        <v>1640454.55</v>
      </c>
      <c r="G700" s="273">
        <f t="shared" si="141"/>
        <v>1310000</v>
      </c>
      <c r="H700" s="221">
        <f t="shared" si="141"/>
        <v>566956.52</v>
      </c>
      <c r="I700" s="221">
        <f t="shared" si="141"/>
        <v>1310000</v>
      </c>
      <c r="J700" s="273">
        <f t="shared" si="141"/>
        <v>1685000</v>
      </c>
      <c r="K700" s="333">
        <f t="shared" si="141"/>
        <v>1685000</v>
      </c>
      <c r="L700" s="313">
        <f t="shared" si="131"/>
        <v>0</v>
      </c>
      <c r="M700" s="314">
        <f t="shared" si="133"/>
        <v>128.62595419847329</v>
      </c>
      <c r="N700" s="314">
        <f t="shared" si="134"/>
        <v>128.62595419847329</v>
      </c>
    </row>
    <row r="701" spans="1:15" outlineLevel="3" x14ac:dyDescent="0.3">
      <c r="A701" s="225" t="s">
        <v>669</v>
      </c>
      <c r="B701" s="214" t="s">
        <v>490</v>
      </c>
      <c r="C701" s="214" t="s">
        <v>95</v>
      </c>
      <c r="D701" s="293" t="s">
        <v>667</v>
      </c>
      <c r="E701" s="293" t="s">
        <v>6</v>
      </c>
      <c r="F701" s="294">
        <v>1640454.55</v>
      </c>
      <c r="G701" s="237">
        <f t="shared" si="141"/>
        <v>1310000</v>
      </c>
      <c r="H701" s="215">
        <f t="shared" si="141"/>
        <v>566956.52</v>
      </c>
      <c r="I701" s="215">
        <f t="shared" si="141"/>
        <v>1310000</v>
      </c>
      <c r="J701" s="237">
        <f t="shared" si="141"/>
        <v>1685000</v>
      </c>
      <c r="K701" s="330">
        <f t="shared" si="141"/>
        <v>1685000</v>
      </c>
      <c r="L701" s="313">
        <f t="shared" si="131"/>
        <v>0</v>
      </c>
      <c r="M701" s="314">
        <f t="shared" si="133"/>
        <v>128.62595419847329</v>
      </c>
      <c r="N701" s="314">
        <f t="shared" si="134"/>
        <v>128.62595419847329</v>
      </c>
    </row>
    <row r="702" spans="1:15" ht="101.9" outlineLevel="3" x14ac:dyDescent="0.3">
      <c r="A702" s="185" t="s">
        <v>379</v>
      </c>
      <c r="B702" s="214" t="s">
        <v>490</v>
      </c>
      <c r="C702" s="214" t="s">
        <v>95</v>
      </c>
      <c r="D702" s="293" t="s">
        <v>668</v>
      </c>
      <c r="E702" s="293" t="s">
        <v>6</v>
      </c>
      <c r="F702" s="294">
        <v>1640454.55</v>
      </c>
      <c r="G702" s="237">
        <f t="shared" si="141"/>
        <v>1310000</v>
      </c>
      <c r="H702" s="215">
        <f t="shared" si="141"/>
        <v>566956.52</v>
      </c>
      <c r="I702" s="215">
        <f t="shared" si="141"/>
        <v>1310000</v>
      </c>
      <c r="J702" s="237">
        <f t="shared" si="141"/>
        <v>1685000</v>
      </c>
      <c r="K702" s="330">
        <f t="shared" si="141"/>
        <v>1685000</v>
      </c>
      <c r="L702" s="313">
        <f t="shared" si="131"/>
        <v>0</v>
      </c>
      <c r="M702" s="314">
        <f t="shared" si="133"/>
        <v>128.62595419847329</v>
      </c>
      <c r="N702" s="314">
        <f t="shared" si="134"/>
        <v>128.62595419847329</v>
      </c>
    </row>
    <row r="703" spans="1:15" ht="23.3" customHeight="1" outlineLevel="3" x14ac:dyDescent="0.3">
      <c r="A703" s="213" t="s">
        <v>90</v>
      </c>
      <c r="B703" s="214" t="s">
        <v>490</v>
      </c>
      <c r="C703" s="214" t="s">
        <v>95</v>
      </c>
      <c r="D703" s="293" t="s">
        <v>668</v>
      </c>
      <c r="E703" s="293" t="s">
        <v>91</v>
      </c>
      <c r="F703" s="294">
        <v>1640454.55</v>
      </c>
      <c r="G703" s="237">
        <f t="shared" si="141"/>
        <v>1310000</v>
      </c>
      <c r="H703" s="215">
        <f t="shared" si="141"/>
        <v>566956.52</v>
      </c>
      <c r="I703" s="215">
        <f t="shared" si="141"/>
        <v>1310000</v>
      </c>
      <c r="J703" s="237">
        <f t="shared" si="141"/>
        <v>1685000</v>
      </c>
      <c r="K703" s="330">
        <f t="shared" si="141"/>
        <v>1685000</v>
      </c>
      <c r="L703" s="313">
        <f t="shared" si="131"/>
        <v>0</v>
      </c>
      <c r="M703" s="314">
        <f t="shared" si="133"/>
        <v>128.62595419847329</v>
      </c>
      <c r="N703" s="314">
        <f t="shared" si="134"/>
        <v>128.62595419847329</v>
      </c>
    </row>
    <row r="704" spans="1:15" ht="34" outlineLevel="3" x14ac:dyDescent="0.3">
      <c r="A704" s="213" t="s">
        <v>97</v>
      </c>
      <c r="B704" s="214" t="s">
        <v>490</v>
      </c>
      <c r="C704" s="214" t="s">
        <v>95</v>
      </c>
      <c r="D704" s="293" t="s">
        <v>668</v>
      </c>
      <c r="E704" s="293" t="s">
        <v>98</v>
      </c>
      <c r="F704" s="294">
        <v>1640454.55</v>
      </c>
      <c r="G704" s="238">
        <v>1310000</v>
      </c>
      <c r="H704" s="218">
        <v>566956.52</v>
      </c>
      <c r="I704" s="217">
        <v>1310000</v>
      </c>
      <c r="J704" s="238">
        <v>1685000</v>
      </c>
      <c r="K704" s="331">
        <v>1685000</v>
      </c>
      <c r="L704" s="313">
        <f t="shared" si="131"/>
        <v>0</v>
      </c>
      <c r="M704" s="314">
        <f t="shared" si="133"/>
        <v>128.62595419847329</v>
      </c>
      <c r="N704" s="314">
        <f t="shared" si="134"/>
        <v>128.62595419847329</v>
      </c>
    </row>
    <row r="705" spans="1:14" outlineLevel="3" x14ac:dyDescent="0.3">
      <c r="A705" s="213" t="s">
        <v>123</v>
      </c>
      <c r="B705" s="214" t="s">
        <v>490</v>
      </c>
      <c r="C705" s="214" t="s">
        <v>124</v>
      </c>
      <c r="D705" s="293" t="s">
        <v>126</v>
      </c>
      <c r="E705" s="293" t="s">
        <v>6</v>
      </c>
      <c r="F705" s="294">
        <v>3077145.94</v>
      </c>
      <c r="G705" s="237">
        <f t="shared" ref="G705:K708" si="142">G706</f>
        <v>3179069</v>
      </c>
      <c r="H705" s="215">
        <f t="shared" si="142"/>
        <v>1968487.6500000001</v>
      </c>
      <c r="I705" s="215">
        <f t="shared" si="142"/>
        <v>3179069</v>
      </c>
      <c r="J705" s="237">
        <f t="shared" si="142"/>
        <v>3791354</v>
      </c>
      <c r="K705" s="330">
        <f t="shared" si="142"/>
        <v>3791354</v>
      </c>
      <c r="L705" s="313">
        <f t="shared" si="131"/>
        <v>0</v>
      </c>
      <c r="M705" s="314">
        <f t="shared" si="133"/>
        <v>119.2598839471556</v>
      </c>
      <c r="N705" s="314">
        <f t="shared" si="134"/>
        <v>119.25988394715559</v>
      </c>
    </row>
    <row r="706" spans="1:14" ht="39.75" customHeight="1" outlineLevel="3" x14ac:dyDescent="0.3">
      <c r="A706" s="219" t="s">
        <v>721</v>
      </c>
      <c r="B706" s="220" t="s">
        <v>490</v>
      </c>
      <c r="C706" s="220" t="s">
        <v>124</v>
      </c>
      <c r="D706" s="295" t="s">
        <v>138</v>
      </c>
      <c r="E706" s="295" t="s">
        <v>6</v>
      </c>
      <c r="F706" s="296">
        <v>3077145.94</v>
      </c>
      <c r="G706" s="273">
        <f t="shared" si="142"/>
        <v>3179069</v>
      </c>
      <c r="H706" s="221">
        <f t="shared" si="142"/>
        <v>1968487.6500000001</v>
      </c>
      <c r="I706" s="221">
        <f t="shared" si="142"/>
        <v>3179069</v>
      </c>
      <c r="J706" s="273">
        <f t="shared" si="142"/>
        <v>3791354</v>
      </c>
      <c r="K706" s="333">
        <f t="shared" si="142"/>
        <v>3791354</v>
      </c>
      <c r="L706" s="313">
        <f t="shared" si="131"/>
        <v>0</v>
      </c>
      <c r="M706" s="314">
        <f t="shared" si="133"/>
        <v>119.2598839471556</v>
      </c>
      <c r="N706" s="314">
        <f t="shared" si="134"/>
        <v>119.25988394715559</v>
      </c>
    </row>
    <row r="707" spans="1:14" ht="34" outlineLevel="3" x14ac:dyDescent="0.3">
      <c r="A707" s="213" t="s">
        <v>374</v>
      </c>
      <c r="B707" s="214" t="s">
        <v>490</v>
      </c>
      <c r="C707" s="214" t="s">
        <v>124</v>
      </c>
      <c r="D707" s="293" t="s">
        <v>139</v>
      </c>
      <c r="E707" s="293" t="s">
        <v>6</v>
      </c>
      <c r="F707" s="294">
        <v>3077145.94</v>
      </c>
      <c r="G707" s="237">
        <f t="shared" si="142"/>
        <v>3179069</v>
      </c>
      <c r="H707" s="215">
        <f t="shared" si="142"/>
        <v>1968487.6500000001</v>
      </c>
      <c r="I707" s="215">
        <f t="shared" si="142"/>
        <v>3179069</v>
      </c>
      <c r="J707" s="237">
        <f t="shared" si="142"/>
        <v>3791354</v>
      </c>
      <c r="K707" s="330">
        <f t="shared" si="142"/>
        <v>3791354</v>
      </c>
      <c r="L707" s="313">
        <f t="shared" si="131"/>
        <v>0</v>
      </c>
      <c r="M707" s="314">
        <f t="shared" si="133"/>
        <v>119.2598839471556</v>
      </c>
      <c r="N707" s="314">
        <f t="shared" si="134"/>
        <v>119.25988394715559</v>
      </c>
    </row>
    <row r="708" spans="1:14" ht="24.8" customHeight="1" outlineLevel="3" x14ac:dyDescent="0.3">
      <c r="A708" s="225" t="s">
        <v>202</v>
      </c>
      <c r="B708" s="214" t="s">
        <v>490</v>
      </c>
      <c r="C708" s="214" t="s">
        <v>124</v>
      </c>
      <c r="D708" s="293" t="s">
        <v>231</v>
      </c>
      <c r="E708" s="293" t="s">
        <v>6</v>
      </c>
      <c r="F708" s="294">
        <v>3077145.94</v>
      </c>
      <c r="G708" s="237">
        <f t="shared" si="142"/>
        <v>3179069</v>
      </c>
      <c r="H708" s="215">
        <f t="shared" si="142"/>
        <v>1968487.6500000001</v>
      </c>
      <c r="I708" s="215">
        <f t="shared" si="142"/>
        <v>3179069</v>
      </c>
      <c r="J708" s="237">
        <f t="shared" si="142"/>
        <v>3791354</v>
      </c>
      <c r="K708" s="330">
        <f t="shared" si="142"/>
        <v>3791354</v>
      </c>
      <c r="L708" s="313">
        <f t="shared" si="131"/>
        <v>0</v>
      </c>
      <c r="M708" s="314">
        <f t="shared" si="133"/>
        <v>119.2598839471556</v>
      </c>
      <c r="N708" s="314">
        <f t="shared" si="134"/>
        <v>119.25988394715559</v>
      </c>
    </row>
    <row r="709" spans="1:14" s="212" customFormat="1" ht="137.25" customHeight="1" x14ac:dyDescent="0.3">
      <c r="A709" s="185" t="s">
        <v>594</v>
      </c>
      <c r="B709" s="214" t="s">
        <v>490</v>
      </c>
      <c r="C709" s="214" t="s">
        <v>124</v>
      </c>
      <c r="D709" s="293" t="s">
        <v>156</v>
      </c>
      <c r="E709" s="293" t="s">
        <v>6</v>
      </c>
      <c r="F709" s="294">
        <v>3077145.94</v>
      </c>
      <c r="G709" s="237">
        <f>G712+G710</f>
        <v>3179069</v>
      </c>
      <c r="H709" s="215">
        <f>H712+H710</f>
        <v>1968487.6500000001</v>
      </c>
      <c r="I709" s="215">
        <f>I712+I710</f>
        <v>3179069</v>
      </c>
      <c r="J709" s="237">
        <f>J712+J710</f>
        <v>3791354</v>
      </c>
      <c r="K709" s="330">
        <f>K712+K710</f>
        <v>3791354</v>
      </c>
      <c r="L709" s="313">
        <f t="shared" ref="L709:L758" si="143">K709-J709</f>
        <v>0</v>
      </c>
      <c r="M709" s="314">
        <f t="shared" si="133"/>
        <v>119.2598839471556</v>
      </c>
      <c r="N709" s="314">
        <f t="shared" si="134"/>
        <v>119.25988394715559</v>
      </c>
    </row>
    <row r="710" spans="1:14" s="212" customFormat="1" ht="34" x14ac:dyDescent="0.3">
      <c r="A710" s="213" t="s">
        <v>15</v>
      </c>
      <c r="B710" s="214" t="s">
        <v>490</v>
      </c>
      <c r="C710" s="214" t="s">
        <v>124</v>
      </c>
      <c r="D710" s="293" t="s">
        <v>156</v>
      </c>
      <c r="E710" s="293" t="s">
        <v>16</v>
      </c>
      <c r="F710" s="294">
        <v>19534.14</v>
      </c>
      <c r="G710" s="237">
        <f>G711</f>
        <v>27000</v>
      </c>
      <c r="H710" s="215">
        <f>H711</f>
        <v>12323.04</v>
      </c>
      <c r="I710" s="215">
        <v>0</v>
      </c>
      <c r="J710" s="237">
        <f>J711</f>
        <v>0</v>
      </c>
      <c r="K710" s="330">
        <f>K711</f>
        <v>0</v>
      </c>
      <c r="L710" s="313">
        <f t="shared" si="143"/>
        <v>0</v>
      </c>
      <c r="M710" s="314">
        <f t="shared" si="133"/>
        <v>0</v>
      </c>
      <c r="N710" s="314">
        <f t="shared" si="134"/>
        <v>0</v>
      </c>
    </row>
    <row r="711" spans="1:14" s="212" customFormat="1" ht="34" x14ac:dyDescent="0.3">
      <c r="A711" s="213" t="s">
        <v>17</v>
      </c>
      <c r="B711" s="214" t="s">
        <v>490</v>
      </c>
      <c r="C711" s="214" t="s">
        <v>124</v>
      </c>
      <c r="D711" s="293" t="s">
        <v>156</v>
      </c>
      <c r="E711" s="293" t="s">
        <v>18</v>
      </c>
      <c r="F711" s="294">
        <v>19534.14</v>
      </c>
      <c r="G711" s="237">
        <f>22000+5000</f>
        <v>27000</v>
      </c>
      <c r="H711" s="216">
        <v>12323.04</v>
      </c>
      <c r="I711" s="215">
        <v>0</v>
      </c>
      <c r="J711" s="237">
        <v>0</v>
      </c>
      <c r="K711" s="330">
        <v>0</v>
      </c>
      <c r="L711" s="313">
        <f t="shared" si="143"/>
        <v>0</v>
      </c>
      <c r="M711" s="314">
        <f t="shared" ref="M711:M745" si="144">J711/G711%</f>
        <v>0</v>
      </c>
      <c r="N711" s="314">
        <f t="shared" ref="N711:N762" si="145">K711/G711*100</f>
        <v>0</v>
      </c>
    </row>
    <row r="712" spans="1:14" s="212" customFormat="1" x14ac:dyDescent="0.3">
      <c r="A712" s="213" t="s">
        <v>90</v>
      </c>
      <c r="B712" s="214" t="s">
        <v>490</v>
      </c>
      <c r="C712" s="214" t="s">
        <v>124</v>
      </c>
      <c r="D712" s="293" t="s">
        <v>156</v>
      </c>
      <c r="E712" s="293" t="s">
        <v>91</v>
      </c>
      <c r="F712" s="294">
        <v>3057611.8</v>
      </c>
      <c r="G712" s="237">
        <f>G713</f>
        <v>3152069</v>
      </c>
      <c r="H712" s="215">
        <f>H713</f>
        <v>1956164.61</v>
      </c>
      <c r="I712" s="215">
        <f>I713</f>
        <v>3179069</v>
      </c>
      <c r="J712" s="237">
        <f>J713</f>
        <v>3791354</v>
      </c>
      <c r="K712" s="330">
        <f>K713</f>
        <v>3791354</v>
      </c>
      <c r="L712" s="313">
        <f t="shared" si="143"/>
        <v>0</v>
      </c>
      <c r="M712" s="314">
        <f t="shared" si="144"/>
        <v>120.28144053953135</v>
      </c>
      <c r="N712" s="314">
        <f t="shared" si="145"/>
        <v>120.28144053953133</v>
      </c>
    </row>
    <row r="713" spans="1:14" s="212" customFormat="1" ht="39.25" customHeight="1" x14ac:dyDescent="0.3">
      <c r="A713" s="213" t="s">
        <v>97</v>
      </c>
      <c r="B713" s="214" t="s">
        <v>490</v>
      </c>
      <c r="C713" s="214" t="s">
        <v>124</v>
      </c>
      <c r="D713" s="293" t="s">
        <v>156</v>
      </c>
      <c r="E713" s="293" t="s">
        <v>98</v>
      </c>
      <c r="F713" s="294">
        <v>3057611.8</v>
      </c>
      <c r="G713" s="238">
        <f>3179069-22000-5000</f>
        <v>3152069</v>
      </c>
      <c r="H713" s="218">
        <v>1956164.61</v>
      </c>
      <c r="I713" s="217">
        <v>3179069</v>
      </c>
      <c r="J713" s="238">
        <v>3791354</v>
      </c>
      <c r="K713" s="331">
        <v>3791354</v>
      </c>
      <c r="L713" s="313">
        <f t="shared" si="143"/>
        <v>0</v>
      </c>
      <c r="M713" s="314">
        <f t="shared" si="144"/>
        <v>120.28144053953135</v>
      </c>
      <c r="N713" s="314">
        <f t="shared" si="145"/>
        <v>120.28144053953133</v>
      </c>
    </row>
    <row r="714" spans="1:14" s="212" customFormat="1" x14ac:dyDescent="0.3">
      <c r="A714" s="219" t="s">
        <v>100</v>
      </c>
      <c r="B714" s="214" t="s">
        <v>490</v>
      </c>
      <c r="C714" s="214" t="s">
        <v>101</v>
      </c>
      <c r="D714" s="295" t="s">
        <v>126</v>
      </c>
      <c r="E714" s="293" t="s">
        <v>6</v>
      </c>
      <c r="F714" s="294">
        <v>3619351.16</v>
      </c>
      <c r="G714" s="238">
        <f t="shared" ref="G714:K722" si="146">G715</f>
        <v>2084474.79</v>
      </c>
      <c r="H714" s="217">
        <f t="shared" si="146"/>
        <v>1444149.23</v>
      </c>
      <c r="I714" s="217">
        <f t="shared" si="146"/>
        <v>358800</v>
      </c>
      <c r="J714" s="238">
        <f t="shared" si="146"/>
        <v>358800</v>
      </c>
      <c r="K714" s="331">
        <f t="shared" si="146"/>
        <v>0</v>
      </c>
      <c r="L714" s="313">
        <f t="shared" si="143"/>
        <v>-358800</v>
      </c>
      <c r="M714" s="314">
        <f t="shared" si="144"/>
        <v>17.212969028039911</v>
      </c>
      <c r="N714" s="314">
        <f t="shared" si="145"/>
        <v>0</v>
      </c>
    </row>
    <row r="715" spans="1:14" x14ac:dyDescent="0.3">
      <c r="A715" s="213" t="s">
        <v>291</v>
      </c>
      <c r="B715" s="214" t="s">
        <v>490</v>
      </c>
      <c r="C715" s="214" t="s">
        <v>290</v>
      </c>
      <c r="D715" s="295" t="s">
        <v>126</v>
      </c>
      <c r="E715" s="293" t="s">
        <v>6</v>
      </c>
      <c r="F715" s="294">
        <v>3619351.16</v>
      </c>
      <c r="G715" s="238">
        <f t="shared" si="146"/>
        <v>2084474.79</v>
      </c>
      <c r="H715" s="217">
        <f t="shared" si="146"/>
        <v>1444149.23</v>
      </c>
      <c r="I715" s="217">
        <f t="shared" si="146"/>
        <v>358800</v>
      </c>
      <c r="J715" s="238">
        <f t="shared" si="146"/>
        <v>358800</v>
      </c>
      <c r="K715" s="331">
        <f t="shared" si="146"/>
        <v>0</v>
      </c>
      <c r="L715" s="313">
        <f t="shared" si="143"/>
        <v>-358800</v>
      </c>
      <c r="M715" s="314">
        <f t="shared" si="144"/>
        <v>17.212969028039911</v>
      </c>
      <c r="N715" s="314">
        <f t="shared" si="145"/>
        <v>0</v>
      </c>
    </row>
    <row r="716" spans="1:14" ht="44.5" customHeight="1" x14ac:dyDescent="0.3">
      <c r="A716" s="219" t="s">
        <v>359</v>
      </c>
      <c r="B716" s="214" t="s">
        <v>490</v>
      </c>
      <c r="C716" s="214" t="s">
        <v>290</v>
      </c>
      <c r="D716" s="295" t="s">
        <v>198</v>
      </c>
      <c r="E716" s="293" t="s">
        <v>6</v>
      </c>
      <c r="F716" s="296">
        <v>3619351.16</v>
      </c>
      <c r="G716" s="238">
        <f t="shared" si="146"/>
        <v>2084474.79</v>
      </c>
      <c r="H716" s="217">
        <f t="shared" si="146"/>
        <v>1444149.23</v>
      </c>
      <c r="I716" s="217">
        <f t="shared" si="146"/>
        <v>358800</v>
      </c>
      <c r="J716" s="238">
        <f t="shared" si="146"/>
        <v>358800</v>
      </c>
      <c r="K716" s="331">
        <f t="shared" si="146"/>
        <v>0</v>
      </c>
      <c r="L716" s="313">
        <f t="shared" si="143"/>
        <v>-358800</v>
      </c>
      <c r="M716" s="314">
        <f t="shared" si="144"/>
        <v>17.212969028039911</v>
      </c>
      <c r="N716" s="314">
        <f t="shared" si="145"/>
        <v>0</v>
      </c>
    </row>
    <row r="717" spans="1:14" ht="50.95" x14ac:dyDescent="0.3">
      <c r="A717" s="213" t="s">
        <v>210</v>
      </c>
      <c r="B717" s="214" t="s">
        <v>490</v>
      </c>
      <c r="C717" s="214" t="s">
        <v>290</v>
      </c>
      <c r="D717" s="293" t="s">
        <v>608</v>
      </c>
      <c r="E717" s="293" t="s">
        <v>6</v>
      </c>
      <c r="F717" s="294">
        <v>3619351.16</v>
      </c>
      <c r="G717" s="238">
        <f>G718+G731</f>
        <v>2084474.79</v>
      </c>
      <c r="H717" s="217">
        <f>H718+H731</f>
        <v>1444149.23</v>
      </c>
      <c r="I717" s="217">
        <f>I721</f>
        <v>358800</v>
      </c>
      <c r="J717" s="238">
        <f>J721</f>
        <v>358800</v>
      </c>
      <c r="K717" s="331">
        <f>K721</f>
        <v>0</v>
      </c>
      <c r="L717" s="313">
        <f t="shared" si="143"/>
        <v>-358800</v>
      </c>
      <c r="M717" s="314">
        <f t="shared" si="144"/>
        <v>17.212969028039911</v>
      </c>
      <c r="N717" s="314">
        <f t="shared" si="145"/>
        <v>0</v>
      </c>
    </row>
    <row r="718" spans="1:14" ht="45.7" customHeight="1" x14ac:dyDescent="0.3">
      <c r="A718" s="213" t="s">
        <v>797</v>
      </c>
      <c r="B718" s="214" t="s">
        <v>490</v>
      </c>
      <c r="C718" s="214" t="s">
        <v>290</v>
      </c>
      <c r="D718" s="293" t="s">
        <v>798</v>
      </c>
      <c r="E718" s="293" t="s">
        <v>6</v>
      </c>
      <c r="F718" s="293"/>
      <c r="G718" s="238">
        <f>G719</f>
        <v>1677418.74</v>
      </c>
      <c r="H718" s="217">
        <f>H719</f>
        <v>1128718.53</v>
      </c>
      <c r="I718" s="217">
        <v>0</v>
      </c>
      <c r="J718" s="238">
        <v>0</v>
      </c>
      <c r="K718" s="331">
        <v>0</v>
      </c>
      <c r="L718" s="313">
        <f t="shared" si="143"/>
        <v>0</v>
      </c>
      <c r="M718" s="314">
        <f t="shared" si="144"/>
        <v>0</v>
      </c>
      <c r="N718" s="314">
        <f t="shared" si="145"/>
        <v>0</v>
      </c>
    </row>
    <row r="719" spans="1:14" ht="34" x14ac:dyDescent="0.3">
      <c r="A719" s="213" t="s">
        <v>37</v>
      </c>
      <c r="B719" s="214" t="s">
        <v>490</v>
      </c>
      <c r="C719" s="214" t="s">
        <v>290</v>
      </c>
      <c r="D719" s="293" t="s">
        <v>798</v>
      </c>
      <c r="E719" s="293" t="s">
        <v>38</v>
      </c>
      <c r="F719" s="293"/>
      <c r="G719" s="238">
        <f>G720</f>
        <v>1677418.74</v>
      </c>
      <c r="H719" s="217">
        <f>H720</f>
        <v>1128718.53</v>
      </c>
      <c r="I719" s="217">
        <v>0</v>
      </c>
      <c r="J719" s="238">
        <v>0</v>
      </c>
      <c r="K719" s="331">
        <v>0</v>
      </c>
      <c r="L719" s="313">
        <f t="shared" si="143"/>
        <v>0</v>
      </c>
      <c r="M719" s="314">
        <f t="shared" si="144"/>
        <v>0</v>
      </c>
      <c r="N719" s="314">
        <f t="shared" si="145"/>
        <v>0</v>
      </c>
    </row>
    <row r="720" spans="1:14" ht="19.55" customHeight="1" x14ac:dyDescent="0.3">
      <c r="A720" s="213" t="s">
        <v>74</v>
      </c>
      <c r="B720" s="214" t="s">
        <v>490</v>
      </c>
      <c r="C720" s="214" t="s">
        <v>290</v>
      </c>
      <c r="D720" s="293" t="s">
        <v>798</v>
      </c>
      <c r="E720" s="293" t="s">
        <v>75</v>
      </c>
      <c r="F720" s="293"/>
      <c r="G720" s="238">
        <v>1677418.74</v>
      </c>
      <c r="H720" s="218">
        <v>1128718.53</v>
      </c>
      <c r="I720" s="217">
        <v>0</v>
      </c>
      <c r="J720" s="238">
        <v>0</v>
      </c>
      <c r="K720" s="331">
        <v>0</v>
      </c>
      <c r="L720" s="313">
        <f t="shared" si="143"/>
        <v>0</v>
      </c>
      <c r="M720" s="314">
        <f t="shared" si="144"/>
        <v>0</v>
      </c>
      <c r="N720" s="314">
        <f t="shared" si="145"/>
        <v>0</v>
      </c>
    </row>
    <row r="721" spans="1:14" x14ac:dyDescent="0.3">
      <c r="A721" s="213" t="s">
        <v>360</v>
      </c>
      <c r="B721" s="214" t="s">
        <v>490</v>
      </c>
      <c r="C721" s="214" t="s">
        <v>290</v>
      </c>
      <c r="D721" s="293" t="s">
        <v>293</v>
      </c>
      <c r="E721" s="293" t="s">
        <v>6</v>
      </c>
      <c r="F721" s="299"/>
      <c r="G721" s="238">
        <f>G722+G725+G728</f>
        <v>0</v>
      </c>
      <c r="H721" s="234">
        <f>H722+H725+H728</f>
        <v>0</v>
      </c>
      <c r="I721" s="234">
        <f t="shared" ref="I721:K723" si="147">I722</f>
        <v>358800</v>
      </c>
      <c r="J721" s="238">
        <f t="shared" si="147"/>
        <v>358800</v>
      </c>
      <c r="K721" s="331">
        <f t="shared" si="147"/>
        <v>0</v>
      </c>
      <c r="L721" s="313">
        <f t="shared" si="143"/>
        <v>-358800</v>
      </c>
      <c r="M721" s="314"/>
      <c r="N721" s="314"/>
    </row>
    <row r="722" spans="1:14" ht="34" x14ac:dyDescent="0.3">
      <c r="A722" s="213" t="s">
        <v>273</v>
      </c>
      <c r="B722" s="214" t="s">
        <v>490</v>
      </c>
      <c r="C722" s="214" t="s">
        <v>290</v>
      </c>
      <c r="D722" s="293" t="s">
        <v>292</v>
      </c>
      <c r="E722" s="293" t="s">
        <v>6</v>
      </c>
      <c r="F722" s="299"/>
      <c r="G722" s="238">
        <f t="shared" si="146"/>
        <v>0</v>
      </c>
      <c r="H722" s="234">
        <f t="shared" si="146"/>
        <v>0</v>
      </c>
      <c r="I722" s="234">
        <f t="shared" si="147"/>
        <v>358800</v>
      </c>
      <c r="J722" s="238">
        <f t="shared" si="147"/>
        <v>358800</v>
      </c>
      <c r="K722" s="331">
        <f t="shared" si="147"/>
        <v>0</v>
      </c>
      <c r="L722" s="313">
        <f t="shared" si="143"/>
        <v>-358800</v>
      </c>
      <c r="M722" s="314"/>
      <c r="N722" s="314"/>
    </row>
    <row r="723" spans="1:14" ht="34" x14ac:dyDescent="0.3">
      <c r="A723" s="213" t="s">
        <v>37</v>
      </c>
      <c r="B723" s="214" t="s">
        <v>490</v>
      </c>
      <c r="C723" s="214" t="s">
        <v>290</v>
      </c>
      <c r="D723" s="293" t="s">
        <v>292</v>
      </c>
      <c r="E723" s="293" t="s">
        <v>38</v>
      </c>
      <c r="F723" s="299"/>
      <c r="G723" s="238">
        <f>G724</f>
        <v>0</v>
      </c>
      <c r="H723" s="234">
        <f>H724</f>
        <v>0</v>
      </c>
      <c r="I723" s="234">
        <f t="shared" si="147"/>
        <v>358800</v>
      </c>
      <c r="J723" s="238">
        <f t="shared" si="147"/>
        <v>358800</v>
      </c>
      <c r="K723" s="331">
        <f t="shared" si="147"/>
        <v>0</v>
      </c>
      <c r="L723" s="313">
        <f t="shared" si="143"/>
        <v>-358800</v>
      </c>
      <c r="M723" s="314"/>
      <c r="N723" s="314"/>
    </row>
    <row r="724" spans="1:14" ht="18" customHeight="1" x14ac:dyDescent="0.3">
      <c r="A724" s="213" t="s">
        <v>74</v>
      </c>
      <c r="B724" s="214" t="s">
        <v>490</v>
      </c>
      <c r="C724" s="214" t="s">
        <v>290</v>
      </c>
      <c r="D724" s="293" t="s">
        <v>292</v>
      </c>
      <c r="E724" s="293" t="s">
        <v>75</v>
      </c>
      <c r="F724" s="299"/>
      <c r="G724" s="238">
        <f>[2]потребность!I659</f>
        <v>0</v>
      </c>
      <c r="H724" s="234">
        <v>0</v>
      </c>
      <c r="I724" s="234">
        <v>358800</v>
      </c>
      <c r="J724" s="238">
        <v>358800</v>
      </c>
      <c r="K724" s="331">
        <f>358800-358800</f>
        <v>0</v>
      </c>
      <c r="L724" s="313">
        <f t="shared" si="143"/>
        <v>-358800</v>
      </c>
      <c r="M724" s="314"/>
      <c r="N724" s="314"/>
    </row>
    <row r="725" spans="1:14" ht="50.95" x14ac:dyDescent="0.3">
      <c r="A725" s="213" t="s">
        <v>695</v>
      </c>
      <c r="B725" s="214" t="s">
        <v>490</v>
      </c>
      <c r="C725" s="214" t="s">
        <v>290</v>
      </c>
      <c r="D725" s="293" t="s">
        <v>681</v>
      </c>
      <c r="E725" s="293" t="s">
        <v>6</v>
      </c>
      <c r="F725" s="293"/>
      <c r="G725" s="238">
        <f>G726</f>
        <v>0</v>
      </c>
      <c r="H725" s="217">
        <f>H726</f>
        <v>0</v>
      </c>
      <c r="I725" s="217">
        <v>0</v>
      </c>
      <c r="J725" s="238">
        <v>0</v>
      </c>
      <c r="K725" s="331">
        <v>0</v>
      </c>
      <c r="L725" s="313">
        <f t="shared" si="143"/>
        <v>0</v>
      </c>
      <c r="M725" s="314"/>
      <c r="N725" s="314"/>
    </row>
    <row r="726" spans="1:14" ht="34" x14ac:dyDescent="0.3">
      <c r="A726" s="213" t="s">
        <v>37</v>
      </c>
      <c r="B726" s="214" t="s">
        <v>490</v>
      </c>
      <c r="C726" s="214" t="s">
        <v>290</v>
      </c>
      <c r="D726" s="293" t="s">
        <v>681</v>
      </c>
      <c r="E726" s="293" t="s">
        <v>38</v>
      </c>
      <c r="F726" s="293"/>
      <c r="G726" s="238">
        <f>G727</f>
        <v>0</v>
      </c>
      <c r="H726" s="217">
        <f>H727</f>
        <v>0</v>
      </c>
      <c r="I726" s="217">
        <v>0</v>
      </c>
      <c r="J726" s="238">
        <v>0</v>
      </c>
      <c r="K726" s="331">
        <v>0</v>
      </c>
      <c r="L726" s="313">
        <f t="shared" si="143"/>
        <v>0</v>
      </c>
      <c r="M726" s="314"/>
      <c r="N726" s="314"/>
    </row>
    <row r="727" spans="1:14" x14ac:dyDescent="0.3">
      <c r="A727" s="213" t="s">
        <v>74</v>
      </c>
      <c r="B727" s="214" t="s">
        <v>490</v>
      </c>
      <c r="C727" s="214" t="s">
        <v>290</v>
      </c>
      <c r="D727" s="293" t="s">
        <v>681</v>
      </c>
      <c r="E727" s="293" t="s">
        <v>75</v>
      </c>
      <c r="F727" s="293"/>
      <c r="G727" s="238">
        <v>0</v>
      </c>
      <c r="H727" s="217">
        <v>0</v>
      </c>
      <c r="I727" s="217">
        <v>0</v>
      </c>
      <c r="J727" s="238">
        <v>0</v>
      </c>
      <c r="K727" s="331">
        <v>0</v>
      </c>
      <c r="L727" s="313">
        <f t="shared" si="143"/>
        <v>0</v>
      </c>
      <c r="M727" s="314"/>
      <c r="N727" s="314"/>
    </row>
    <row r="728" spans="1:14" ht="67.95" x14ac:dyDescent="0.3">
      <c r="A728" s="213" t="s">
        <v>787</v>
      </c>
      <c r="B728" s="214" t="s">
        <v>490</v>
      </c>
      <c r="C728" s="214" t="s">
        <v>290</v>
      </c>
      <c r="D728" s="293" t="s">
        <v>686</v>
      </c>
      <c r="E728" s="293" t="s">
        <v>6</v>
      </c>
      <c r="F728" s="293"/>
      <c r="G728" s="238">
        <f>G729</f>
        <v>0</v>
      </c>
      <c r="H728" s="217">
        <f>H729</f>
        <v>0</v>
      </c>
      <c r="I728" s="217">
        <v>0</v>
      </c>
      <c r="J728" s="238">
        <v>0</v>
      </c>
      <c r="K728" s="331">
        <v>0</v>
      </c>
      <c r="L728" s="313">
        <f t="shared" si="143"/>
        <v>0</v>
      </c>
      <c r="M728" s="314"/>
      <c r="N728" s="314"/>
    </row>
    <row r="729" spans="1:14" ht="34" x14ac:dyDescent="0.3">
      <c r="A729" s="213" t="s">
        <v>37</v>
      </c>
      <c r="B729" s="214" t="s">
        <v>490</v>
      </c>
      <c r="C729" s="214" t="s">
        <v>290</v>
      </c>
      <c r="D729" s="293" t="s">
        <v>686</v>
      </c>
      <c r="E729" s="293" t="s">
        <v>38</v>
      </c>
      <c r="F729" s="293"/>
      <c r="G729" s="238">
        <f>G730</f>
        <v>0</v>
      </c>
      <c r="H729" s="217">
        <f>H730</f>
        <v>0</v>
      </c>
      <c r="I729" s="217">
        <v>0</v>
      </c>
      <c r="J729" s="238">
        <v>0</v>
      </c>
      <c r="K729" s="331">
        <v>0</v>
      </c>
      <c r="L729" s="313">
        <f t="shared" si="143"/>
        <v>0</v>
      </c>
      <c r="M729" s="314"/>
      <c r="N729" s="314"/>
    </row>
    <row r="730" spans="1:14" x14ac:dyDescent="0.3">
      <c r="A730" s="213" t="s">
        <v>74</v>
      </c>
      <c r="B730" s="214" t="s">
        <v>490</v>
      </c>
      <c r="C730" s="214" t="s">
        <v>290</v>
      </c>
      <c r="D730" s="293" t="s">
        <v>686</v>
      </c>
      <c r="E730" s="293" t="s">
        <v>75</v>
      </c>
      <c r="F730" s="293"/>
      <c r="G730" s="238">
        <v>0</v>
      </c>
      <c r="H730" s="217">
        <v>0</v>
      </c>
      <c r="I730" s="217">
        <v>0</v>
      </c>
      <c r="J730" s="238">
        <v>0</v>
      </c>
      <c r="K730" s="331">
        <v>0</v>
      </c>
      <c r="L730" s="313">
        <f t="shared" si="143"/>
        <v>0</v>
      </c>
      <c r="M730" s="314"/>
      <c r="N730" s="314"/>
    </row>
    <row r="731" spans="1:14" ht="42.45" customHeight="1" x14ac:dyDescent="0.3">
      <c r="A731" s="213" t="s">
        <v>102</v>
      </c>
      <c r="B731" s="214" t="s">
        <v>490</v>
      </c>
      <c r="C731" s="214" t="s">
        <v>290</v>
      </c>
      <c r="D731" s="293" t="s">
        <v>199</v>
      </c>
      <c r="E731" s="293" t="s">
        <v>6</v>
      </c>
      <c r="F731" s="293"/>
      <c r="G731" s="238">
        <f>G732</f>
        <v>407056.05</v>
      </c>
      <c r="H731" s="217">
        <f>H732</f>
        <v>315430.7</v>
      </c>
      <c r="I731" s="217">
        <v>0</v>
      </c>
      <c r="J731" s="238">
        <v>0</v>
      </c>
      <c r="K731" s="331">
        <v>0</v>
      </c>
      <c r="L731" s="313">
        <f t="shared" si="143"/>
        <v>0</v>
      </c>
      <c r="M731" s="314">
        <f t="shared" si="144"/>
        <v>0</v>
      </c>
      <c r="N731" s="314">
        <f t="shared" si="145"/>
        <v>0</v>
      </c>
    </row>
    <row r="732" spans="1:14" ht="34" x14ac:dyDescent="0.3">
      <c r="A732" s="213" t="s">
        <v>37</v>
      </c>
      <c r="B732" s="214" t="s">
        <v>490</v>
      </c>
      <c r="C732" s="214" t="s">
        <v>290</v>
      </c>
      <c r="D732" s="293" t="s">
        <v>199</v>
      </c>
      <c r="E732" s="293" t="s">
        <v>38</v>
      </c>
      <c r="F732" s="293"/>
      <c r="G732" s="238">
        <f>G733</f>
        <v>407056.05</v>
      </c>
      <c r="H732" s="217">
        <f>H733</f>
        <v>315430.7</v>
      </c>
      <c r="I732" s="217">
        <v>0</v>
      </c>
      <c r="J732" s="238">
        <v>0</v>
      </c>
      <c r="K732" s="331">
        <v>0</v>
      </c>
      <c r="L732" s="313">
        <f t="shared" si="143"/>
        <v>0</v>
      </c>
      <c r="M732" s="314">
        <f t="shared" si="144"/>
        <v>0</v>
      </c>
      <c r="N732" s="314">
        <f t="shared" si="145"/>
        <v>0</v>
      </c>
    </row>
    <row r="733" spans="1:14" x14ac:dyDescent="0.3">
      <c r="A733" s="213" t="s">
        <v>74</v>
      </c>
      <c r="B733" s="214" t="s">
        <v>490</v>
      </c>
      <c r="C733" s="214" t="s">
        <v>290</v>
      </c>
      <c r="D733" s="293" t="s">
        <v>199</v>
      </c>
      <c r="E733" s="293" t="s">
        <v>75</v>
      </c>
      <c r="F733" s="293"/>
      <c r="G733" s="238">
        <v>407056.05</v>
      </c>
      <c r="H733" s="218">
        <v>315430.7</v>
      </c>
      <c r="I733" s="217">
        <v>0</v>
      </c>
      <c r="J733" s="238">
        <v>0</v>
      </c>
      <c r="K733" s="331">
        <v>0</v>
      </c>
      <c r="L733" s="313">
        <f t="shared" si="143"/>
        <v>0</v>
      </c>
      <c r="M733" s="314">
        <f t="shared" si="144"/>
        <v>0</v>
      </c>
      <c r="N733" s="314">
        <f t="shared" si="145"/>
        <v>0</v>
      </c>
    </row>
    <row r="734" spans="1:14" ht="34" x14ac:dyDescent="0.3">
      <c r="A734" s="186" t="s">
        <v>671</v>
      </c>
      <c r="B734" s="243">
        <v>959</v>
      </c>
      <c r="C734" s="210" t="s">
        <v>5</v>
      </c>
      <c r="D734" s="291" t="s">
        <v>126</v>
      </c>
      <c r="E734" s="291" t="s">
        <v>6</v>
      </c>
      <c r="F734" s="292">
        <v>300218.82</v>
      </c>
      <c r="G734" s="280">
        <f>G735</f>
        <v>1627772</v>
      </c>
      <c r="H734" s="244">
        <f>H735</f>
        <v>1140137.2000000002</v>
      </c>
      <c r="I734" s="244">
        <f>I735</f>
        <v>1510000</v>
      </c>
      <c r="J734" s="280">
        <f>J735</f>
        <v>1745512</v>
      </c>
      <c r="K734" s="338">
        <f>K735</f>
        <v>1747622</v>
      </c>
      <c r="L734" s="313">
        <f t="shared" si="143"/>
        <v>2110</v>
      </c>
      <c r="M734" s="314">
        <f t="shared" si="144"/>
        <v>107.23319973558951</v>
      </c>
      <c r="N734" s="314">
        <f t="shared" si="145"/>
        <v>107.36282476907087</v>
      </c>
    </row>
    <row r="735" spans="1:14" x14ac:dyDescent="0.3">
      <c r="A735" s="213" t="s">
        <v>7</v>
      </c>
      <c r="B735" s="214" t="s">
        <v>672</v>
      </c>
      <c r="C735" s="214" t="s">
        <v>8</v>
      </c>
      <c r="D735" s="293" t="s">
        <v>126</v>
      </c>
      <c r="E735" s="293" t="s">
        <v>6</v>
      </c>
      <c r="F735" s="294">
        <v>300218.82</v>
      </c>
      <c r="G735" s="238">
        <f t="shared" ref="G735:I736" si="148">G736</f>
        <v>1627772</v>
      </c>
      <c r="H735" s="217">
        <f t="shared" si="148"/>
        <v>1140137.2000000002</v>
      </c>
      <c r="I735" s="217">
        <f t="shared" si="148"/>
        <v>1510000</v>
      </c>
      <c r="J735" s="238">
        <f>J736+J748</f>
        <v>1745512</v>
      </c>
      <c r="K735" s="331">
        <f>K736+K748</f>
        <v>1747622</v>
      </c>
      <c r="L735" s="313">
        <f t="shared" si="143"/>
        <v>2110</v>
      </c>
      <c r="M735" s="314">
        <f t="shared" si="144"/>
        <v>107.23319973558951</v>
      </c>
      <c r="N735" s="314">
        <f t="shared" si="145"/>
        <v>107.36282476907087</v>
      </c>
    </row>
    <row r="736" spans="1:14" ht="50.95" x14ac:dyDescent="0.3">
      <c r="A736" s="213" t="s">
        <v>9</v>
      </c>
      <c r="B736" s="214" t="s">
        <v>672</v>
      </c>
      <c r="C736" s="214" t="s">
        <v>10</v>
      </c>
      <c r="D736" s="293" t="s">
        <v>126</v>
      </c>
      <c r="E736" s="293" t="s">
        <v>6</v>
      </c>
      <c r="F736" s="294">
        <v>300218.82</v>
      </c>
      <c r="G736" s="237">
        <f t="shared" si="148"/>
        <v>1627772</v>
      </c>
      <c r="H736" s="215">
        <f t="shared" si="148"/>
        <v>1140137.2000000002</v>
      </c>
      <c r="I736" s="215">
        <f t="shared" si="148"/>
        <v>1510000</v>
      </c>
      <c r="J736" s="237">
        <f>J737</f>
        <v>1688872</v>
      </c>
      <c r="K736" s="330">
        <f>K737</f>
        <v>1728872</v>
      </c>
      <c r="L736" s="313">
        <f t="shared" si="143"/>
        <v>40000</v>
      </c>
      <c r="M736" s="314">
        <f t="shared" si="144"/>
        <v>103.75359694109495</v>
      </c>
      <c r="N736" s="314">
        <f t="shared" si="145"/>
        <v>106.21094354737642</v>
      </c>
    </row>
    <row r="737" spans="1:14" ht="34" x14ac:dyDescent="0.3">
      <c r="A737" s="213" t="s">
        <v>132</v>
      </c>
      <c r="B737" s="214" t="s">
        <v>672</v>
      </c>
      <c r="C737" s="214" t="s">
        <v>10</v>
      </c>
      <c r="D737" s="293" t="s">
        <v>127</v>
      </c>
      <c r="E737" s="293" t="s">
        <v>6</v>
      </c>
      <c r="F737" s="294">
        <v>300218.82</v>
      </c>
      <c r="G737" s="237">
        <f>G738+G741</f>
        <v>1627772</v>
      </c>
      <c r="H737" s="215">
        <f>H738+H741</f>
        <v>1140137.2000000002</v>
      </c>
      <c r="I737" s="215">
        <f>I738+I741</f>
        <v>1510000</v>
      </c>
      <c r="J737" s="237">
        <f>J738+J741</f>
        <v>1688872</v>
      </c>
      <c r="K737" s="330">
        <f>K738+K741</f>
        <v>1728872</v>
      </c>
      <c r="L737" s="313">
        <f t="shared" si="143"/>
        <v>40000</v>
      </c>
      <c r="M737" s="314">
        <f t="shared" si="144"/>
        <v>103.75359694109495</v>
      </c>
      <c r="N737" s="314">
        <f t="shared" si="145"/>
        <v>106.21094354737642</v>
      </c>
    </row>
    <row r="738" spans="1:14" x14ac:dyDescent="0.3">
      <c r="A738" s="213" t="s">
        <v>673</v>
      </c>
      <c r="B738" s="214" t="s">
        <v>672</v>
      </c>
      <c r="C738" s="214" t="s">
        <v>10</v>
      </c>
      <c r="D738" s="293" t="s">
        <v>143</v>
      </c>
      <c r="E738" s="293" t="s">
        <v>6</v>
      </c>
      <c r="F738" s="294">
        <v>174318.55</v>
      </c>
      <c r="G738" s="237">
        <f t="shared" ref="G738:K739" si="149">G739</f>
        <v>1347772</v>
      </c>
      <c r="H738" s="215">
        <f t="shared" si="149"/>
        <v>981643.31</v>
      </c>
      <c r="I738" s="215">
        <f t="shared" si="149"/>
        <v>1220000</v>
      </c>
      <c r="J738" s="238">
        <f t="shared" si="149"/>
        <v>1384096</v>
      </c>
      <c r="K738" s="331">
        <f t="shared" si="149"/>
        <v>1484637</v>
      </c>
      <c r="L738" s="313">
        <f t="shared" si="143"/>
        <v>100541</v>
      </c>
      <c r="M738" s="314">
        <f t="shared" si="144"/>
        <v>102.69511460395378</v>
      </c>
      <c r="N738" s="314">
        <f t="shared" si="145"/>
        <v>110.1549075066109</v>
      </c>
    </row>
    <row r="739" spans="1:14" ht="84.9" x14ac:dyDescent="0.3">
      <c r="A739" s="213" t="s">
        <v>11</v>
      </c>
      <c r="B739" s="214" t="s">
        <v>672</v>
      </c>
      <c r="C739" s="214" t="s">
        <v>10</v>
      </c>
      <c r="D739" s="293" t="s">
        <v>143</v>
      </c>
      <c r="E739" s="293" t="s">
        <v>12</v>
      </c>
      <c r="F739" s="294">
        <v>174318.55</v>
      </c>
      <c r="G739" s="237">
        <f t="shared" si="149"/>
        <v>1347772</v>
      </c>
      <c r="H739" s="215">
        <f t="shared" si="149"/>
        <v>981643.31</v>
      </c>
      <c r="I739" s="215">
        <f t="shared" si="149"/>
        <v>1220000</v>
      </c>
      <c r="J739" s="238">
        <f t="shared" si="149"/>
        <v>1384096</v>
      </c>
      <c r="K739" s="331">
        <f t="shared" si="149"/>
        <v>1484637</v>
      </c>
      <c r="L739" s="313">
        <f t="shared" si="143"/>
        <v>100541</v>
      </c>
      <c r="M739" s="314">
        <f t="shared" si="144"/>
        <v>102.69511460395378</v>
      </c>
      <c r="N739" s="314">
        <f t="shared" si="145"/>
        <v>110.1549075066109</v>
      </c>
    </row>
    <row r="740" spans="1:14" ht="34" x14ac:dyDescent="0.3">
      <c r="A740" s="213" t="s">
        <v>13</v>
      </c>
      <c r="B740" s="214" t="s">
        <v>672</v>
      </c>
      <c r="C740" s="214" t="s">
        <v>10</v>
      </c>
      <c r="D740" s="293" t="s">
        <v>143</v>
      </c>
      <c r="E740" s="293" t="s">
        <v>14</v>
      </c>
      <c r="F740" s="294">
        <v>174318.55</v>
      </c>
      <c r="G740" s="238">
        <f>[2]потребность!I672+248000-40228</f>
        <v>1347772</v>
      </c>
      <c r="H740" s="218">
        <v>981643.31</v>
      </c>
      <c r="I740" s="217">
        <f>'[2]прил 12'!F678</f>
        <v>1220000</v>
      </c>
      <c r="J740" s="238">
        <v>1384096</v>
      </c>
      <c r="K740" s="331">
        <f>1384096+6594+3000+31500+40000+19447</f>
        <v>1484637</v>
      </c>
      <c r="L740" s="313">
        <f t="shared" si="143"/>
        <v>100541</v>
      </c>
      <c r="M740" s="314">
        <f t="shared" si="144"/>
        <v>102.69511460395378</v>
      </c>
      <c r="N740" s="314">
        <f t="shared" si="145"/>
        <v>110.1549075066109</v>
      </c>
    </row>
    <row r="741" spans="1:14" ht="45.7" customHeight="1" x14ac:dyDescent="0.3">
      <c r="A741" s="213" t="s">
        <v>449</v>
      </c>
      <c r="B741" s="214" t="s">
        <v>672</v>
      </c>
      <c r="C741" s="214" t="s">
        <v>10</v>
      </c>
      <c r="D741" s="293" t="s">
        <v>450</v>
      </c>
      <c r="E741" s="293" t="s">
        <v>6</v>
      </c>
      <c r="F741" s="294">
        <v>125900.27</v>
      </c>
      <c r="G741" s="238">
        <f>G742+G744</f>
        <v>280000</v>
      </c>
      <c r="H741" s="217">
        <f>H742+H744</f>
        <v>158493.89000000001</v>
      </c>
      <c r="I741" s="217">
        <f>I742+I744</f>
        <v>290000</v>
      </c>
      <c r="J741" s="238">
        <f>J742+J744+J746</f>
        <v>304776</v>
      </c>
      <c r="K741" s="331">
        <f>K742+K744+K746</f>
        <v>244235</v>
      </c>
      <c r="L741" s="313">
        <f t="shared" si="143"/>
        <v>-60541</v>
      </c>
      <c r="M741" s="314">
        <f t="shared" si="144"/>
        <v>108.84857142857143</v>
      </c>
      <c r="N741" s="314">
        <f t="shared" si="145"/>
        <v>87.226785714285711</v>
      </c>
    </row>
    <row r="742" spans="1:14" ht="84.9" x14ac:dyDescent="0.3">
      <c r="A742" s="213" t="s">
        <v>11</v>
      </c>
      <c r="B742" s="214" t="s">
        <v>672</v>
      </c>
      <c r="C742" s="214" t="s">
        <v>10</v>
      </c>
      <c r="D742" s="293" t="s">
        <v>450</v>
      </c>
      <c r="E742" s="293" t="s">
        <v>12</v>
      </c>
      <c r="F742" s="294">
        <v>14739.19</v>
      </c>
      <c r="G742" s="238">
        <f>G743</f>
        <v>200000</v>
      </c>
      <c r="H742" s="217">
        <f>H743</f>
        <v>148323.89000000001</v>
      </c>
      <c r="I742" s="217">
        <f>I743</f>
        <v>210000</v>
      </c>
      <c r="J742" s="238">
        <f>J743</f>
        <v>212776</v>
      </c>
      <c r="K742" s="331">
        <f>K743</f>
        <v>206182</v>
      </c>
      <c r="L742" s="313">
        <f t="shared" si="143"/>
        <v>-6594</v>
      </c>
      <c r="M742" s="314">
        <f t="shared" si="144"/>
        <v>106.38800000000001</v>
      </c>
      <c r="N742" s="314">
        <f t="shared" si="145"/>
        <v>103.09099999999999</v>
      </c>
    </row>
    <row r="743" spans="1:14" ht="34" x14ac:dyDescent="0.3">
      <c r="A743" s="213" t="s">
        <v>13</v>
      </c>
      <c r="B743" s="214" t="s">
        <v>672</v>
      </c>
      <c r="C743" s="214" t="s">
        <v>10</v>
      </c>
      <c r="D743" s="293" t="s">
        <v>450</v>
      </c>
      <c r="E743" s="293" t="s">
        <v>14</v>
      </c>
      <c r="F743" s="294">
        <v>14739.19</v>
      </c>
      <c r="G743" s="238">
        <f>[2]потребность!I675</f>
        <v>200000</v>
      </c>
      <c r="H743" s="218">
        <v>148323.89000000001</v>
      </c>
      <c r="I743" s="217">
        <f>'[2]прил 12'!F681</f>
        <v>210000</v>
      </c>
      <c r="J743" s="238">
        <v>212776</v>
      </c>
      <c r="K743" s="331">
        <f>212776-6594</f>
        <v>206182</v>
      </c>
      <c r="L743" s="313">
        <f t="shared" si="143"/>
        <v>-6594</v>
      </c>
      <c r="M743" s="314">
        <f t="shared" si="144"/>
        <v>106.38800000000001</v>
      </c>
      <c r="N743" s="314">
        <f t="shared" si="145"/>
        <v>103.09099999999999</v>
      </c>
    </row>
    <row r="744" spans="1:14" ht="34" x14ac:dyDescent="0.3">
      <c r="A744" s="213" t="s">
        <v>15</v>
      </c>
      <c r="B744" s="214" t="s">
        <v>672</v>
      </c>
      <c r="C744" s="214" t="s">
        <v>10</v>
      </c>
      <c r="D744" s="293" t="s">
        <v>450</v>
      </c>
      <c r="E744" s="293" t="s">
        <v>16</v>
      </c>
      <c r="F744" s="294">
        <v>111161.08</v>
      </c>
      <c r="G744" s="238">
        <f>G745</f>
        <v>80000</v>
      </c>
      <c r="H744" s="217">
        <f>H745</f>
        <v>10170</v>
      </c>
      <c r="I744" s="217">
        <f>I745</f>
        <v>80000</v>
      </c>
      <c r="J744" s="238">
        <f>J745</f>
        <v>91500</v>
      </c>
      <c r="K744" s="331">
        <f>K745</f>
        <v>37553</v>
      </c>
      <c r="L744" s="313">
        <f t="shared" si="143"/>
        <v>-53947</v>
      </c>
      <c r="M744" s="314">
        <f t="shared" si="144"/>
        <v>114.375</v>
      </c>
      <c r="N744" s="314">
        <f t="shared" si="145"/>
        <v>46.941250000000004</v>
      </c>
    </row>
    <row r="745" spans="1:14" ht="42.8" customHeight="1" x14ac:dyDescent="0.3">
      <c r="A745" s="213" t="s">
        <v>17</v>
      </c>
      <c r="B745" s="214" t="s">
        <v>672</v>
      </c>
      <c r="C745" s="214" t="s">
        <v>10</v>
      </c>
      <c r="D745" s="293" t="s">
        <v>450</v>
      </c>
      <c r="E745" s="293" t="s">
        <v>18</v>
      </c>
      <c r="F745" s="294">
        <v>111161.08</v>
      </c>
      <c r="G745" s="238">
        <f>[2]потребность!I677</f>
        <v>80000</v>
      </c>
      <c r="H745" s="218">
        <v>10170</v>
      </c>
      <c r="I745" s="217">
        <f>'[2]прил 12'!F683</f>
        <v>80000</v>
      </c>
      <c r="J745" s="238">
        <v>91500</v>
      </c>
      <c r="K745" s="331">
        <f>91500-31500-3000-19447</f>
        <v>37553</v>
      </c>
      <c r="L745" s="313">
        <f t="shared" si="143"/>
        <v>-53947</v>
      </c>
      <c r="M745" s="314">
        <f t="shared" si="144"/>
        <v>114.375</v>
      </c>
      <c r="N745" s="314">
        <f t="shared" si="145"/>
        <v>46.941250000000004</v>
      </c>
    </row>
    <row r="746" spans="1:14" ht="29.25" customHeight="1" x14ac:dyDescent="0.3">
      <c r="A746" s="213" t="s">
        <v>19</v>
      </c>
      <c r="B746" s="214" t="s">
        <v>672</v>
      </c>
      <c r="C746" s="214" t="s">
        <v>10</v>
      </c>
      <c r="D746" s="293" t="s">
        <v>450</v>
      </c>
      <c r="E746" s="293" t="s">
        <v>20</v>
      </c>
      <c r="F746" s="293"/>
      <c r="G746" s="238">
        <v>0</v>
      </c>
      <c r="H746" s="217">
        <v>0</v>
      </c>
      <c r="I746" s="217">
        <v>0</v>
      </c>
      <c r="J746" s="238">
        <f>J747</f>
        <v>500</v>
      </c>
      <c r="K746" s="331">
        <f>K747</f>
        <v>500</v>
      </c>
      <c r="L746" s="313">
        <f t="shared" si="143"/>
        <v>0</v>
      </c>
      <c r="M746" s="314"/>
      <c r="N746" s="314"/>
    </row>
    <row r="747" spans="1:14" ht="27.2" customHeight="1" x14ac:dyDescent="0.3">
      <c r="A747" s="213" t="s">
        <v>21</v>
      </c>
      <c r="B747" s="214" t="s">
        <v>672</v>
      </c>
      <c r="C747" s="214" t="s">
        <v>10</v>
      </c>
      <c r="D747" s="293" t="s">
        <v>450</v>
      </c>
      <c r="E747" s="293" t="s">
        <v>22</v>
      </c>
      <c r="F747" s="293"/>
      <c r="G747" s="238">
        <v>0</v>
      </c>
      <c r="H747" s="217">
        <v>0</v>
      </c>
      <c r="I747" s="217">
        <v>0</v>
      </c>
      <c r="J747" s="238">
        <v>500</v>
      </c>
      <c r="K747" s="331">
        <v>500</v>
      </c>
      <c r="L747" s="313">
        <f t="shared" si="143"/>
        <v>0</v>
      </c>
      <c r="M747" s="314"/>
      <c r="N747" s="314"/>
    </row>
    <row r="748" spans="1:14" ht="31.75" customHeight="1" x14ac:dyDescent="0.3">
      <c r="A748" s="213" t="s">
        <v>23</v>
      </c>
      <c r="B748" s="214" t="s">
        <v>672</v>
      </c>
      <c r="C748" s="214" t="s">
        <v>24</v>
      </c>
      <c r="D748" s="293" t="s">
        <v>126</v>
      </c>
      <c r="E748" s="293" t="s">
        <v>6</v>
      </c>
      <c r="F748" s="293"/>
      <c r="G748" s="238">
        <v>0</v>
      </c>
      <c r="H748" s="217">
        <v>0</v>
      </c>
      <c r="I748" s="217">
        <v>0</v>
      </c>
      <c r="J748" s="238">
        <f>J749+J754</f>
        <v>56640</v>
      </c>
      <c r="K748" s="331">
        <f>K749+K754</f>
        <v>18750</v>
      </c>
      <c r="L748" s="313">
        <f t="shared" si="143"/>
        <v>-37890</v>
      </c>
      <c r="M748" s="314"/>
      <c r="N748" s="314"/>
    </row>
    <row r="749" spans="1:14" ht="42.8" customHeight="1" x14ac:dyDescent="0.3">
      <c r="A749" s="219" t="s">
        <v>724</v>
      </c>
      <c r="B749" s="220" t="s">
        <v>672</v>
      </c>
      <c r="C749" s="220" t="s">
        <v>24</v>
      </c>
      <c r="D749" s="295" t="s">
        <v>128</v>
      </c>
      <c r="E749" s="295" t="s">
        <v>6</v>
      </c>
      <c r="F749" s="295"/>
      <c r="G749" s="238">
        <v>0</v>
      </c>
      <c r="H749" s="217">
        <v>0</v>
      </c>
      <c r="I749" s="217">
        <v>0</v>
      </c>
      <c r="J749" s="238">
        <f t="shared" ref="J749:K752" si="150">J750</f>
        <v>10000</v>
      </c>
      <c r="K749" s="331">
        <f t="shared" si="150"/>
        <v>10000</v>
      </c>
      <c r="L749" s="313">
        <f t="shared" si="143"/>
        <v>0</v>
      </c>
      <c r="M749" s="314"/>
      <c r="N749" s="314"/>
    </row>
    <row r="750" spans="1:14" ht="38.049999999999997" customHeight="1" x14ac:dyDescent="0.3">
      <c r="A750" s="225" t="s">
        <v>729</v>
      </c>
      <c r="B750" s="214" t="s">
        <v>672</v>
      </c>
      <c r="C750" s="214" t="s">
        <v>24</v>
      </c>
      <c r="D750" s="293" t="s">
        <v>303</v>
      </c>
      <c r="E750" s="293" t="s">
        <v>6</v>
      </c>
      <c r="F750" s="293"/>
      <c r="G750" s="238">
        <v>0</v>
      </c>
      <c r="H750" s="217">
        <v>0</v>
      </c>
      <c r="I750" s="217">
        <v>0</v>
      </c>
      <c r="J750" s="238">
        <f t="shared" si="150"/>
        <v>10000</v>
      </c>
      <c r="K750" s="331">
        <f t="shared" si="150"/>
        <v>10000</v>
      </c>
      <c r="L750" s="313">
        <f t="shared" si="143"/>
        <v>0</v>
      </c>
      <c r="M750" s="314"/>
      <c r="N750" s="314"/>
    </row>
    <row r="751" spans="1:14" ht="23.8" customHeight="1" x14ac:dyDescent="0.3">
      <c r="A751" s="225" t="s">
        <v>309</v>
      </c>
      <c r="B751" s="214" t="s">
        <v>672</v>
      </c>
      <c r="C751" s="214" t="s">
        <v>24</v>
      </c>
      <c r="D751" s="293" t="s">
        <v>304</v>
      </c>
      <c r="E751" s="293" t="s">
        <v>6</v>
      </c>
      <c r="F751" s="293"/>
      <c r="G751" s="238">
        <v>0</v>
      </c>
      <c r="H751" s="217">
        <v>0</v>
      </c>
      <c r="I751" s="217">
        <v>0</v>
      </c>
      <c r="J751" s="238">
        <f t="shared" si="150"/>
        <v>10000</v>
      </c>
      <c r="K751" s="331">
        <f t="shared" si="150"/>
        <v>10000</v>
      </c>
      <c r="L751" s="313">
        <f t="shared" si="143"/>
        <v>0</v>
      </c>
      <c r="M751" s="314"/>
      <c r="N751" s="314"/>
    </row>
    <row r="752" spans="1:14" ht="42.8" customHeight="1" x14ac:dyDescent="0.3">
      <c r="A752" s="213" t="s">
        <v>15</v>
      </c>
      <c r="B752" s="214" t="s">
        <v>672</v>
      </c>
      <c r="C752" s="214" t="s">
        <v>24</v>
      </c>
      <c r="D752" s="293" t="s">
        <v>304</v>
      </c>
      <c r="E752" s="293" t="s">
        <v>16</v>
      </c>
      <c r="F752" s="293"/>
      <c r="G752" s="238">
        <v>0</v>
      </c>
      <c r="H752" s="217">
        <v>0</v>
      </c>
      <c r="I752" s="217">
        <v>0</v>
      </c>
      <c r="J752" s="238">
        <f t="shared" si="150"/>
        <v>10000</v>
      </c>
      <c r="K752" s="331">
        <f t="shared" si="150"/>
        <v>10000</v>
      </c>
      <c r="L752" s="313">
        <f t="shared" si="143"/>
        <v>0</v>
      </c>
      <c r="M752" s="314"/>
      <c r="N752" s="314"/>
    </row>
    <row r="753" spans="1:14" ht="42.8" customHeight="1" x14ac:dyDescent="0.3">
      <c r="A753" s="213" t="s">
        <v>17</v>
      </c>
      <c r="B753" s="214" t="s">
        <v>672</v>
      </c>
      <c r="C753" s="214" t="s">
        <v>24</v>
      </c>
      <c r="D753" s="293" t="s">
        <v>304</v>
      </c>
      <c r="E753" s="293" t="s">
        <v>18</v>
      </c>
      <c r="F753" s="293"/>
      <c r="G753" s="238">
        <v>0</v>
      </c>
      <c r="H753" s="217">
        <v>0</v>
      </c>
      <c r="I753" s="217">
        <v>0</v>
      </c>
      <c r="J753" s="238">
        <v>10000</v>
      </c>
      <c r="K753" s="331">
        <v>10000</v>
      </c>
      <c r="L753" s="313">
        <f t="shared" si="143"/>
        <v>0</v>
      </c>
      <c r="M753" s="314"/>
      <c r="N753" s="314"/>
    </row>
    <row r="754" spans="1:14" ht="44.15" customHeight="1" x14ac:dyDescent="0.3">
      <c r="A754" s="226" t="s">
        <v>723</v>
      </c>
      <c r="B754" s="220" t="s">
        <v>672</v>
      </c>
      <c r="C754" s="214" t="s">
        <v>24</v>
      </c>
      <c r="D754" s="295" t="s">
        <v>305</v>
      </c>
      <c r="E754" s="295" t="s">
        <v>6</v>
      </c>
      <c r="F754" s="295"/>
      <c r="G754" s="238">
        <v>0</v>
      </c>
      <c r="H754" s="217">
        <v>0</v>
      </c>
      <c r="I754" s="217">
        <v>0</v>
      </c>
      <c r="J754" s="238">
        <f t="shared" ref="J754:K757" si="151">J755</f>
        <v>46640</v>
      </c>
      <c r="K754" s="331">
        <f t="shared" si="151"/>
        <v>8750</v>
      </c>
      <c r="L754" s="313">
        <f t="shared" si="143"/>
        <v>-37890</v>
      </c>
      <c r="M754" s="314"/>
      <c r="N754" s="314"/>
    </row>
    <row r="755" spans="1:14" ht="19.2" customHeight="1" x14ac:dyDescent="0.3">
      <c r="A755" s="225" t="s">
        <v>245</v>
      </c>
      <c r="B755" s="214" t="s">
        <v>672</v>
      </c>
      <c r="C755" s="214" t="s">
        <v>24</v>
      </c>
      <c r="D755" s="293" t="s">
        <v>306</v>
      </c>
      <c r="E755" s="293" t="s">
        <v>6</v>
      </c>
      <c r="F755" s="293"/>
      <c r="G755" s="238">
        <v>0</v>
      </c>
      <c r="H755" s="217">
        <v>0</v>
      </c>
      <c r="I755" s="217">
        <v>0</v>
      </c>
      <c r="J755" s="238">
        <f t="shared" si="151"/>
        <v>46640</v>
      </c>
      <c r="K755" s="331">
        <f t="shared" si="151"/>
        <v>8750</v>
      </c>
      <c r="L755" s="313">
        <f t="shared" si="143"/>
        <v>-37890</v>
      </c>
      <c r="M755" s="314"/>
      <c r="N755" s="314"/>
    </row>
    <row r="756" spans="1:14" ht="23.8" customHeight="1" x14ac:dyDescent="0.3">
      <c r="A756" s="213" t="s">
        <v>25</v>
      </c>
      <c r="B756" s="214" t="s">
        <v>672</v>
      </c>
      <c r="C756" s="214" t="s">
        <v>24</v>
      </c>
      <c r="D756" s="293" t="s">
        <v>317</v>
      </c>
      <c r="E756" s="293" t="s">
        <v>6</v>
      </c>
      <c r="F756" s="293"/>
      <c r="G756" s="238">
        <v>0</v>
      </c>
      <c r="H756" s="217">
        <v>0</v>
      </c>
      <c r="I756" s="217">
        <v>0</v>
      </c>
      <c r="J756" s="238">
        <f t="shared" si="151"/>
        <v>46640</v>
      </c>
      <c r="K756" s="331">
        <f t="shared" si="151"/>
        <v>8750</v>
      </c>
      <c r="L756" s="313">
        <f t="shared" si="143"/>
        <v>-37890</v>
      </c>
      <c r="M756" s="314"/>
      <c r="N756" s="314"/>
    </row>
    <row r="757" spans="1:14" ht="23.8" customHeight="1" x14ac:dyDescent="0.3">
      <c r="A757" s="213" t="s">
        <v>15</v>
      </c>
      <c r="B757" s="214" t="s">
        <v>672</v>
      </c>
      <c r="C757" s="214" t="s">
        <v>24</v>
      </c>
      <c r="D757" s="293" t="s">
        <v>317</v>
      </c>
      <c r="E757" s="293" t="s">
        <v>16</v>
      </c>
      <c r="F757" s="293"/>
      <c r="G757" s="238">
        <v>0</v>
      </c>
      <c r="H757" s="217">
        <v>0</v>
      </c>
      <c r="I757" s="217">
        <v>0</v>
      </c>
      <c r="J757" s="238">
        <f t="shared" si="151"/>
        <v>46640</v>
      </c>
      <c r="K757" s="331">
        <f t="shared" si="151"/>
        <v>8750</v>
      </c>
      <c r="L757" s="313">
        <f t="shared" si="143"/>
        <v>-37890</v>
      </c>
      <c r="M757" s="314"/>
      <c r="N757" s="314"/>
    </row>
    <row r="758" spans="1:14" ht="22.75" customHeight="1" x14ac:dyDescent="0.3">
      <c r="A758" s="213" t="s">
        <v>17</v>
      </c>
      <c r="B758" s="214" t="s">
        <v>672</v>
      </c>
      <c r="C758" s="214" t="s">
        <v>24</v>
      </c>
      <c r="D758" s="293" t="s">
        <v>317</v>
      </c>
      <c r="E758" s="293" t="s">
        <v>18</v>
      </c>
      <c r="F758" s="293"/>
      <c r="G758" s="238">
        <v>0</v>
      </c>
      <c r="H758" s="217">
        <v>0</v>
      </c>
      <c r="I758" s="217">
        <v>0</v>
      </c>
      <c r="J758" s="238">
        <v>46640</v>
      </c>
      <c r="K758" s="331">
        <v>8750</v>
      </c>
      <c r="L758" s="313">
        <f t="shared" si="143"/>
        <v>-37890</v>
      </c>
      <c r="M758" s="314"/>
      <c r="N758" s="314"/>
    </row>
    <row r="759" spans="1:14" x14ac:dyDescent="0.3">
      <c r="A759" s="191" t="s">
        <v>685</v>
      </c>
      <c r="B759" s="240"/>
      <c r="C759" s="240"/>
      <c r="D759" s="306"/>
      <c r="E759" s="305"/>
      <c r="F759" s="280">
        <v>988413094.71000004</v>
      </c>
      <c r="G759" s="271">
        <f>G7+G29+G512+G549+G734</f>
        <v>1058074805.61</v>
      </c>
      <c r="H759" s="211" t="e">
        <f>H7+H29+H512+H549+H734</f>
        <v>#REF!</v>
      </c>
      <c r="I759" s="211" t="e">
        <f>I7+I29+I512+I549+I734</f>
        <v>#REF!</v>
      </c>
      <c r="J759" s="271">
        <f>J7+J29+J512+J549+J734</f>
        <v>1001448650.3900001</v>
      </c>
      <c r="K759" s="329">
        <f>K7+K29+K512+K549+K734</f>
        <v>975258200.41000009</v>
      </c>
      <c r="L759" s="179">
        <f>J759-K759</f>
        <v>26190449.980000019</v>
      </c>
      <c r="M759" s="314">
        <f t="shared" ref="M759" si="152">J759/G759%</f>
        <v>94.648189814201857</v>
      </c>
      <c r="N759" s="314">
        <f t="shared" si="145"/>
        <v>92.172896967123734</v>
      </c>
    </row>
    <row r="760" spans="1:14" ht="50.95" x14ac:dyDescent="0.3">
      <c r="A760" s="246"/>
      <c r="B760" s="247"/>
      <c r="C760" s="247"/>
      <c r="D760" s="322" t="s">
        <v>875</v>
      </c>
      <c r="E760" s="308"/>
      <c r="F760" s="282"/>
      <c r="G760" s="281">
        <v>16064380.279999999</v>
      </c>
      <c r="H760" s="249"/>
      <c r="I760" s="248"/>
      <c r="J760" s="281"/>
      <c r="K760" s="339"/>
      <c r="L760" s="250"/>
    </row>
    <row r="761" spans="1:14" x14ac:dyDescent="0.3">
      <c r="A761" s="246"/>
      <c r="B761" s="247"/>
      <c r="C761" s="247"/>
      <c r="D761" s="307" t="s">
        <v>703</v>
      </c>
      <c r="E761" s="308"/>
      <c r="F761" s="308"/>
      <c r="G761" s="281">
        <v>422970631.79000002</v>
      </c>
      <c r="H761" s="249"/>
      <c r="I761" s="248">
        <f>'[2]прил 12'!F685</f>
        <v>426818000</v>
      </c>
      <c r="J761" s="282">
        <f>J759-J762</f>
        <v>480003503.49000007</v>
      </c>
      <c r="K761" s="340">
        <f>K759-K762</f>
        <v>454844644.66000003</v>
      </c>
      <c r="L761" s="318">
        <f>K761-J761</f>
        <v>-25158858.830000043</v>
      </c>
      <c r="M761" s="314">
        <f t="shared" ref="M761:M762" si="153">J761/G761%</f>
        <v>113.48388455686356</v>
      </c>
      <c r="N761" s="314">
        <f t="shared" si="145"/>
        <v>107.53575082390709</v>
      </c>
    </row>
    <row r="762" spans="1:14" x14ac:dyDescent="0.3">
      <c r="A762" s="246"/>
      <c r="B762" s="247"/>
      <c r="C762" s="247"/>
      <c r="D762" s="307" t="s">
        <v>833</v>
      </c>
      <c r="E762" s="308"/>
      <c r="F762" s="308"/>
      <c r="G762" s="281">
        <v>619039793.53999996</v>
      </c>
      <c r="H762" s="249"/>
      <c r="I762" s="248">
        <f>'[2]прил 12'!F686</f>
        <v>482120951.43599993</v>
      </c>
      <c r="J762" s="282">
        <f>J46+J134+J139+J142+J147+J152+J157+J166+J187+J193+J207+J262+J269+J298+J307+J315+J327+J359+J367+J377+J408+J415+J418+J434+J445+J452+J455+J472+J478+J488+J494+J558+J577+J591+J597+J600+J613+J623+J626+J667+J702+J709+J725-135113.43-173500-32776.18-69324.76-33081.95-186904.51</f>
        <v>521445146.90000004</v>
      </c>
      <c r="K762" s="340">
        <f>K46+K134+K139+K142+K147+K152+K157+K166+K187+K193+K207+K262+K269+K298+K307+K315+K327+K359+K367+K377+K408+K415+K418+K434+K445+K452+K455+K472+K478+K488+K494+K558+K577+K591+K597+K600+K613+K623+K626+K667+K702+K709+K725-135113.43-173500-32776.18-69324.76-33081.95-186904.51</f>
        <v>520413555.75000006</v>
      </c>
      <c r="L762" s="251"/>
      <c r="M762" s="314">
        <f t="shared" si="153"/>
        <v>84.234511632620311</v>
      </c>
      <c r="N762" s="314">
        <f t="shared" si="145"/>
        <v>84.06786787873483</v>
      </c>
    </row>
    <row r="763" spans="1:14" x14ac:dyDescent="0.3">
      <c r="A763" s="246"/>
      <c r="B763" s="247"/>
      <c r="C763" s="247"/>
      <c r="D763" s="307" t="s">
        <v>840</v>
      </c>
      <c r="E763" s="308"/>
      <c r="F763" s="308"/>
      <c r="G763" s="281"/>
      <c r="H763" s="249"/>
      <c r="I763" s="248">
        <f>'[2]прил 12'!F687</f>
        <v>10670450</v>
      </c>
      <c r="J763" s="283"/>
      <c r="K763" s="341"/>
      <c r="L763" s="250"/>
    </row>
    <row r="764" spans="1:14" x14ac:dyDescent="0.3">
      <c r="A764" s="246"/>
      <c r="B764" s="247"/>
      <c r="C764" s="247"/>
      <c r="D764" s="307" t="s">
        <v>834</v>
      </c>
      <c r="E764" s="308"/>
      <c r="F764" s="308"/>
      <c r="G764" s="281">
        <f>G761+G762</f>
        <v>1042010425.3299999</v>
      </c>
      <c r="H764" s="249"/>
      <c r="I764" s="248">
        <f>I761+I762</f>
        <v>908938951.43599987</v>
      </c>
      <c r="J764" s="282">
        <f>J761+J762</f>
        <v>1001448650.3900001</v>
      </c>
      <c r="K764" s="342">
        <f>K761+K762</f>
        <v>975258200.41000009</v>
      </c>
      <c r="L764" s="250"/>
    </row>
    <row r="765" spans="1:14" x14ac:dyDescent="0.3">
      <c r="A765" s="246"/>
      <c r="B765" s="247"/>
      <c r="C765" s="247"/>
      <c r="D765" s="307"/>
      <c r="E765" s="308"/>
      <c r="F765" s="308"/>
      <c r="G765" s="281"/>
      <c r="H765" s="249"/>
      <c r="I765" s="248"/>
      <c r="J765" s="283">
        <v>164499000</v>
      </c>
      <c r="K765" s="341"/>
      <c r="L765" s="250"/>
    </row>
    <row r="766" spans="1:14" s="264" customFormat="1" x14ac:dyDescent="0.3">
      <c r="A766" s="246"/>
      <c r="B766" s="247"/>
      <c r="C766" s="247"/>
      <c r="D766" s="307"/>
      <c r="E766" s="308"/>
      <c r="F766" s="308"/>
      <c r="G766" s="281"/>
      <c r="H766" s="249"/>
      <c r="I766" s="248"/>
      <c r="J766" s="283">
        <v>250588957</v>
      </c>
      <c r="K766" s="341"/>
      <c r="L766" s="250"/>
    </row>
    <row r="767" spans="1:14" s="264" customFormat="1" x14ac:dyDescent="0.3">
      <c r="A767" s="246"/>
      <c r="B767" s="247"/>
      <c r="C767" s="247"/>
      <c r="D767" s="307"/>
      <c r="E767" s="308"/>
      <c r="F767" s="308"/>
      <c r="G767" s="281"/>
      <c r="H767" s="249"/>
      <c r="I767" s="248"/>
      <c r="J767" s="283">
        <v>37439000</v>
      </c>
      <c r="K767" s="341"/>
      <c r="L767" s="250"/>
    </row>
    <row r="768" spans="1:14" s="264" customFormat="1" x14ac:dyDescent="0.3">
      <c r="A768" s="195"/>
      <c r="B768" s="196"/>
      <c r="C768" s="196"/>
      <c r="D768" s="309"/>
      <c r="E768" s="267"/>
      <c r="F768" s="267"/>
      <c r="G768" s="284"/>
      <c r="H768" s="253"/>
      <c r="I768" s="252"/>
      <c r="J768" s="284"/>
      <c r="K768" s="326"/>
      <c r="L768" s="183"/>
    </row>
    <row r="769" spans="1:12" s="264" customFormat="1" x14ac:dyDescent="0.3">
      <c r="A769" s="195"/>
      <c r="B769" s="196"/>
      <c r="C769" s="196"/>
      <c r="D769" s="310" t="s">
        <v>756</v>
      </c>
      <c r="E769" s="267"/>
      <c r="F769" s="267"/>
      <c r="G769" s="284" t="e">
        <f>'[2]прил 7'!C14+'[2]прил 7'!C43</f>
        <v>#REF!</v>
      </c>
      <c r="H769" s="253"/>
      <c r="I769" s="252">
        <f>'[2]прил 7'!D14+'[2]прил 7'!D43</f>
        <v>0</v>
      </c>
      <c r="J769" s="284">
        <f>'[2]прил 7'!E14+'[2]прил 7'!E43</f>
        <v>0</v>
      </c>
      <c r="K769" s="326"/>
      <c r="L769" s="183"/>
    </row>
    <row r="770" spans="1:12" s="264" customFormat="1" x14ac:dyDescent="0.3">
      <c r="A770" s="195"/>
      <c r="B770" s="196"/>
      <c r="C770" s="196"/>
      <c r="D770" s="309"/>
      <c r="E770" s="267"/>
      <c r="F770" s="267"/>
      <c r="G770" s="285" t="e">
        <f>G769-G759</f>
        <v>#REF!</v>
      </c>
      <c r="H770" s="255"/>
      <c r="I770" s="254" t="e">
        <f>I769-I759</f>
        <v>#REF!</v>
      </c>
      <c r="J770" s="285">
        <f>J769-J759</f>
        <v>-1001448650.3900001</v>
      </c>
      <c r="K770" s="326"/>
      <c r="L770" s="183"/>
    </row>
    <row r="771" spans="1:12" s="264" customFormat="1" x14ac:dyDescent="0.3">
      <c r="A771" s="195"/>
      <c r="B771" s="196"/>
      <c r="C771" s="196"/>
      <c r="D771" s="309"/>
      <c r="E771" s="267"/>
      <c r="F771" s="267"/>
      <c r="G771" s="285" t="e">
        <f>'[2]прил 7'!C73-G759</f>
        <v>#REF!</v>
      </c>
      <c r="H771" s="255"/>
      <c r="I771" s="254" t="e">
        <f>'[2]прил 7'!D73-I759</f>
        <v>#REF!</v>
      </c>
      <c r="J771" s="285">
        <f>'[2]прил 7'!E73-J759</f>
        <v>-1001448650.3900001</v>
      </c>
      <c r="K771" s="326"/>
      <c r="L771" s="183"/>
    </row>
    <row r="772" spans="1:12" s="264" customFormat="1" x14ac:dyDescent="0.3">
      <c r="A772" s="195"/>
      <c r="B772" s="196"/>
      <c r="C772" s="245" t="s">
        <v>8</v>
      </c>
      <c r="D772" s="309"/>
      <c r="E772" s="267"/>
      <c r="F772" s="267"/>
      <c r="G772" s="284">
        <f>G8+G30++G513+G735</f>
        <v>124203453.10000001</v>
      </c>
      <c r="H772" s="253"/>
      <c r="I772" s="252">
        <f>I8+I30++I513+I735</f>
        <v>114096497.84</v>
      </c>
      <c r="J772" s="284">
        <f>J8+J30++J513+J735</f>
        <v>139360238.30000001</v>
      </c>
      <c r="K772" s="326"/>
      <c r="L772" s="183"/>
    </row>
    <row r="773" spans="1:12" s="264" customFormat="1" x14ac:dyDescent="0.3">
      <c r="A773" s="195"/>
      <c r="B773" s="196"/>
      <c r="C773" s="245" t="s">
        <v>26</v>
      </c>
      <c r="D773" s="309"/>
      <c r="E773" s="267"/>
      <c r="F773" s="267"/>
      <c r="G773" s="284">
        <f>G162</f>
        <v>1626656</v>
      </c>
      <c r="H773" s="253"/>
      <c r="I773" s="252">
        <f>I162</f>
        <v>1700240</v>
      </c>
      <c r="J773" s="284">
        <f>J162</f>
        <v>1951380</v>
      </c>
      <c r="K773" s="326"/>
      <c r="L773" s="183"/>
    </row>
    <row r="774" spans="1:12" s="264" customFormat="1" x14ac:dyDescent="0.3">
      <c r="A774" s="195"/>
      <c r="B774" s="196"/>
      <c r="C774" s="245" t="s">
        <v>42</v>
      </c>
      <c r="D774" s="309"/>
      <c r="E774" s="267"/>
      <c r="F774" s="267"/>
      <c r="G774" s="284">
        <f>G172</f>
        <v>991747.04</v>
      </c>
      <c r="H774" s="253"/>
      <c r="I774" s="252">
        <f>I172</f>
        <v>400000</v>
      </c>
      <c r="J774" s="284">
        <f>J172</f>
        <v>1805000</v>
      </c>
      <c r="K774" s="326"/>
      <c r="L774" s="183"/>
    </row>
    <row r="775" spans="1:12" s="264" customFormat="1" x14ac:dyDescent="0.3">
      <c r="A775" s="195"/>
      <c r="B775" s="196"/>
      <c r="C775" s="245" t="s">
        <v>46</v>
      </c>
      <c r="D775" s="309"/>
      <c r="E775" s="267"/>
      <c r="F775" s="267"/>
      <c r="G775" s="284">
        <f>G183</f>
        <v>29347683.93</v>
      </c>
      <c r="H775" s="253"/>
      <c r="I775" s="252">
        <f>I183</f>
        <v>14114514.17</v>
      </c>
      <c r="J775" s="284">
        <f>J183</f>
        <v>16168133.93</v>
      </c>
      <c r="K775" s="326"/>
      <c r="L775" s="183"/>
    </row>
    <row r="776" spans="1:12" s="264" customFormat="1" x14ac:dyDescent="0.3">
      <c r="A776" s="195"/>
      <c r="B776" s="196"/>
      <c r="C776" s="245" t="s">
        <v>55</v>
      </c>
      <c r="D776" s="309"/>
      <c r="E776" s="267"/>
      <c r="F776" s="267"/>
      <c r="G776" s="284">
        <f>G228</f>
        <v>125299209.63000001</v>
      </c>
      <c r="H776" s="253"/>
      <c r="I776" s="252">
        <f>I228</f>
        <v>48705734.209999993</v>
      </c>
      <c r="J776" s="284">
        <f>J228</f>
        <v>62278269.760000005</v>
      </c>
      <c r="K776" s="326"/>
      <c r="L776" s="183"/>
    </row>
    <row r="777" spans="1:12" s="264" customFormat="1" x14ac:dyDescent="0.3">
      <c r="A777" s="195"/>
      <c r="B777" s="196"/>
      <c r="C777" s="245" t="s">
        <v>65</v>
      </c>
      <c r="D777" s="309"/>
      <c r="E777" s="267"/>
      <c r="F777" s="267"/>
      <c r="G777" s="284">
        <f>G333</f>
        <v>555000</v>
      </c>
      <c r="H777" s="253"/>
      <c r="I777" s="252">
        <f>I333</f>
        <v>515000</v>
      </c>
      <c r="J777" s="284">
        <f>J333</f>
        <v>515000</v>
      </c>
      <c r="K777" s="326"/>
      <c r="L777" s="183"/>
    </row>
    <row r="778" spans="1:12" s="264" customFormat="1" x14ac:dyDescent="0.3">
      <c r="A778" s="195"/>
      <c r="B778" s="196"/>
      <c r="C778" s="245" t="s">
        <v>70</v>
      </c>
      <c r="D778" s="309"/>
      <c r="E778" s="267"/>
      <c r="F778" s="267"/>
      <c r="G778" s="284">
        <f>G349+G550</f>
        <v>659141952.93000007</v>
      </c>
      <c r="H778" s="253"/>
      <c r="I778" s="252" t="e">
        <f>I349+I550</f>
        <v>#REF!</v>
      </c>
      <c r="J778" s="284">
        <f>J349+J550</f>
        <v>631678734.47000003</v>
      </c>
      <c r="K778" s="326"/>
      <c r="L778" s="183"/>
    </row>
    <row r="779" spans="1:12" s="264" customFormat="1" x14ac:dyDescent="0.3">
      <c r="A779" s="195"/>
      <c r="B779" s="196"/>
      <c r="C779" s="245" t="s">
        <v>80</v>
      </c>
      <c r="D779" s="309"/>
      <c r="E779" s="267"/>
      <c r="F779" s="267"/>
      <c r="G779" s="284">
        <f>G370</f>
        <v>41452318.13000001</v>
      </c>
      <c r="H779" s="253"/>
      <c r="I779" s="252">
        <f>I370</f>
        <v>39865848.490000002</v>
      </c>
      <c r="J779" s="284">
        <f>J370</f>
        <v>43751559.600000001</v>
      </c>
      <c r="K779" s="326"/>
      <c r="L779" s="183"/>
    </row>
    <row r="780" spans="1:12" s="264" customFormat="1" x14ac:dyDescent="0.3">
      <c r="A780" s="195"/>
      <c r="B780" s="196"/>
      <c r="C780" s="245" t="s">
        <v>86</v>
      </c>
      <c r="D780" s="309"/>
      <c r="E780" s="267"/>
      <c r="F780" s="267"/>
      <c r="G780" s="286">
        <f>G421+G698</f>
        <v>58858914.619999997</v>
      </c>
      <c r="H780" s="257"/>
      <c r="I780" s="256">
        <f>I421+I698</f>
        <v>69985693.950000003</v>
      </c>
      <c r="J780" s="286">
        <f>J421+J698</f>
        <v>96001620.789999992</v>
      </c>
      <c r="K780" s="326"/>
      <c r="L780" s="183"/>
    </row>
    <row r="781" spans="1:12" s="264" customFormat="1" x14ac:dyDescent="0.3">
      <c r="A781" s="195"/>
      <c r="B781" s="196"/>
      <c r="C781" s="245" t="s">
        <v>101</v>
      </c>
      <c r="D781" s="309"/>
      <c r="E781" s="267"/>
      <c r="F781" s="267"/>
      <c r="G781" s="284">
        <f>G457+G714</f>
        <v>13240870.23</v>
      </c>
      <c r="H781" s="253"/>
      <c r="I781" s="252">
        <f>I457+I714</f>
        <v>2332029.4</v>
      </c>
      <c r="J781" s="284">
        <f>J457+J714</f>
        <v>4581713.54</v>
      </c>
      <c r="K781" s="326"/>
      <c r="L781" s="183"/>
    </row>
    <row r="782" spans="1:12" x14ac:dyDescent="0.3">
      <c r="C782" s="245" t="s">
        <v>104</v>
      </c>
      <c r="G782" s="284">
        <f>G505</f>
        <v>3357000</v>
      </c>
      <c r="I782" s="252">
        <f>I505</f>
        <v>2500000</v>
      </c>
      <c r="J782" s="284">
        <f>J505</f>
        <v>3357000</v>
      </c>
    </row>
    <row r="783" spans="1:12" x14ac:dyDescent="0.3">
      <c r="A783" s="258"/>
      <c r="G783" s="287">
        <f>SUBTOTAL(9,G772:G782)</f>
        <v>1058074805.6100001</v>
      </c>
      <c r="H783" s="260"/>
      <c r="I783" s="259" t="e">
        <f>SUBTOTAL(9,I772:I782)</f>
        <v>#REF!</v>
      </c>
      <c r="J783" s="287">
        <f>SUBTOTAL(9,J772:J782)</f>
        <v>1001448650.39</v>
      </c>
    </row>
    <row r="785" spans="1:13" x14ac:dyDescent="0.3">
      <c r="D785" s="306" t="s">
        <v>757</v>
      </c>
      <c r="G785" s="284">
        <f>G552+G588+G634+G660+G679+G700+G706</f>
        <v>644147559.35000002</v>
      </c>
      <c r="I785" s="252" t="e">
        <f>I552+I588+I634+I660+I679+I700+I706</f>
        <v>#REF!</v>
      </c>
      <c r="J785" s="284">
        <f>J552+J588+J634+J660+J679+J700+J706</f>
        <v>611858670.23000002</v>
      </c>
    </row>
    <row r="786" spans="1:13" x14ac:dyDescent="0.3">
      <c r="D786" s="306" t="s">
        <v>758</v>
      </c>
      <c r="G786" s="288">
        <f>G351+G372+G402</f>
        <v>58768849.760000005</v>
      </c>
      <c r="H786" s="262"/>
      <c r="I786" s="261">
        <f>I351+I372+I402</f>
        <v>59972938.369999997</v>
      </c>
      <c r="J786" s="288">
        <f>J351+J372+J402</f>
        <v>66781328.439999998</v>
      </c>
    </row>
    <row r="787" spans="1:13" x14ac:dyDescent="0.3">
      <c r="D787" s="306" t="s">
        <v>759</v>
      </c>
      <c r="G787" s="288">
        <f>G335</f>
        <v>470000</v>
      </c>
      <c r="H787" s="262"/>
      <c r="I787" s="261">
        <f>I335</f>
        <v>470000</v>
      </c>
      <c r="J787" s="288">
        <f>J335</f>
        <v>470000</v>
      </c>
    </row>
    <row r="788" spans="1:13" x14ac:dyDescent="0.3">
      <c r="D788" s="306" t="s">
        <v>760</v>
      </c>
      <c r="G788" s="284">
        <f>G459+G716</f>
        <v>13190870.23</v>
      </c>
      <c r="I788" s="252">
        <f>I459+I716</f>
        <v>2282029.4</v>
      </c>
      <c r="J788" s="284">
        <f>J459+J716</f>
        <v>4531713.54</v>
      </c>
    </row>
    <row r="789" spans="1:13" x14ac:dyDescent="0.3">
      <c r="D789" s="306" t="s">
        <v>761</v>
      </c>
      <c r="G789" s="284">
        <f>G428</f>
        <v>150000</v>
      </c>
      <c r="I789" s="252">
        <f>I428</f>
        <v>150000</v>
      </c>
      <c r="J789" s="284">
        <f>J428</f>
        <v>150000</v>
      </c>
    </row>
    <row r="790" spans="1:13" x14ac:dyDescent="0.3">
      <c r="D790" s="306" t="s">
        <v>762</v>
      </c>
      <c r="G790" s="284">
        <f>G19+G60+G535</f>
        <v>23565855</v>
      </c>
      <c r="I790" s="252">
        <f>I19+I60+I535</f>
        <v>25122401.030000001</v>
      </c>
      <c r="J790" s="284">
        <f>J19+J60+J535</f>
        <v>26677664</v>
      </c>
    </row>
    <row r="791" spans="1:13" x14ac:dyDescent="0.3">
      <c r="D791" s="306" t="s">
        <v>763</v>
      </c>
      <c r="G791" s="284">
        <f>G241+G273+G325</f>
        <v>69475792.460000008</v>
      </c>
      <c r="I791" s="252">
        <f>I241+I273+I325</f>
        <v>17293288.939999998</v>
      </c>
      <c r="J791" s="284">
        <f>J241+J273+J325</f>
        <v>37188514.200000003</v>
      </c>
    </row>
    <row r="792" spans="1:13" x14ac:dyDescent="0.3">
      <c r="D792" s="306" t="s">
        <v>764</v>
      </c>
      <c r="G792" s="284">
        <f>G85</f>
        <v>50000</v>
      </c>
      <c r="I792" s="252">
        <f>I85</f>
        <v>50000</v>
      </c>
      <c r="J792" s="284">
        <f>J85</f>
        <v>50000</v>
      </c>
    </row>
    <row r="793" spans="1:13" x14ac:dyDescent="0.3">
      <c r="D793" s="306" t="s">
        <v>765</v>
      </c>
      <c r="G793" s="284">
        <f>G214</f>
        <v>100000</v>
      </c>
      <c r="I793" s="252">
        <f>I214</f>
        <v>100000</v>
      </c>
      <c r="J793" s="284">
        <f>J214</f>
        <v>100000</v>
      </c>
    </row>
    <row r="794" spans="1:13" s="184" customFormat="1" x14ac:dyDescent="0.3">
      <c r="A794" s="195"/>
      <c r="B794" s="196"/>
      <c r="C794" s="196"/>
      <c r="D794" s="306" t="s">
        <v>766</v>
      </c>
      <c r="E794" s="267"/>
      <c r="F794" s="267"/>
      <c r="G794" s="284">
        <f>G433</f>
        <v>1276800</v>
      </c>
      <c r="H794" s="253"/>
      <c r="I794" s="252">
        <f>I433</f>
        <v>735609.95</v>
      </c>
      <c r="J794" s="284">
        <f>J433</f>
        <v>734438.26</v>
      </c>
      <c r="K794" s="326"/>
      <c r="L794" s="183"/>
      <c r="M794" s="264"/>
    </row>
    <row r="795" spans="1:13" s="184" customFormat="1" x14ac:dyDescent="0.3">
      <c r="A795" s="195"/>
      <c r="B795" s="196"/>
      <c r="C795" s="196"/>
      <c r="D795" s="306" t="s">
        <v>767</v>
      </c>
      <c r="E795" s="267"/>
      <c r="F795" s="267"/>
      <c r="G795" s="284">
        <f>G24+G90+G507</f>
        <v>5979054</v>
      </c>
      <c r="H795" s="253"/>
      <c r="I795" s="252">
        <f>I24+I90+I507</f>
        <v>4521373.5</v>
      </c>
      <c r="J795" s="284">
        <f>J24+J90+J507</f>
        <v>11050226</v>
      </c>
      <c r="K795" s="326"/>
      <c r="L795" s="183"/>
      <c r="M795" s="264"/>
    </row>
    <row r="796" spans="1:13" s="184" customFormat="1" x14ac:dyDescent="0.3">
      <c r="A796" s="195"/>
      <c r="B796" s="196"/>
      <c r="C796" s="196"/>
      <c r="D796" s="306" t="s">
        <v>768</v>
      </c>
      <c r="E796" s="267"/>
      <c r="F796" s="267"/>
      <c r="G796" s="284">
        <f>G202</f>
        <v>24051150</v>
      </c>
      <c r="H796" s="253"/>
      <c r="I796" s="252">
        <f>I202</f>
        <v>13157000</v>
      </c>
      <c r="J796" s="284">
        <f>J202</f>
        <v>13057000</v>
      </c>
      <c r="K796" s="326"/>
      <c r="L796" s="183"/>
      <c r="M796" s="264"/>
    </row>
    <row r="797" spans="1:13" s="184" customFormat="1" x14ac:dyDescent="0.3">
      <c r="A797" s="195"/>
      <c r="B797" s="196"/>
      <c r="C797" s="196"/>
      <c r="D797" s="306" t="s">
        <v>769</v>
      </c>
      <c r="E797" s="267"/>
      <c r="F797" s="267"/>
      <c r="G797" s="284">
        <f>G344</f>
        <v>85000</v>
      </c>
      <c r="H797" s="253"/>
      <c r="I797" s="252">
        <f>I344</f>
        <v>45000</v>
      </c>
      <c r="J797" s="284">
        <f>J344</f>
        <v>45000</v>
      </c>
      <c r="K797" s="326"/>
      <c r="L797" s="183"/>
      <c r="M797" s="264"/>
    </row>
    <row r="798" spans="1:13" s="184" customFormat="1" x14ac:dyDescent="0.3">
      <c r="A798" s="195"/>
      <c r="B798" s="196"/>
      <c r="C798" s="196"/>
      <c r="D798" s="306" t="s">
        <v>770</v>
      </c>
      <c r="E798" s="267"/>
      <c r="F798" s="267"/>
      <c r="G798" s="284">
        <f>G219</f>
        <v>3970400</v>
      </c>
      <c r="H798" s="253"/>
      <c r="I798" s="252">
        <f>I219</f>
        <v>430000</v>
      </c>
      <c r="J798" s="284">
        <f>J219</f>
        <v>1785000</v>
      </c>
      <c r="K798" s="326"/>
      <c r="L798" s="183"/>
      <c r="M798" s="264"/>
    </row>
    <row r="799" spans="1:13" s="184" customFormat="1" x14ac:dyDescent="0.3">
      <c r="A799" s="195"/>
      <c r="B799" s="196"/>
      <c r="C799" s="196"/>
      <c r="D799" s="306" t="s">
        <v>771</v>
      </c>
      <c r="E799" s="267"/>
      <c r="F799" s="267"/>
      <c r="G799" s="284">
        <f>G98+G230+G413</f>
        <v>10156930.949999999</v>
      </c>
      <c r="H799" s="253"/>
      <c r="I799" s="252">
        <f>I98+I230+I413</f>
        <v>7503364.5600000005</v>
      </c>
      <c r="J799" s="284">
        <f>J98+J230+J413</f>
        <v>8483649.4000000004</v>
      </c>
      <c r="K799" s="326"/>
      <c r="L799" s="183"/>
      <c r="M799" s="264"/>
    </row>
    <row r="800" spans="1:13" s="184" customFormat="1" x14ac:dyDescent="0.3">
      <c r="A800" s="195"/>
      <c r="B800" s="196"/>
      <c r="C800" s="196"/>
      <c r="D800" s="306" t="s">
        <v>776</v>
      </c>
      <c r="E800" s="267"/>
      <c r="F800" s="267"/>
      <c r="G800" s="284">
        <f>G196</f>
        <v>100000</v>
      </c>
      <c r="H800" s="253"/>
      <c r="I800" s="252">
        <f>I196</f>
        <v>100000</v>
      </c>
      <c r="J800" s="284">
        <f>J196</f>
        <v>100000</v>
      </c>
      <c r="K800" s="326"/>
      <c r="L800" s="183"/>
      <c r="M800" s="264"/>
    </row>
    <row r="801" spans="1:13" s="184" customFormat="1" x14ac:dyDescent="0.3">
      <c r="A801" s="195"/>
      <c r="B801" s="196"/>
      <c r="C801" s="196"/>
      <c r="D801" s="306" t="s">
        <v>772</v>
      </c>
      <c r="E801" s="267"/>
      <c r="F801" s="267"/>
      <c r="G801" s="284">
        <f>G500</f>
        <v>50000</v>
      </c>
      <c r="H801" s="253"/>
      <c r="I801" s="252">
        <f>I500</f>
        <v>50000</v>
      </c>
      <c r="J801" s="284">
        <f>J500</f>
        <v>50000</v>
      </c>
      <c r="K801" s="326"/>
      <c r="L801" s="183"/>
      <c r="M801" s="264"/>
    </row>
    <row r="802" spans="1:13" s="184" customFormat="1" x14ac:dyDescent="0.3">
      <c r="A802" s="195"/>
      <c r="B802" s="196"/>
      <c r="C802" s="196"/>
      <c r="D802" s="306" t="s">
        <v>773</v>
      </c>
      <c r="E802" s="267"/>
      <c r="F802" s="267"/>
      <c r="G802" s="284">
        <f>G287</f>
        <v>35927589.960000001</v>
      </c>
      <c r="H802" s="253"/>
      <c r="I802" s="252">
        <f>I287</f>
        <v>8938369</v>
      </c>
      <c r="J802" s="284">
        <f>J287</f>
        <v>9414506.0600000005</v>
      </c>
      <c r="K802" s="326"/>
      <c r="L802" s="183"/>
      <c r="M802" s="264"/>
    </row>
    <row r="803" spans="1:13" s="184" customFormat="1" x14ac:dyDescent="0.3">
      <c r="A803" s="195"/>
      <c r="B803" s="196"/>
      <c r="C803" s="196"/>
      <c r="D803" s="306" t="s">
        <v>774</v>
      </c>
      <c r="E803" s="267"/>
      <c r="F803" s="267"/>
      <c r="G803" s="284">
        <f>G304</f>
        <v>15345827.210000001</v>
      </c>
      <c r="H803" s="253"/>
      <c r="I803" s="252">
        <f>I304</f>
        <v>19974076.27</v>
      </c>
      <c r="J803" s="284">
        <f>J304</f>
        <v>13175249.5</v>
      </c>
      <c r="K803" s="326"/>
      <c r="L803" s="183"/>
      <c r="M803" s="264"/>
    </row>
    <row r="804" spans="1:13" s="184" customFormat="1" x14ac:dyDescent="0.3">
      <c r="A804" s="195"/>
      <c r="B804" s="196"/>
      <c r="C804" s="196"/>
      <c r="D804" s="306" t="s">
        <v>839</v>
      </c>
      <c r="E804" s="267"/>
      <c r="F804" s="267"/>
      <c r="G804" s="284">
        <v>50000</v>
      </c>
      <c r="H804" s="253"/>
      <c r="I804" s="252"/>
      <c r="J804" s="284"/>
      <c r="K804" s="326"/>
      <c r="L804" s="183"/>
      <c r="M804" s="264"/>
    </row>
    <row r="805" spans="1:13" s="184" customFormat="1" x14ac:dyDescent="0.3">
      <c r="A805" s="195"/>
      <c r="B805" s="196"/>
      <c r="C805" s="196"/>
      <c r="D805" s="306" t="s">
        <v>775</v>
      </c>
      <c r="E805" s="267"/>
      <c r="F805" s="267"/>
      <c r="G805" s="284">
        <f>G10+G32+G37+G44+G50+G55+G110+G164+G174+G179+G185+G191+G235+G423+G438+G443+G515+G530+G540+G737</f>
        <v>151163126.69</v>
      </c>
      <c r="H805" s="253"/>
      <c r="I805" s="252">
        <f>I10+I32+I37+I44+I50+I55+I110+I164+I174+I179+I185+I191+I235+I423+I438+I443+I515+I530+I540+I737</f>
        <v>152341492.47999999</v>
      </c>
      <c r="J805" s="284">
        <f>J10+J32+J37+J44+J50+J55+J110+J164+J174+J179+J185+J191+J235+J423+J438+J443+J515+J530+J540+J737</f>
        <v>195475380.75999999</v>
      </c>
      <c r="K805" s="326"/>
      <c r="L805" s="183"/>
      <c r="M805" s="264"/>
    </row>
    <row r="806" spans="1:13" s="184" customFormat="1" x14ac:dyDescent="0.3">
      <c r="A806" s="195"/>
      <c r="B806" s="196"/>
      <c r="C806" s="196"/>
      <c r="D806" s="267"/>
      <c r="E806" s="267"/>
      <c r="F806" s="267"/>
      <c r="G806" s="287">
        <f>SUBTOTAL(9,G785:G805)</f>
        <v>1058074805.6100001</v>
      </c>
      <c r="H806" s="260"/>
      <c r="I806" s="259" t="e">
        <f>SUBTOTAL(9,I785:I805)</f>
        <v>#REF!</v>
      </c>
      <c r="J806" s="287">
        <f>SUBTOTAL(9,J785:J805)</f>
        <v>1001178340.39</v>
      </c>
      <c r="K806" s="326"/>
      <c r="L806" s="183"/>
      <c r="M806" s="264"/>
    </row>
    <row r="807" spans="1:13" s="184" customFormat="1" x14ac:dyDescent="0.3">
      <c r="A807" s="195"/>
      <c r="B807" s="196" t="s">
        <v>777</v>
      </c>
      <c r="C807" s="196"/>
      <c r="D807" s="267"/>
      <c r="E807" s="267"/>
      <c r="F807" s="267"/>
      <c r="G807" s="287">
        <f>G426+G449</f>
        <v>25582766.18</v>
      </c>
      <c r="H807" s="260"/>
      <c r="I807" s="259">
        <f>I426+I449</f>
        <v>25861130.34</v>
      </c>
      <c r="J807" s="287">
        <f>J426+J449</f>
        <v>39431638.340000004</v>
      </c>
      <c r="K807" s="326"/>
      <c r="L807" s="183"/>
      <c r="M807" s="264"/>
    </row>
    <row r="809" spans="1:13" s="184" customFormat="1" x14ac:dyDescent="0.3">
      <c r="A809" s="195"/>
      <c r="B809" s="196" t="s">
        <v>689</v>
      </c>
      <c r="C809" s="196"/>
      <c r="D809" s="267"/>
      <c r="E809" s="267"/>
      <c r="F809" s="267"/>
      <c r="G809" s="284">
        <f>G11+G33+G38+G51+G114+G516+G519+G526+G681+G738+G741</f>
        <v>79038115.810000002</v>
      </c>
      <c r="H809" s="253"/>
      <c r="I809" s="252"/>
      <c r="J809" s="284"/>
      <c r="K809" s="326"/>
      <c r="L809" s="183"/>
      <c r="M809" s="264"/>
    </row>
    <row r="810" spans="1:13" s="253" customFormat="1" x14ac:dyDescent="0.3">
      <c r="A810" s="258" t="s">
        <v>690</v>
      </c>
      <c r="B810" s="196"/>
      <c r="C810" s="263">
        <v>25.55</v>
      </c>
      <c r="D810" s="267"/>
      <c r="E810" s="267"/>
      <c r="F810" s="267"/>
      <c r="G810" s="284">
        <f>'[2]прил 7'!C14*25.55%</f>
        <v>108068996.42234501</v>
      </c>
      <c r="I810" s="252"/>
      <c r="J810" s="284"/>
      <c r="K810" s="326"/>
      <c r="L810" s="183"/>
      <c r="M810" s="266"/>
    </row>
    <row r="811" spans="1:13" s="253" customFormat="1" x14ac:dyDescent="0.3">
      <c r="A811" s="258" t="s">
        <v>691</v>
      </c>
      <c r="B811" s="196"/>
      <c r="C811" s="196"/>
      <c r="D811" s="267"/>
      <c r="E811" s="267"/>
      <c r="F811" s="267"/>
      <c r="G811" s="284">
        <v>2136400</v>
      </c>
      <c r="I811" s="252"/>
      <c r="J811" s="284"/>
      <c r="K811" s="326"/>
      <c r="L811" s="183"/>
      <c r="M811" s="266"/>
    </row>
    <row r="812" spans="1:13" s="253" customFormat="1" x14ac:dyDescent="0.3">
      <c r="A812" s="258" t="s">
        <v>832</v>
      </c>
      <c r="B812" s="196"/>
      <c r="C812" s="196"/>
      <c r="D812" s="267"/>
      <c r="E812" s="267"/>
      <c r="F812" s="267"/>
      <c r="G812" s="284">
        <v>2136400</v>
      </c>
      <c r="I812" s="252"/>
      <c r="J812" s="284"/>
      <c r="K812" s="326"/>
      <c r="L812" s="183"/>
      <c r="M812" s="266"/>
    </row>
  </sheetData>
  <mergeCells count="3">
    <mergeCell ref="A2:G2"/>
    <mergeCell ref="A3:G3"/>
    <mergeCell ref="A4:G4"/>
  </mergeCells>
  <pageMargins left="0.25" right="0.25" top="0.75" bottom="0.75" header="0.3" footer="0.3"/>
  <pageSetup paperSize="9" scale="51" fitToHeight="0" orientation="portrait" r:id="rId1"/>
  <rowBreaks count="4" manualBreakCount="4">
    <brk id="95" max="13" man="1"/>
    <brk id="146" max="13" man="1"/>
    <brk id="427" max="13" man="1"/>
    <brk id="631" max="1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92"/>
  <sheetViews>
    <sheetView topLeftCell="A43" zoomScale="110" zoomScaleNormal="110" zoomScaleSheetLayoutView="90" workbookViewId="0">
      <selection activeCell="M59" sqref="M59"/>
    </sheetView>
  </sheetViews>
  <sheetFormatPr defaultRowHeight="17" outlineLevelRow="7" x14ac:dyDescent="0.3"/>
  <cols>
    <col min="1" max="1" width="50.875" style="195" customWidth="1"/>
    <col min="2" max="2" width="6.375" style="183" customWidth="1"/>
    <col min="3" max="3" width="7.875" style="183" customWidth="1"/>
    <col min="4" max="4" width="15.375" style="183" customWidth="1"/>
    <col min="5" max="5" width="6.875" style="183" customWidth="1"/>
    <col min="6" max="6" width="17" style="184" hidden="1" customWidth="1"/>
    <col min="7" max="7" width="16.875" style="253" customWidth="1"/>
    <col min="8" max="8" width="21.125" style="253" hidden="1" customWidth="1"/>
    <col min="9" max="9" width="19.75" style="454" hidden="1" customWidth="1"/>
    <col min="10" max="10" width="17.125" style="184" customWidth="1"/>
    <col min="11" max="11" width="12.25" style="184" customWidth="1"/>
    <col min="12" max="12" width="15.625" style="184" hidden="1" customWidth="1"/>
    <col min="13" max="13" width="16.875" style="183" customWidth="1"/>
    <col min="14" max="14" width="17.25" style="183" customWidth="1"/>
    <col min="15" max="15" width="17.125" style="183" customWidth="1"/>
    <col min="16" max="242" width="9" style="183"/>
    <col min="243" max="243" width="75.875" style="183" customWidth="1"/>
    <col min="244" max="245" width="7.625" style="183" customWidth="1"/>
    <col min="246" max="246" width="9.625" style="183" customWidth="1"/>
    <col min="247" max="247" width="7.625" style="183" customWidth="1"/>
    <col min="248" max="251" width="0" style="183" hidden="1" customWidth="1"/>
    <col min="252" max="252" width="14.375" style="183" customWidth="1"/>
    <col min="253" max="258" width="0" style="183" hidden="1" customWidth="1"/>
    <col min="259" max="259" width="10.125" style="183" bestFit="1" customWidth="1"/>
    <col min="260" max="498" width="9" style="183"/>
    <col min="499" max="499" width="75.875" style="183" customWidth="1"/>
    <col min="500" max="501" width="7.625" style="183" customWidth="1"/>
    <col min="502" max="502" width="9.625" style="183" customWidth="1"/>
    <col min="503" max="503" width="7.625" style="183" customWidth="1"/>
    <col min="504" max="507" width="0" style="183" hidden="1" customWidth="1"/>
    <col min="508" max="508" width="14.375" style="183" customWidth="1"/>
    <col min="509" max="514" width="0" style="183" hidden="1" customWidth="1"/>
    <col min="515" max="515" width="10.125" style="183" bestFit="1" customWidth="1"/>
    <col min="516" max="754" width="9" style="183"/>
    <col min="755" max="755" width="75.875" style="183" customWidth="1"/>
    <col min="756" max="757" width="7.625" style="183" customWidth="1"/>
    <col min="758" max="758" width="9.625" style="183" customWidth="1"/>
    <col min="759" max="759" width="7.625" style="183" customWidth="1"/>
    <col min="760" max="763" width="0" style="183" hidden="1" customWidth="1"/>
    <col min="764" max="764" width="14.375" style="183" customWidth="1"/>
    <col min="765" max="770" width="0" style="183" hidden="1" customWidth="1"/>
    <col min="771" max="771" width="10.125" style="183" bestFit="1" customWidth="1"/>
    <col min="772" max="1010" width="9" style="183"/>
    <col min="1011" max="1011" width="75.875" style="183" customWidth="1"/>
    <col min="1012" max="1013" width="7.625" style="183" customWidth="1"/>
    <col min="1014" max="1014" width="9.625" style="183" customWidth="1"/>
    <col min="1015" max="1015" width="7.625" style="183" customWidth="1"/>
    <col min="1016" max="1019" width="0" style="183" hidden="1" customWidth="1"/>
    <col min="1020" max="1020" width="14.375" style="183" customWidth="1"/>
    <col min="1021" max="1026" width="0" style="183" hidden="1" customWidth="1"/>
    <col min="1027" max="1027" width="10.125" style="183" bestFit="1" customWidth="1"/>
    <col min="1028" max="1266" width="9" style="183"/>
    <col min="1267" max="1267" width="75.875" style="183" customWidth="1"/>
    <col min="1268" max="1269" width="7.625" style="183" customWidth="1"/>
    <col min="1270" max="1270" width="9.625" style="183" customWidth="1"/>
    <col min="1271" max="1271" width="7.625" style="183" customWidth="1"/>
    <col min="1272" max="1275" width="0" style="183" hidden="1" customWidth="1"/>
    <col min="1276" max="1276" width="14.375" style="183" customWidth="1"/>
    <col min="1277" max="1282" width="0" style="183" hidden="1" customWidth="1"/>
    <col min="1283" max="1283" width="10.125" style="183" bestFit="1" customWidth="1"/>
    <col min="1284" max="1522" width="9" style="183"/>
    <col min="1523" max="1523" width="75.875" style="183" customWidth="1"/>
    <col min="1524" max="1525" width="7.625" style="183" customWidth="1"/>
    <col min="1526" max="1526" width="9.625" style="183" customWidth="1"/>
    <col min="1527" max="1527" width="7.625" style="183" customWidth="1"/>
    <col min="1528" max="1531" width="0" style="183" hidden="1" customWidth="1"/>
    <col min="1532" max="1532" width="14.375" style="183" customWidth="1"/>
    <col min="1533" max="1538" width="0" style="183" hidden="1" customWidth="1"/>
    <col min="1539" max="1539" width="10.125" style="183" bestFit="1" customWidth="1"/>
    <col min="1540" max="1778" width="9" style="183"/>
    <col min="1779" max="1779" width="75.875" style="183" customWidth="1"/>
    <col min="1780" max="1781" width="7.625" style="183" customWidth="1"/>
    <col min="1782" max="1782" width="9.625" style="183" customWidth="1"/>
    <col min="1783" max="1783" width="7.625" style="183" customWidth="1"/>
    <col min="1784" max="1787" width="0" style="183" hidden="1" customWidth="1"/>
    <col min="1788" max="1788" width="14.375" style="183" customWidth="1"/>
    <col min="1789" max="1794" width="0" style="183" hidden="1" customWidth="1"/>
    <col min="1795" max="1795" width="10.125" style="183" bestFit="1" customWidth="1"/>
    <col min="1796" max="2034" width="9" style="183"/>
    <col min="2035" max="2035" width="75.875" style="183" customWidth="1"/>
    <col min="2036" max="2037" width="7.625" style="183" customWidth="1"/>
    <col min="2038" max="2038" width="9.625" style="183" customWidth="1"/>
    <col min="2039" max="2039" width="7.625" style="183" customWidth="1"/>
    <col min="2040" max="2043" width="0" style="183" hidden="1" customWidth="1"/>
    <col min="2044" max="2044" width="14.375" style="183" customWidth="1"/>
    <col min="2045" max="2050" width="0" style="183" hidden="1" customWidth="1"/>
    <col min="2051" max="2051" width="10.125" style="183" bestFit="1" customWidth="1"/>
    <col min="2052" max="2290" width="9" style="183"/>
    <col min="2291" max="2291" width="75.875" style="183" customWidth="1"/>
    <col min="2292" max="2293" width="7.625" style="183" customWidth="1"/>
    <col min="2294" max="2294" width="9.625" style="183" customWidth="1"/>
    <col min="2295" max="2295" width="7.625" style="183" customWidth="1"/>
    <col min="2296" max="2299" width="0" style="183" hidden="1" customWidth="1"/>
    <col min="2300" max="2300" width="14.375" style="183" customWidth="1"/>
    <col min="2301" max="2306" width="0" style="183" hidden="1" customWidth="1"/>
    <col min="2307" max="2307" width="10.125" style="183" bestFit="1" customWidth="1"/>
    <col min="2308" max="2546" width="9" style="183"/>
    <col min="2547" max="2547" width="75.875" style="183" customWidth="1"/>
    <col min="2548" max="2549" width="7.625" style="183" customWidth="1"/>
    <col min="2550" max="2550" width="9.625" style="183" customWidth="1"/>
    <col min="2551" max="2551" width="7.625" style="183" customWidth="1"/>
    <col min="2552" max="2555" width="0" style="183" hidden="1" customWidth="1"/>
    <col min="2556" max="2556" width="14.375" style="183" customWidth="1"/>
    <col min="2557" max="2562" width="0" style="183" hidden="1" customWidth="1"/>
    <col min="2563" max="2563" width="10.125" style="183" bestFit="1" customWidth="1"/>
    <col min="2564" max="2802" width="9" style="183"/>
    <col min="2803" max="2803" width="75.875" style="183" customWidth="1"/>
    <col min="2804" max="2805" width="7.625" style="183" customWidth="1"/>
    <col min="2806" max="2806" width="9.625" style="183" customWidth="1"/>
    <col min="2807" max="2807" width="7.625" style="183" customWidth="1"/>
    <col min="2808" max="2811" width="0" style="183" hidden="1" customWidth="1"/>
    <col min="2812" max="2812" width="14.375" style="183" customWidth="1"/>
    <col min="2813" max="2818" width="0" style="183" hidden="1" customWidth="1"/>
    <col min="2819" max="2819" width="10.125" style="183" bestFit="1" customWidth="1"/>
    <col min="2820" max="3058" width="9" style="183"/>
    <col min="3059" max="3059" width="75.875" style="183" customWidth="1"/>
    <col min="3060" max="3061" width="7.625" style="183" customWidth="1"/>
    <col min="3062" max="3062" width="9.625" style="183" customWidth="1"/>
    <col min="3063" max="3063" width="7.625" style="183" customWidth="1"/>
    <col min="3064" max="3067" width="0" style="183" hidden="1" customWidth="1"/>
    <col min="3068" max="3068" width="14.375" style="183" customWidth="1"/>
    <col min="3069" max="3074" width="0" style="183" hidden="1" customWidth="1"/>
    <col min="3075" max="3075" width="10.125" style="183" bestFit="1" customWidth="1"/>
    <col min="3076" max="3314" width="9" style="183"/>
    <col min="3315" max="3315" width="75.875" style="183" customWidth="1"/>
    <col min="3316" max="3317" width="7.625" style="183" customWidth="1"/>
    <col min="3318" max="3318" width="9.625" style="183" customWidth="1"/>
    <col min="3319" max="3319" width="7.625" style="183" customWidth="1"/>
    <col min="3320" max="3323" width="0" style="183" hidden="1" customWidth="1"/>
    <col min="3324" max="3324" width="14.375" style="183" customWidth="1"/>
    <col min="3325" max="3330" width="0" style="183" hidden="1" customWidth="1"/>
    <col min="3331" max="3331" width="10.125" style="183" bestFit="1" customWidth="1"/>
    <col min="3332" max="3570" width="9" style="183"/>
    <col min="3571" max="3571" width="75.875" style="183" customWidth="1"/>
    <col min="3572" max="3573" width="7.625" style="183" customWidth="1"/>
    <col min="3574" max="3574" width="9.625" style="183" customWidth="1"/>
    <col min="3575" max="3575" width="7.625" style="183" customWidth="1"/>
    <col min="3576" max="3579" width="0" style="183" hidden="1" customWidth="1"/>
    <col min="3580" max="3580" width="14.375" style="183" customWidth="1"/>
    <col min="3581" max="3586" width="0" style="183" hidden="1" customWidth="1"/>
    <col min="3587" max="3587" width="10.125" style="183" bestFit="1" customWidth="1"/>
    <col min="3588" max="3826" width="9" style="183"/>
    <col min="3827" max="3827" width="75.875" style="183" customWidth="1"/>
    <col min="3828" max="3829" width="7.625" style="183" customWidth="1"/>
    <col min="3830" max="3830" width="9.625" style="183" customWidth="1"/>
    <col min="3831" max="3831" width="7.625" style="183" customWidth="1"/>
    <col min="3832" max="3835" width="0" style="183" hidden="1" customWidth="1"/>
    <col min="3836" max="3836" width="14.375" style="183" customWidth="1"/>
    <col min="3837" max="3842" width="0" style="183" hidden="1" customWidth="1"/>
    <col min="3843" max="3843" width="10.125" style="183" bestFit="1" customWidth="1"/>
    <col min="3844" max="4082" width="9" style="183"/>
    <col min="4083" max="4083" width="75.875" style="183" customWidth="1"/>
    <col min="4084" max="4085" width="7.625" style="183" customWidth="1"/>
    <col min="4086" max="4086" width="9.625" style="183" customWidth="1"/>
    <col min="4087" max="4087" width="7.625" style="183" customWidth="1"/>
    <col min="4088" max="4091" width="0" style="183" hidden="1" customWidth="1"/>
    <col min="4092" max="4092" width="14.375" style="183" customWidth="1"/>
    <col min="4093" max="4098" width="0" style="183" hidden="1" customWidth="1"/>
    <col min="4099" max="4099" width="10.125" style="183" bestFit="1" customWidth="1"/>
    <col min="4100" max="4338" width="9" style="183"/>
    <col min="4339" max="4339" width="75.875" style="183" customWidth="1"/>
    <col min="4340" max="4341" width="7.625" style="183" customWidth="1"/>
    <col min="4342" max="4342" width="9.625" style="183" customWidth="1"/>
    <col min="4343" max="4343" width="7.625" style="183" customWidth="1"/>
    <col min="4344" max="4347" width="0" style="183" hidden="1" customWidth="1"/>
    <col min="4348" max="4348" width="14.375" style="183" customWidth="1"/>
    <col min="4349" max="4354" width="0" style="183" hidden="1" customWidth="1"/>
    <col min="4355" max="4355" width="10.125" style="183" bestFit="1" customWidth="1"/>
    <col min="4356" max="4594" width="9" style="183"/>
    <col min="4595" max="4595" width="75.875" style="183" customWidth="1"/>
    <col min="4596" max="4597" width="7.625" style="183" customWidth="1"/>
    <col min="4598" max="4598" width="9.625" style="183" customWidth="1"/>
    <col min="4599" max="4599" width="7.625" style="183" customWidth="1"/>
    <col min="4600" max="4603" width="0" style="183" hidden="1" customWidth="1"/>
    <col min="4604" max="4604" width="14.375" style="183" customWidth="1"/>
    <col min="4605" max="4610" width="0" style="183" hidden="1" customWidth="1"/>
    <col min="4611" max="4611" width="10.125" style="183" bestFit="1" customWidth="1"/>
    <col min="4612" max="4850" width="9" style="183"/>
    <col min="4851" max="4851" width="75.875" style="183" customWidth="1"/>
    <col min="4852" max="4853" width="7.625" style="183" customWidth="1"/>
    <col min="4854" max="4854" width="9.625" style="183" customWidth="1"/>
    <col min="4855" max="4855" width="7.625" style="183" customWidth="1"/>
    <col min="4856" max="4859" width="0" style="183" hidden="1" customWidth="1"/>
    <col min="4860" max="4860" width="14.375" style="183" customWidth="1"/>
    <col min="4861" max="4866" width="0" style="183" hidden="1" customWidth="1"/>
    <col min="4867" max="4867" width="10.125" style="183" bestFit="1" customWidth="1"/>
    <col min="4868" max="5106" width="9" style="183"/>
    <col min="5107" max="5107" width="75.875" style="183" customWidth="1"/>
    <col min="5108" max="5109" width="7.625" style="183" customWidth="1"/>
    <col min="5110" max="5110" width="9.625" style="183" customWidth="1"/>
    <col min="5111" max="5111" width="7.625" style="183" customWidth="1"/>
    <col min="5112" max="5115" width="0" style="183" hidden="1" customWidth="1"/>
    <col min="5116" max="5116" width="14.375" style="183" customWidth="1"/>
    <col min="5117" max="5122" width="0" style="183" hidden="1" customWidth="1"/>
    <col min="5123" max="5123" width="10.125" style="183" bestFit="1" customWidth="1"/>
    <col min="5124" max="5362" width="9" style="183"/>
    <col min="5363" max="5363" width="75.875" style="183" customWidth="1"/>
    <col min="5364" max="5365" width="7.625" style="183" customWidth="1"/>
    <col min="5366" max="5366" width="9.625" style="183" customWidth="1"/>
    <col min="5367" max="5367" width="7.625" style="183" customWidth="1"/>
    <col min="5368" max="5371" width="0" style="183" hidden="1" customWidth="1"/>
    <col min="5372" max="5372" width="14.375" style="183" customWidth="1"/>
    <col min="5373" max="5378" width="0" style="183" hidden="1" customWidth="1"/>
    <col min="5379" max="5379" width="10.125" style="183" bestFit="1" customWidth="1"/>
    <col min="5380" max="5618" width="9" style="183"/>
    <col min="5619" max="5619" width="75.875" style="183" customWidth="1"/>
    <col min="5620" max="5621" width="7.625" style="183" customWidth="1"/>
    <col min="5622" max="5622" width="9.625" style="183" customWidth="1"/>
    <col min="5623" max="5623" width="7.625" style="183" customWidth="1"/>
    <col min="5624" max="5627" width="0" style="183" hidden="1" customWidth="1"/>
    <col min="5628" max="5628" width="14.375" style="183" customWidth="1"/>
    <col min="5629" max="5634" width="0" style="183" hidden="1" customWidth="1"/>
    <col min="5635" max="5635" width="10.125" style="183" bestFit="1" customWidth="1"/>
    <col min="5636" max="5874" width="9" style="183"/>
    <col min="5875" max="5875" width="75.875" style="183" customWidth="1"/>
    <col min="5876" max="5877" width="7.625" style="183" customWidth="1"/>
    <col min="5878" max="5878" width="9.625" style="183" customWidth="1"/>
    <col min="5879" max="5879" width="7.625" style="183" customWidth="1"/>
    <col min="5880" max="5883" width="0" style="183" hidden="1" customWidth="1"/>
    <col min="5884" max="5884" width="14.375" style="183" customWidth="1"/>
    <col min="5885" max="5890" width="0" style="183" hidden="1" customWidth="1"/>
    <col min="5891" max="5891" width="10.125" style="183" bestFit="1" customWidth="1"/>
    <col min="5892" max="6130" width="9" style="183"/>
    <col min="6131" max="6131" width="75.875" style="183" customWidth="1"/>
    <col min="6132" max="6133" width="7.625" style="183" customWidth="1"/>
    <col min="6134" max="6134" width="9.625" style="183" customWidth="1"/>
    <col min="6135" max="6135" width="7.625" style="183" customWidth="1"/>
    <col min="6136" max="6139" width="0" style="183" hidden="1" customWidth="1"/>
    <col min="6140" max="6140" width="14.375" style="183" customWidth="1"/>
    <col min="6141" max="6146" width="0" style="183" hidden="1" customWidth="1"/>
    <col min="6147" max="6147" width="10.125" style="183" bestFit="1" customWidth="1"/>
    <col min="6148" max="6386" width="9" style="183"/>
    <col min="6387" max="6387" width="75.875" style="183" customWidth="1"/>
    <col min="6388" max="6389" width="7.625" style="183" customWidth="1"/>
    <col min="6390" max="6390" width="9.625" style="183" customWidth="1"/>
    <col min="6391" max="6391" width="7.625" style="183" customWidth="1"/>
    <col min="6392" max="6395" width="0" style="183" hidden="1" customWidth="1"/>
    <col min="6396" max="6396" width="14.375" style="183" customWidth="1"/>
    <col min="6397" max="6402" width="0" style="183" hidden="1" customWidth="1"/>
    <col min="6403" max="6403" width="10.125" style="183" bestFit="1" customWidth="1"/>
    <col min="6404" max="6642" width="9" style="183"/>
    <col min="6643" max="6643" width="75.875" style="183" customWidth="1"/>
    <col min="6644" max="6645" width="7.625" style="183" customWidth="1"/>
    <col min="6646" max="6646" width="9.625" style="183" customWidth="1"/>
    <col min="6647" max="6647" width="7.625" style="183" customWidth="1"/>
    <col min="6648" max="6651" width="0" style="183" hidden="1" customWidth="1"/>
    <col min="6652" max="6652" width="14.375" style="183" customWidth="1"/>
    <col min="6653" max="6658" width="0" style="183" hidden="1" customWidth="1"/>
    <col min="6659" max="6659" width="10.125" style="183" bestFit="1" customWidth="1"/>
    <col min="6660" max="6898" width="9" style="183"/>
    <col min="6899" max="6899" width="75.875" style="183" customWidth="1"/>
    <col min="6900" max="6901" width="7.625" style="183" customWidth="1"/>
    <col min="6902" max="6902" width="9.625" style="183" customWidth="1"/>
    <col min="6903" max="6903" width="7.625" style="183" customWidth="1"/>
    <col min="6904" max="6907" width="0" style="183" hidden="1" customWidth="1"/>
    <col min="6908" max="6908" width="14.375" style="183" customWidth="1"/>
    <col min="6909" max="6914" width="0" style="183" hidden="1" customWidth="1"/>
    <col min="6915" max="6915" width="10.125" style="183" bestFit="1" customWidth="1"/>
    <col min="6916" max="7154" width="9" style="183"/>
    <col min="7155" max="7155" width="75.875" style="183" customWidth="1"/>
    <col min="7156" max="7157" width="7.625" style="183" customWidth="1"/>
    <col min="7158" max="7158" width="9.625" style="183" customWidth="1"/>
    <col min="7159" max="7159" width="7.625" style="183" customWidth="1"/>
    <col min="7160" max="7163" width="0" style="183" hidden="1" customWidth="1"/>
    <col min="7164" max="7164" width="14.375" style="183" customWidth="1"/>
    <col min="7165" max="7170" width="0" style="183" hidden="1" customWidth="1"/>
    <col min="7171" max="7171" width="10.125" style="183" bestFit="1" customWidth="1"/>
    <col min="7172" max="7410" width="9" style="183"/>
    <col min="7411" max="7411" width="75.875" style="183" customWidth="1"/>
    <col min="7412" max="7413" width="7.625" style="183" customWidth="1"/>
    <col min="7414" max="7414" width="9.625" style="183" customWidth="1"/>
    <col min="7415" max="7415" width="7.625" style="183" customWidth="1"/>
    <col min="7416" max="7419" width="0" style="183" hidden="1" customWidth="1"/>
    <col min="7420" max="7420" width="14.375" style="183" customWidth="1"/>
    <col min="7421" max="7426" width="0" style="183" hidden="1" customWidth="1"/>
    <col min="7427" max="7427" width="10.125" style="183" bestFit="1" customWidth="1"/>
    <col min="7428" max="7666" width="9" style="183"/>
    <col min="7667" max="7667" width="75.875" style="183" customWidth="1"/>
    <col min="7668" max="7669" width="7.625" style="183" customWidth="1"/>
    <col min="7670" max="7670" width="9.625" style="183" customWidth="1"/>
    <col min="7671" max="7671" width="7.625" style="183" customWidth="1"/>
    <col min="7672" max="7675" width="0" style="183" hidden="1" customWidth="1"/>
    <col min="7676" max="7676" width="14.375" style="183" customWidth="1"/>
    <col min="7677" max="7682" width="0" style="183" hidden="1" customWidth="1"/>
    <col min="7683" max="7683" width="10.125" style="183" bestFit="1" customWidth="1"/>
    <col min="7684" max="7922" width="9" style="183"/>
    <col min="7923" max="7923" width="75.875" style="183" customWidth="1"/>
    <col min="7924" max="7925" width="7.625" style="183" customWidth="1"/>
    <col min="7926" max="7926" width="9.625" style="183" customWidth="1"/>
    <col min="7927" max="7927" width="7.625" style="183" customWidth="1"/>
    <col min="7928" max="7931" width="0" style="183" hidden="1" customWidth="1"/>
    <col min="7932" max="7932" width="14.375" style="183" customWidth="1"/>
    <col min="7933" max="7938" width="0" style="183" hidden="1" customWidth="1"/>
    <col min="7939" max="7939" width="10.125" style="183" bestFit="1" customWidth="1"/>
    <col min="7940" max="8178" width="9" style="183"/>
    <col min="8179" max="8179" width="75.875" style="183" customWidth="1"/>
    <col min="8180" max="8181" width="7.625" style="183" customWidth="1"/>
    <col min="8182" max="8182" width="9.625" style="183" customWidth="1"/>
    <col min="8183" max="8183" width="7.625" style="183" customWidth="1"/>
    <col min="8184" max="8187" width="0" style="183" hidden="1" customWidth="1"/>
    <col min="8188" max="8188" width="14.375" style="183" customWidth="1"/>
    <col min="8189" max="8194" width="0" style="183" hidden="1" customWidth="1"/>
    <col min="8195" max="8195" width="10.125" style="183" bestFit="1" customWidth="1"/>
    <col min="8196" max="8434" width="9" style="183"/>
    <col min="8435" max="8435" width="75.875" style="183" customWidth="1"/>
    <col min="8436" max="8437" width="7.625" style="183" customWidth="1"/>
    <col min="8438" max="8438" width="9.625" style="183" customWidth="1"/>
    <col min="8439" max="8439" width="7.625" style="183" customWidth="1"/>
    <col min="8440" max="8443" width="0" style="183" hidden="1" customWidth="1"/>
    <col min="8444" max="8444" width="14.375" style="183" customWidth="1"/>
    <col min="8445" max="8450" width="0" style="183" hidden="1" customWidth="1"/>
    <col min="8451" max="8451" width="10.125" style="183" bestFit="1" customWidth="1"/>
    <col min="8452" max="8690" width="9" style="183"/>
    <col min="8691" max="8691" width="75.875" style="183" customWidth="1"/>
    <col min="8692" max="8693" width="7.625" style="183" customWidth="1"/>
    <col min="8694" max="8694" width="9.625" style="183" customWidth="1"/>
    <col min="8695" max="8695" width="7.625" style="183" customWidth="1"/>
    <col min="8696" max="8699" width="0" style="183" hidden="1" customWidth="1"/>
    <col min="8700" max="8700" width="14.375" style="183" customWidth="1"/>
    <col min="8701" max="8706" width="0" style="183" hidden="1" customWidth="1"/>
    <col min="8707" max="8707" width="10.125" style="183" bestFit="1" customWidth="1"/>
    <col min="8708" max="8946" width="9" style="183"/>
    <col min="8947" max="8947" width="75.875" style="183" customWidth="1"/>
    <col min="8948" max="8949" width="7.625" style="183" customWidth="1"/>
    <col min="8950" max="8950" width="9.625" style="183" customWidth="1"/>
    <col min="8951" max="8951" width="7.625" style="183" customWidth="1"/>
    <col min="8952" max="8955" width="0" style="183" hidden="1" customWidth="1"/>
    <col min="8956" max="8956" width="14.375" style="183" customWidth="1"/>
    <col min="8957" max="8962" width="0" style="183" hidden="1" customWidth="1"/>
    <col min="8963" max="8963" width="10.125" style="183" bestFit="1" customWidth="1"/>
    <col min="8964" max="9202" width="9" style="183"/>
    <col min="9203" max="9203" width="75.875" style="183" customWidth="1"/>
    <col min="9204" max="9205" width="7.625" style="183" customWidth="1"/>
    <col min="9206" max="9206" width="9.625" style="183" customWidth="1"/>
    <col min="9207" max="9207" width="7.625" style="183" customWidth="1"/>
    <col min="9208" max="9211" width="0" style="183" hidden="1" customWidth="1"/>
    <col min="9212" max="9212" width="14.375" style="183" customWidth="1"/>
    <col min="9213" max="9218" width="0" style="183" hidden="1" customWidth="1"/>
    <col min="9219" max="9219" width="10.125" style="183" bestFit="1" customWidth="1"/>
    <col min="9220" max="9458" width="9" style="183"/>
    <col min="9459" max="9459" width="75.875" style="183" customWidth="1"/>
    <col min="9460" max="9461" width="7.625" style="183" customWidth="1"/>
    <col min="9462" max="9462" width="9.625" style="183" customWidth="1"/>
    <col min="9463" max="9463" width="7.625" style="183" customWidth="1"/>
    <col min="9464" max="9467" width="0" style="183" hidden="1" customWidth="1"/>
    <col min="9468" max="9468" width="14.375" style="183" customWidth="1"/>
    <col min="9469" max="9474" width="0" style="183" hidden="1" customWidth="1"/>
    <col min="9475" max="9475" width="10.125" style="183" bestFit="1" customWidth="1"/>
    <col min="9476" max="9714" width="9" style="183"/>
    <col min="9715" max="9715" width="75.875" style="183" customWidth="1"/>
    <col min="9716" max="9717" width="7.625" style="183" customWidth="1"/>
    <col min="9718" max="9718" width="9.625" style="183" customWidth="1"/>
    <col min="9719" max="9719" width="7.625" style="183" customWidth="1"/>
    <col min="9720" max="9723" width="0" style="183" hidden="1" customWidth="1"/>
    <col min="9724" max="9724" width="14.375" style="183" customWidth="1"/>
    <col min="9725" max="9730" width="0" style="183" hidden="1" customWidth="1"/>
    <col min="9731" max="9731" width="10.125" style="183" bestFit="1" customWidth="1"/>
    <col min="9732" max="9970" width="9" style="183"/>
    <col min="9971" max="9971" width="75.875" style="183" customWidth="1"/>
    <col min="9972" max="9973" width="7.625" style="183" customWidth="1"/>
    <col min="9974" max="9974" width="9.625" style="183" customWidth="1"/>
    <col min="9975" max="9975" width="7.625" style="183" customWidth="1"/>
    <col min="9976" max="9979" width="0" style="183" hidden="1" customWidth="1"/>
    <col min="9980" max="9980" width="14.375" style="183" customWidth="1"/>
    <col min="9981" max="9986" width="0" style="183" hidden="1" customWidth="1"/>
    <col min="9987" max="9987" width="10.125" style="183" bestFit="1" customWidth="1"/>
    <col min="9988" max="10226" width="9" style="183"/>
    <col min="10227" max="10227" width="75.875" style="183" customWidth="1"/>
    <col min="10228" max="10229" width="7.625" style="183" customWidth="1"/>
    <col min="10230" max="10230" width="9.625" style="183" customWidth="1"/>
    <col min="10231" max="10231" width="7.625" style="183" customWidth="1"/>
    <col min="10232" max="10235" width="0" style="183" hidden="1" customWidth="1"/>
    <col min="10236" max="10236" width="14.375" style="183" customWidth="1"/>
    <col min="10237" max="10242" width="0" style="183" hidden="1" customWidth="1"/>
    <col min="10243" max="10243" width="10.125" style="183" bestFit="1" customWidth="1"/>
    <col min="10244" max="10482" width="9" style="183"/>
    <col min="10483" max="10483" width="75.875" style="183" customWidth="1"/>
    <col min="10484" max="10485" width="7.625" style="183" customWidth="1"/>
    <col min="10486" max="10486" width="9.625" style="183" customWidth="1"/>
    <col min="10487" max="10487" width="7.625" style="183" customWidth="1"/>
    <col min="10488" max="10491" width="0" style="183" hidden="1" customWidth="1"/>
    <col min="10492" max="10492" width="14.375" style="183" customWidth="1"/>
    <col min="10493" max="10498" width="0" style="183" hidden="1" customWidth="1"/>
    <col min="10499" max="10499" width="10.125" style="183" bestFit="1" customWidth="1"/>
    <col min="10500" max="10738" width="9" style="183"/>
    <col min="10739" max="10739" width="75.875" style="183" customWidth="1"/>
    <col min="10740" max="10741" width="7.625" style="183" customWidth="1"/>
    <col min="10742" max="10742" width="9.625" style="183" customWidth="1"/>
    <col min="10743" max="10743" width="7.625" style="183" customWidth="1"/>
    <col min="10744" max="10747" width="0" style="183" hidden="1" customWidth="1"/>
    <col min="10748" max="10748" width="14.375" style="183" customWidth="1"/>
    <col min="10749" max="10754" width="0" style="183" hidden="1" customWidth="1"/>
    <col min="10755" max="10755" width="10.125" style="183" bestFit="1" customWidth="1"/>
    <col min="10756" max="10994" width="9" style="183"/>
    <col min="10995" max="10995" width="75.875" style="183" customWidth="1"/>
    <col min="10996" max="10997" width="7.625" style="183" customWidth="1"/>
    <col min="10998" max="10998" width="9.625" style="183" customWidth="1"/>
    <col min="10999" max="10999" width="7.625" style="183" customWidth="1"/>
    <col min="11000" max="11003" width="0" style="183" hidden="1" customWidth="1"/>
    <col min="11004" max="11004" width="14.375" style="183" customWidth="1"/>
    <col min="11005" max="11010" width="0" style="183" hidden="1" customWidth="1"/>
    <col min="11011" max="11011" width="10.125" style="183" bestFit="1" customWidth="1"/>
    <col min="11012" max="11250" width="9" style="183"/>
    <col min="11251" max="11251" width="75.875" style="183" customWidth="1"/>
    <col min="11252" max="11253" width="7.625" style="183" customWidth="1"/>
    <col min="11254" max="11254" width="9.625" style="183" customWidth="1"/>
    <col min="11255" max="11255" width="7.625" style="183" customWidth="1"/>
    <col min="11256" max="11259" width="0" style="183" hidden="1" customWidth="1"/>
    <col min="11260" max="11260" width="14.375" style="183" customWidth="1"/>
    <col min="11261" max="11266" width="0" style="183" hidden="1" customWidth="1"/>
    <col min="11267" max="11267" width="10.125" style="183" bestFit="1" customWidth="1"/>
    <col min="11268" max="11506" width="9" style="183"/>
    <col min="11507" max="11507" width="75.875" style="183" customWidth="1"/>
    <col min="11508" max="11509" width="7.625" style="183" customWidth="1"/>
    <col min="11510" max="11510" width="9.625" style="183" customWidth="1"/>
    <col min="11511" max="11511" width="7.625" style="183" customWidth="1"/>
    <col min="11512" max="11515" width="0" style="183" hidden="1" customWidth="1"/>
    <col min="11516" max="11516" width="14.375" style="183" customWidth="1"/>
    <col min="11517" max="11522" width="0" style="183" hidden="1" customWidth="1"/>
    <col min="11523" max="11523" width="10.125" style="183" bestFit="1" customWidth="1"/>
    <col min="11524" max="11762" width="9" style="183"/>
    <col min="11763" max="11763" width="75.875" style="183" customWidth="1"/>
    <col min="11764" max="11765" width="7.625" style="183" customWidth="1"/>
    <col min="11766" max="11766" width="9.625" style="183" customWidth="1"/>
    <col min="11767" max="11767" width="7.625" style="183" customWidth="1"/>
    <col min="11768" max="11771" width="0" style="183" hidden="1" customWidth="1"/>
    <col min="11772" max="11772" width="14.375" style="183" customWidth="1"/>
    <col min="11773" max="11778" width="0" style="183" hidden="1" customWidth="1"/>
    <col min="11779" max="11779" width="10.125" style="183" bestFit="1" customWidth="1"/>
    <col min="11780" max="12018" width="9" style="183"/>
    <col min="12019" max="12019" width="75.875" style="183" customWidth="1"/>
    <col min="12020" max="12021" width="7.625" style="183" customWidth="1"/>
    <col min="12022" max="12022" width="9.625" style="183" customWidth="1"/>
    <col min="12023" max="12023" width="7.625" style="183" customWidth="1"/>
    <col min="12024" max="12027" width="0" style="183" hidden="1" customWidth="1"/>
    <col min="12028" max="12028" width="14.375" style="183" customWidth="1"/>
    <col min="12029" max="12034" width="0" style="183" hidden="1" customWidth="1"/>
    <col min="12035" max="12035" width="10.125" style="183" bestFit="1" customWidth="1"/>
    <col min="12036" max="12274" width="9" style="183"/>
    <col min="12275" max="12275" width="75.875" style="183" customWidth="1"/>
    <col min="12276" max="12277" width="7.625" style="183" customWidth="1"/>
    <col min="12278" max="12278" width="9.625" style="183" customWidth="1"/>
    <col min="12279" max="12279" width="7.625" style="183" customWidth="1"/>
    <col min="12280" max="12283" width="0" style="183" hidden="1" customWidth="1"/>
    <col min="12284" max="12284" width="14.375" style="183" customWidth="1"/>
    <col min="12285" max="12290" width="0" style="183" hidden="1" customWidth="1"/>
    <col min="12291" max="12291" width="10.125" style="183" bestFit="1" customWidth="1"/>
    <col min="12292" max="12530" width="9" style="183"/>
    <col min="12531" max="12531" width="75.875" style="183" customWidth="1"/>
    <col min="12532" max="12533" width="7.625" style="183" customWidth="1"/>
    <col min="12534" max="12534" width="9.625" style="183" customWidth="1"/>
    <col min="12535" max="12535" width="7.625" style="183" customWidth="1"/>
    <col min="12536" max="12539" width="0" style="183" hidden="1" customWidth="1"/>
    <col min="12540" max="12540" width="14.375" style="183" customWidth="1"/>
    <col min="12541" max="12546" width="0" style="183" hidden="1" customWidth="1"/>
    <col min="12547" max="12547" width="10.125" style="183" bestFit="1" customWidth="1"/>
    <col min="12548" max="12786" width="9" style="183"/>
    <col min="12787" max="12787" width="75.875" style="183" customWidth="1"/>
    <col min="12788" max="12789" width="7.625" style="183" customWidth="1"/>
    <col min="12790" max="12790" width="9.625" style="183" customWidth="1"/>
    <col min="12791" max="12791" width="7.625" style="183" customWidth="1"/>
    <col min="12792" max="12795" width="0" style="183" hidden="1" customWidth="1"/>
    <col min="12796" max="12796" width="14.375" style="183" customWidth="1"/>
    <col min="12797" max="12802" width="0" style="183" hidden="1" customWidth="1"/>
    <col min="12803" max="12803" width="10.125" style="183" bestFit="1" customWidth="1"/>
    <col min="12804" max="13042" width="9" style="183"/>
    <col min="13043" max="13043" width="75.875" style="183" customWidth="1"/>
    <col min="13044" max="13045" width="7.625" style="183" customWidth="1"/>
    <col min="13046" max="13046" width="9.625" style="183" customWidth="1"/>
    <col min="13047" max="13047" width="7.625" style="183" customWidth="1"/>
    <col min="13048" max="13051" width="0" style="183" hidden="1" customWidth="1"/>
    <col min="13052" max="13052" width="14.375" style="183" customWidth="1"/>
    <col min="13053" max="13058" width="0" style="183" hidden="1" customWidth="1"/>
    <col min="13059" max="13059" width="10.125" style="183" bestFit="1" customWidth="1"/>
    <col min="13060" max="13298" width="9" style="183"/>
    <col min="13299" max="13299" width="75.875" style="183" customWidth="1"/>
    <col min="13300" max="13301" width="7.625" style="183" customWidth="1"/>
    <col min="13302" max="13302" width="9.625" style="183" customWidth="1"/>
    <col min="13303" max="13303" width="7.625" style="183" customWidth="1"/>
    <col min="13304" max="13307" width="0" style="183" hidden="1" customWidth="1"/>
    <col min="13308" max="13308" width="14.375" style="183" customWidth="1"/>
    <col min="13309" max="13314" width="0" style="183" hidden="1" customWidth="1"/>
    <col min="13315" max="13315" width="10.125" style="183" bestFit="1" customWidth="1"/>
    <col min="13316" max="13554" width="9" style="183"/>
    <col min="13555" max="13555" width="75.875" style="183" customWidth="1"/>
    <col min="13556" max="13557" width="7.625" style="183" customWidth="1"/>
    <col min="13558" max="13558" width="9.625" style="183" customWidth="1"/>
    <col min="13559" max="13559" width="7.625" style="183" customWidth="1"/>
    <col min="13560" max="13563" width="0" style="183" hidden="1" customWidth="1"/>
    <col min="13564" max="13564" width="14.375" style="183" customWidth="1"/>
    <col min="13565" max="13570" width="0" style="183" hidden="1" customWidth="1"/>
    <col min="13571" max="13571" width="10.125" style="183" bestFit="1" customWidth="1"/>
    <col min="13572" max="13810" width="9" style="183"/>
    <col min="13811" max="13811" width="75.875" style="183" customWidth="1"/>
    <col min="13812" max="13813" width="7.625" style="183" customWidth="1"/>
    <col min="13814" max="13814" width="9.625" style="183" customWidth="1"/>
    <col min="13815" max="13815" width="7.625" style="183" customWidth="1"/>
    <col min="13816" max="13819" width="0" style="183" hidden="1" customWidth="1"/>
    <col min="13820" max="13820" width="14.375" style="183" customWidth="1"/>
    <col min="13821" max="13826" width="0" style="183" hidden="1" customWidth="1"/>
    <col min="13827" max="13827" width="10.125" style="183" bestFit="1" customWidth="1"/>
    <col min="13828" max="14066" width="9" style="183"/>
    <col min="14067" max="14067" width="75.875" style="183" customWidth="1"/>
    <col min="14068" max="14069" width="7.625" style="183" customWidth="1"/>
    <col min="14070" max="14070" width="9.625" style="183" customWidth="1"/>
    <col min="14071" max="14071" width="7.625" style="183" customWidth="1"/>
    <col min="14072" max="14075" width="0" style="183" hidden="1" customWidth="1"/>
    <col min="14076" max="14076" width="14.375" style="183" customWidth="1"/>
    <col min="14077" max="14082" width="0" style="183" hidden="1" customWidth="1"/>
    <col min="14083" max="14083" width="10.125" style="183" bestFit="1" customWidth="1"/>
    <col min="14084" max="14322" width="9" style="183"/>
    <col min="14323" max="14323" width="75.875" style="183" customWidth="1"/>
    <col min="14324" max="14325" width="7.625" style="183" customWidth="1"/>
    <col min="14326" max="14326" width="9.625" style="183" customWidth="1"/>
    <col min="14327" max="14327" width="7.625" style="183" customWidth="1"/>
    <col min="14328" max="14331" width="0" style="183" hidden="1" customWidth="1"/>
    <col min="14332" max="14332" width="14.375" style="183" customWidth="1"/>
    <col min="14333" max="14338" width="0" style="183" hidden="1" customWidth="1"/>
    <col min="14339" max="14339" width="10.125" style="183" bestFit="1" customWidth="1"/>
    <col min="14340" max="14578" width="9" style="183"/>
    <col min="14579" max="14579" width="75.875" style="183" customWidth="1"/>
    <col min="14580" max="14581" width="7.625" style="183" customWidth="1"/>
    <col min="14582" max="14582" width="9.625" style="183" customWidth="1"/>
    <col min="14583" max="14583" width="7.625" style="183" customWidth="1"/>
    <col min="14584" max="14587" width="0" style="183" hidden="1" customWidth="1"/>
    <col min="14588" max="14588" width="14.375" style="183" customWidth="1"/>
    <col min="14589" max="14594" width="0" style="183" hidden="1" customWidth="1"/>
    <col min="14595" max="14595" width="10.125" style="183" bestFit="1" customWidth="1"/>
    <col min="14596" max="14834" width="9" style="183"/>
    <col min="14835" max="14835" width="75.875" style="183" customWidth="1"/>
    <col min="14836" max="14837" width="7.625" style="183" customWidth="1"/>
    <col min="14838" max="14838" width="9.625" style="183" customWidth="1"/>
    <col min="14839" max="14839" width="7.625" style="183" customWidth="1"/>
    <col min="14840" max="14843" width="0" style="183" hidden="1" customWidth="1"/>
    <col min="14844" max="14844" width="14.375" style="183" customWidth="1"/>
    <col min="14845" max="14850" width="0" style="183" hidden="1" customWidth="1"/>
    <col min="14851" max="14851" width="10.125" style="183" bestFit="1" customWidth="1"/>
    <col min="14852" max="15090" width="9" style="183"/>
    <col min="15091" max="15091" width="75.875" style="183" customWidth="1"/>
    <col min="15092" max="15093" width="7.625" style="183" customWidth="1"/>
    <col min="15094" max="15094" width="9.625" style="183" customWidth="1"/>
    <col min="15095" max="15095" width="7.625" style="183" customWidth="1"/>
    <col min="15096" max="15099" width="0" style="183" hidden="1" customWidth="1"/>
    <col min="15100" max="15100" width="14.375" style="183" customWidth="1"/>
    <col min="15101" max="15106" width="0" style="183" hidden="1" customWidth="1"/>
    <col min="15107" max="15107" width="10.125" style="183" bestFit="1" customWidth="1"/>
    <col min="15108" max="15346" width="9" style="183"/>
    <col min="15347" max="15347" width="75.875" style="183" customWidth="1"/>
    <col min="15348" max="15349" width="7.625" style="183" customWidth="1"/>
    <col min="15350" max="15350" width="9.625" style="183" customWidth="1"/>
    <col min="15351" max="15351" width="7.625" style="183" customWidth="1"/>
    <col min="15352" max="15355" width="0" style="183" hidden="1" customWidth="1"/>
    <col min="15356" max="15356" width="14.375" style="183" customWidth="1"/>
    <col min="15357" max="15362" width="0" style="183" hidden="1" customWidth="1"/>
    <col min="15363" max="15363" width="10.125" style="183" bestFit="1" customWidth="1"/>
    <col min="15364" max="15602" width="9" style="183"/>
    <col min="15603" max="15603" width="75.875" style="183" customWidth="1"/>
    <col min="15604" max="15605" width="7.625" style="183" customWidth="1"/>
    <col min="15606" max="15606" width="9.625" style="183" customWidth="1"/>
    <col min="15607" max="15607" width="7.625" style="183" customWidth="1"/>
    <col min="15608" max="15611" width="0" style="183" hidden="1" customWidth="1"/>
    <col min="15612" max="15612" width="14.375" style="183" customWidth="1"/>
    <col min="15613" max="15618" width="0" style="183" hidden="1" customWidth="1"/>
    <col min="15619" max="15619" width="10.125" style="183" bestFit="1" customWidth="1"/>
    <col min="15620" max="15858" width="9" style="183"/>
    <col min="15859" max="15859" width="75.875" style="183" customWidth="1"/>
    <col min="15860" max="15861" width="7.625" style="183" customWidth="1"/>
    <col min="15862" max="15862" width="9.625" style="183" customWidth="1"/>
    <col min="15863" max="15863" width="7.625" style="183" customWidth="1"/>
    <col min="15864" max="15867" width="0" style="183" hidden="1" customWidth="1"/>
    <col min="15868" max="15868" width="14.375" style="183" customWidth="1"/>
    <col min="15869" max="15874" width="0" style="183" hidden="1" customWidth="1"/>
    <col min="15875" max="15875" width="10.125" style="183" bestFit="1" customWidth="1"/>
    <col min="15876" max="16114" width="9" style="183"/>
    <col min="16115" max="16115" width="75.875" style="183" customWidth="1"/>
    <col min="16116" max="16117" width="7.625" style="183" customWidth="1"/>
    <col min="16118" max="16118" width="9.625" style="183" customWidth="1"/>
    <col min="16119" max="16119" width="7.625" style="183" customWidth="1"/>
    <col min="16120" max="16123" width="0" style="183" hidden="1" customWidth="1"/>
    <col min="16124" max="16124" width="14.375" style="183" customWidth="1"/>
    <col min="16125" max="16130" width="0" style="183" hidden="1" customWidth="1"/>
    <col min="16131" max="16131" width="10.125" style="183" bestFit="1" customWidth="1"/>
    <col min="16132" max="16384" width="9" style="183"/>
  </cols>
  <sheetData>
    <row r="1" spans="1:15" x14ac:dyDescent="0.3">
      <c r="G1" s="197"/>
      <c r="H1" s="197"/>
    </row>
    <row r="2" spans="1:15" x14ac:dyDescent="0.3">
      <c r="G2" s="197"/>
      <c r="H2" s="197"/>
    </row>
    <row r="3" spans="1:15" x14ac:dyDescent="0.3">
      <c r="A3" s="668" t="s">
        <v>236</v>
      </c>
      <c r="B3" s="647"/>
      <c r="C3" s="647"/>
      <c r="D3" s="647"/>
      <c r="E3" s="647"/>
      <c r="F3" s="647"/>
      <c r="G3" s="647"/>
      <c r="H3" s="504"/>
    </row>
    <row r="4" spans="1:15" x14ac:dyDescent="0.3">
      <c r="A4" s="669" t="s">
        <v>1097</v>
      </c>
      <c r="B4" s="654"/>
      <c r="C4" s="654"/>
      <c r="D4" s="654"/>
      <c r="E4" s="654"/>
      <c r="F4" s="654"/>
      <c r="G4" s="654"/>
      <c r="H4" s="503"/>
    </row>
    <row r="5" spans="1:15" x14ac:dyDescent="0.3">
      <c r="A5" s="669" t="s">
        <v>427</v>
      </c>
      <c r="B5" s="654"/>
      <c r="C5" s="654"/>
      <c r="D5" s="654"/>
      <c r="E5" s="654"/>
      <c r="F5" s="654"/>
      <c r="G5" s="654"/>
      <c r="H5" s="503"/>
    </row>
    <row r="6" spans="1:15" x14ac:dyDescent="0.3">
      <c r="A6" s="505"/>
      <c r="B6" s="503"/>
      <c r="C6" s="503"/>
      <c r="D6" s="503"/>
      <c r="E6" s="503"/>
      <c r="F6" s="455"/>
      <c r="G6" s="454" t="s">
        <v>382</v>
      </c>
      <c r="H6" s="454"/>
    </row>
    <row r="7" spans="1:15" ht="63.2" customHeight="1" x14ac:dyDescent="0.3">
      <c r="A7" s="173" t="s">
        <v>0</v>
      </c>
      <c r="B7" s="174" t="s">
        <v>1</v>
      </c>
      <c r="C7" s="174" t="s">
        <v>2</v>
      </c>
      <c r="D7" s="174" t="s">
        <v>3</v>
      </c>
      <c r="E7" s="174" t="s">
        <v>4</v>
      </c>
      <c r="F7" s="456" t="s">
        <v>1101</v>
      </c>
      <c r="G7" s="175" t="s">
        <v>1094</v>
      </c>
      <c r="H7" s="175" t="s">
        <v>1102</v>
      </c>
      <c r="I7" s="457" t="s">
        <v>1098</v>
      </c>
      <c r="J7" s="456" t="s">
        <v>1095</v>
      </c>
      <c r="K7" s="456" t="s">
        <v>1105</v>
      </c>
      <c r="L7" s="456"/>
      <c r="M7" s="456" t="s">
        <v>1096</v>
      </c>
      <c r="N7" s="312" t="s">
        <v>677</v>
      </c>
      <c r="O7" s="188" t="s">
        <v>1113</v>
      </c>
    </row>
    <row r="8" spans="1:15" s="461" customFormat="1" ht="50.95" x14ac:dyDescent="0.3">
      <c r="A8" s="186" t="s">
        <v>448</v>
      </c>
      <c r="B8" s="458" t="s">
        <v>454</v>
      </c>
      <c r="C8" s="458" t="s">
        <v>5</v>
      </c>
      <c r="D8" s="458" t="s">
        <v>126</v>
      </c>
      <c r="E8" s="458" t="s">
        <v>6</v>
      </c>
      <c r="F8" s="495">
        <f>F9</f>
        <v>8004587.75</v>
      </c>
      <c r="G8" s="459">
        <f>G9</f>
        <v>8251204</v>
      </c>
      <c r="H8" s="460">
        <v>6112546.1100000003</v>
      </c>
      <c r="I8" s="459">
        <f>I9</f>
        <v>8500186.379999999</v>
      </c>
      <c r="J8" s="459">
        <f>J9</f>
        <v>9033233</v>
      </c>
      <c r="K8" s="462">
        <f>J8/G8*100</f>
        <v>109.47775621594134</v>
      </c>
      <c r="L8" s="462">
        <f>J8-G8</f>
        <v>782029</v>
      </c>
      <c r="M8" s="459">
        <f>M9</f>
        <v>9033233</v>
      </c>
      <c r="N8" s="178">
        <f t="shared" ref="N8:N71" si="0">M8-J8</f>
        <v>0</v>
      </c>
      <c r="O8" s="179">
        <f>M8-G8</f>
        <v>782029</v>
      </c>
    </row>
    <row r="9" spans="1:15" outlineLevel="1" x14ac:dyDescent="0.3">
      <c r="A9" s="189" t="s">
        <v>7</v>
      </c>
      <c r="B9" s="392" t="s">
        <v>454</v>
      </c>
      <c r="C9" s="392" t="s">
        <v>8</v>
      </c>
      <c r="D9" s="392" t="s">
        <v>126</v>
      </c>
      <c r="E9" s="392" t="s">
        <v>6</v>
      </c>
      <c r="F9" s="471">
        <f>F10+F19</f>
        <v>8004587.75</v>
      </c>
      <c r="G9" s="462">
        <f>G10+G19</f>
        <v>8251204</v>
      </c>
      <c r="H9" s="463">
        <v>6112546.1100000003</v>
      </c>
      <c r="I9" s="462">
        <f>I10+I19</f>
        <v>8500186.379999999</v>
      </c>
      <c r="J9" s="462">
        <f>J10+J19</f>
        <v>9033233</v>
      </c>
      <c r="K9" s="462">
        <f t="shared" ref="K9:K72" si="1">J9/G9*100</f>
        <v>109.47775621594134</v>
      </c>
      <c r="L9" s="462">
        <f t="shared" ref="L9:L72" si="2">J9-G9</f>
        <v>782029</v>
      </c>
      <c r="M9" s="462">
        <f>M10+M19</f>
        <v>9033233</v>
      </c>
      <c r="N9" s="178">
        <f t="shared" si="0"/>
        <v>0</v>
      </c>
      <c r="O9" s="179">
        <f t="shared" ref="O9:O72" si="3">M9-G9</f>
        <v>782029</v>
      </c>
    </row>
    <row r="10" spans="1:15" ht="39.25" customHeight="1" outlineLevel="2" x14ac:dyDescent="0.3">
      <c r="A10" s="189" t="s">
        <v>9</v>
      </c>
      <c r="B10" s="392" t="s">
        <v>454</v>
      </c>
      <c r="C10" s="392" t="s">
        <v>10</v>
      </c>
      <c r="D10" s="392" t="s">
        <v>126</v>
      </c>
      <c r="E10" s="392" t="s">
        <v>6</v>
      </c>
      <c r="F10" s="471">
        <f>F11</f>
        <v>7452126.75</v>
      </c>
      <c r="G10" s="462">
        <f t="shared" ref="G10:J11" si="4">G11</f>
        <v>7534704</v>
      </c>
      <c r="H10" s="463">
        <v>5469092.1100000003</v>
      </c>
      <c r="I10" s="462">
        <f t="shared" si="4"/>
        <v>7898658.3799999999</v>
      </c>
      <c r="J10" s="462">
        <f t="shared" si="4"/>
        <v>8364034</v>
      </c>
      <c r="K10" s="462">
        <f t="shared" si="1"/>
        <v>111.00680265608311</v>
      </c>
      <c r="L10" s="462">
        <f t="shared" si="2"/>
        <v>829330</v>
      </c>
      <c r="M10" s="462">
        <f t="shared" ref="M10:M11" si="5">M11</f>
        <v>8364034</v>
      </c>
      <c r="N10" s="178">
        <f t="shared" si="0"/>
        <v>0</v>
      </c>
      <c r="O10" s="179">
        <f t="shared" si="3"/>
        <v>829330</v>
      </c>
    </row>
    <row r="11" spans="1:15" ht="34" outlineLevel="4" x14ac:dyDescent="0.3">
      <c r="A11" s="189" t="s">
        <v>132</v>
      </c>
      <c r="B11" s="392" t="s">
        <v>454</v>
      </c>
      <c r="C11" s="392" t="s">
        <v>10</v>
      </c>
      <c r="D11" s="392" t="s">
        <v>127</v>
      </c>
      <c r="E11" s="392" t="s">
        <v>6</v>
      </c>
      <c r="F11" s="471">
        <f>F12</f>
        <v>7452126.75</v>
      </c>
      <c r="G11" s="462">
        <f t="shared" si="4"/>
        <v>7534704</v>
      </c>
      <c r="H11" s="463">
        <v>5469092.1100000003</v>
      </c>
      <c r="I11" s="462">
        <f t="shared" si="4"/>
        <v>7898658.3799999999</v>
      </c>
      <c r="J11" s="462">
        <f t="shared" si="4"/>
        <v>8364034</v>
      </c>
      <c r="K11" s="462">
        <f t="shared" si="1"/>
        <v>111.00680265608311</v>
      </c>
      <c r="L11" s="462">
        <f t="shared" si="2"/>
        <v>829330</v>
      </c>
      <c r="M11" s="462">
        <f t="shared" si="5"/>
        <v>8364034</v>
      </c>
      <c r="N11" s="178">
        <f t="shared" si="0"/>
        <v>0</v>
      </c>
      <c r="O11" s="179">
        <f t="shared" si="3"/>
        <v>829330</v>
      </c>
    </row>
    <row r="12" spans="1:15" ht="43.5" customHeight="1" outlineLevel="5" x14ac:dyDescent="0.3">
      <c r="A12" s="189" t="s">
        <v>449</v>
      </c>
      <c r="B12" s="392" t="s">
        <v>454</v>
      </c>
      <c r="C12" s="392" t="s">
        <v>10</v>
      </c>
      <c r="D12" s="392" t="s">
        <v>450</v>
      </c>
      <c r="E12" s="392" t="s">
        <v>6</v>
      </c>
      <c r="F12" s="471">
        <f>F13+F15</f>
        <v>7452126.75</v>
      </c>
      <c r="G12" s="462">
        <f>G13+G15+G17</f>
        <v>7534704</v>
      </c>
      <c r="H12" s="463">
        <v>5469092.1100000003</v>
      </c>
      <c r="I12" s="462">
        <f>I13+I15+I17</f>
        <v>7898658.3799999999</v>
      </c>
      <c r="J12" s="462">
        <f>J13+J15+J17</f>
        <v>8364034</v>
      </c>
      <c r="K12" s="462">
        <f t="shared" si="1"/>
        <v>111.00680265608311</v>
      </c>
      <c r="L12" s="462">
        <f t="shared" si="2"/>
        <v>829330</v>
      </c>
      <c r="M12" s="462">
        <f>M13+M15+M17</f>
        <v>8364034</v>
      </c>
      <c r="N12" s="178">
        <f t="shared" si="0"/>
        <v>0</v>
      </c>
      <c r="O12" s="179">
        <f t="shared" si="3"/>
        <v>829330</v>
      </c>
    </row>
    <row r="13" spans="1:15" ht="76.75" customHeight="1" outlineLevel="6" x14ac:dyDescent="0.3">
      <c r="A13" s="189" t="s">
        <v>11</v>
      </c>
      <c r="B13" s="392" t="s">
        <v>454</v>
      </c>
      <c r="C13" s="392" t="s">
        <v>10</v>
      </c>
      <c r="D13" s="392" t="s">
        <v>450</v>
      </c>
      <c r="E13" s="392" t="s">
        <v>12</v>
      </c>
      <c r="F13" s="471">
        <f>F14</f>
        <v>7224638.0899999999</v>
      </c>
      <c r="G13" s="462">
        <f>G14</f>
        <v>7311140</v>
      </c>
      <c r="H13" s="463">
        <v>5371932.6600000001</v>
      </c>
      <c r="I13" s="462">
        <f>I14</f>
        <v>7603584.3799999999</v>
      </c>
      <c r="J13" s="462">
        <f>J14</f>
        <v>8098234</v>
      </c>
      <c r="K13" s="462">
        <f t="shared" si="1"/>
        <v>110.7656808650908</v>
      </c>
      <c r="L13" s="462">
        <f t="shared" si="2"/>
        <v>787094</v>
      </c>
      <c r="M13" s="462">
        <f>M14</f>
        <v>8098234</v>
      </c>
      <c r="N13" s="178">
        <f t="shared" si="0"/>
        <v>0</v>
      </c>
      <c r="O13" s="179">
        <f t="shared" si="3"/>
        <v>787094</v>
      </c>
    </row>
    <row r="14" spans="1:15" ht="34" outlineLevel="7" x14ac:dyDescent="0.3">
      <c r="A14" s="189" t="s">
        <v>13</v>
      </c>
      <c r="B14" s="392" t="s">
        <v>454</v>
      </c>
      <c r="C14" s="392" t="s">
        <v>10</v>
      </c>
      <c r="D14" s="392" t="s">
        <v>450</v>
      </c>
      <c r="E14" s="392" t="s">
        <v>14</v>
      </c>
      <c r="F14" s="475">
        <v>7224638.0899999999</v>
      </c>
      <c r="G14" s="449">
        <f>'потребность 2023 (5)'!K13</f>
        <v>7311140</v>
      </c>
      <c r="H14" s="463">
        <v>5371932.6600000001</v>
      </c>
      <c r="I14" s="449">
        <f>5839926.56+1763657.82</f>
        <v>7603584.3799999999</v>
      </c>
      <c r="J14" s="449">
        <v>8098234</v>
      </c>
      <c r="K14" s="462">
        <f t="shared" si="1"/>
        <v>110.7656808650908</v>
      </c>
      <c r="L14" s="462">
        <f t="shared" si="2"/>
        <v>787094</v>
      </c>
      <c r="M14" s="449">
        <v>8098234</v>
      </c>
      <c r="N14" s="178">
        <f t="shared" si="0"/>
        <v>0</v>
      </c>
      <c r="O14" s="179">
        <f t="shared" si="3"/>
        <v>787094</v>
      </c>
    </row>
    <row r="15" spans="1:15" ht="34" outlineLevel="6" x14ac:dyDescent="0.3">
      <c r="A15" s="189" t="s">
        <v>15</v>
      </c>
      <c r="B15" s="392" t="s">
        <v>454</v>
      </c>
      <c r="C15" s="392" t="s">
        <v>10</v>
      </c>
      <c r="D15" s="392" t="s">
        <v>450</v>
      </c>
      <c r="E15" s="392" t="s">
        <v>16</v>
      </c>
      <c r="F15" s="471">
        <f>F16</f>
        <v>227488.66</v>
      </c>
      <c r="G15" s="462">
        <f>G16</f>
        <v>222564</v>
      </c>
      <c r="H15" s="463">
        <v>97159.45</v>
      </c>
      <c r="I15" s="462">
        <f>I16</f>
        <v>294074</v>
      </c>
      <c r="J15" s="462">
        <f>J16</f>
        <v>264800</v>
      </c>
      <c r="K15" s="462">
        <f t="shared" si="1"/>
        <v>118.97701335346238</v>
      </c>
      <c r="L15" s="462">
        <f t="shared" si="2"/>
        <v>42236</v>
      </c>
      <c r="M15" s="462">
        <f>M16</f>
        <v>264800</v>
      </c>
      <c r="N15" s="178">
        <f t="shared" si="0"/>
        <v>0</v>
      </c>
      <c r="O15" s="179">
        <f t="shared" si="3"/>
        <v>42236</v>
      </c>
    </row>
    <row r="16" spans="1:15" ht="34.65" customHeight="1" outlineLevel="7" x14ac:dyDescent="0.3">
      <c r="A16" s="189" t="s">
        <v>17</v>
      </c>
      <c r="B16" s="392" t="s">
        <v>454</v>
      </c>
      <c r="C16" s="392" t="s">
        <v>10</v>
      </c>
      <c r="D16" s="392" t="s">
        <v>450</v>
      </c>
      <c r="E16" s="392" t="s">
        <v>18</v>
      </c>
      <c r="F16" s="496">
        <v>227488.66</v>
      </c>
      <c r="G16" s="449">
        <f>'потребность 2023 (5)'!K15-20000</f>
        <v>222564</v>
      </c>
      <c r="H16" s="463">
        <v>97159.45</v>
      </c>
      <c r="I16" s="449">
        <v>294074</v>
      </c>
      <c r="J16" s="449">
        <v>264800</v>
      </c>
      <c r="K16" s="462">
        <f t="shared" si="1"/>
        <v>118.97701335346238</v>
      </c>
      <c r="L16" s="462">
        <f t="shared" si="2"/>
        <v>42236</v>
      </c>
      <c r="M16" s="449">
        <v>264800</v>
      </c>
      <c r="N16" s="178">
        <f t="shared" si="0"/>
        <v>0</v>
      </c>
      <c r="O16" s="179">
        <f t="shared" si="3"/>
        <v>42236</v>
      </c>
    </row>
    <row r="17" spans="1:15" outlineLevel="6" x14ac:dyDescent="0.3">
      <c r="A17" s="189" t="s">
        <v>19</v>
      </c>
      <c r="B17" s="392" t="s">
        <v>454</v>
      </c>
      <c r="C17" s="392" t="s">
        <v>10</v>
      </c>
      <c r="D17" s="392" t="s">
        <v>450</v>
      </c>
      <c r="E17" s="392" t="s">
        <v>20</v>
      </c>
      <c r="F17" s="449">
        <v>0</v>
      </c>
      <c r="G17" s="462">
        <f>G18</f>
        <v>1000</v>
      </c>
      <c r="H17" s="463">
        <v>0</v>
      </c>
      <c r="I17" s="462">
        <f>I18</f>
        <v>1000</v>
      </c>
      <c r="J17" s="462">
        <f>J18</f>
        <v>1000</v>
      </c>
      <c r="K17" s="462">
        <f t="shared" si="1"/>
        <v>100</v>
      </c>
      <c r="L17" s="462">
        <f t="shared" si="2"/>
        <v>0</v>
      </c>
      <c r="M17" s="462">
        <f>M18</f>
        <v>1000</v>
      </c>
      <c r="N17" s="178">
        <f t="shared" si="0"/>
        <v>0</v>
      </c>
      <c r="O17" s="179">
        <f t="shared" si="3"/>
        <v>0</v>
      </c>
    </row>
    <row r="18" spans="1:15" outlineLevel="7" x14ac:dyDescent="0.3">
      <c r="A18" s="189" t="s">
        <v>21</v>
      </c>
      <c r="B18" s="392" t="s">
        <v>454</v>
      </c>
      <c r="C18" s="392" t="s">
        <v>10</v>
      </c>
      <c r="D18" s="392" t="s">
        <v>450</v>
      </c>
      <c r="E18" s="392" t="s">
        <v>22</v>
      </c>
      <c r="F18" s="449">
        <v>0</v>
      </c>
      <c r="G18" s="449">
        <f>'потребность 2023 (5)'!K17</f>
        <v>1000</v>
      </c>
      <c r="H18" s="463">
        <v>0</v>
      </c>
      <c r="I18" s="449">
        <v>1000</v>
      </c>
      <c r="J18" s="449">
        <v>1000</v>
      </c>
      <c r="K18" s="462">
        <f t="shared" si="1"/>
        <v>100</v>
      </c>
      <c r="L18" s="462">
        <f t="shared" si="2"/>
        <v>0</v>
      </c>
      <c r="M18" s="449">
        <v>1000</v>
      </c>
      <c r="N18" s="178">
        <f t="shared" si="0"/>
        <v>0</v>
      </c>
      <c r="O18" s="179">
        <f t="shared" si="3"/>
        <v>0</v>
      </c>
    </row>
    <row r="19" spans="1:15" outlineLevel="2" x14ac:dyDescent="0.3">
      <c r="A19" s="189" t="s">
        <v>23</v>
      </c>
      <c r="B19" s="392" t="s">
        <v>454</v>
      </c>
      <c r="C19" s="392" t="s">
        <v>24</v>
      </c>
      <c r="D19" s="392" t="s">
        <v>126</v>
      </c>
      <c r="E19" s="392" t="s">
        <v>6</v>
      </c>
      <c r="F19" s="471">
        <f>F20+F25</f>
        <v>552461</v>
      </c>
      <c r="G19" s="462">
        <f>G20+G25</f>
        <v>716500</v>
      </c>
      <c r="H19" s="463">
        <v>643454</v>
      </c>
      <c r="I19" s="462">
        <f>I20+I25</f>
        <v>601528</v>
      </c>
      <c r="J19" s="462">
        <f>J20+J25</f>
        <v>669199</v>
      </c>
      <c r="K19" s="462">
        <f t="shared" si="1"/>
        <v>93.398325191905101</v>
      </c>
      <c r="L19" s="462">
        <f t="shared" si="2"/>
        <v>-47301</v>
      </c>
      <c r="M19" s="462">
        <f>M20+M25</f>
        <v>669199</v>
      </c>
      <c r="N19" s="178">
        <f t="shared" si="0"/>
        <v>0</v>
      </c>
      <c r="O19" s="179">
        <f t="shared" si="3"/>
        <v>-47301</v>
      </c>
    </row>
    <row r="20" spans="1:15" s="224" customFormat="1" ht="39.75" customHeight="1" outlineLevel="3" x14ac:dyDescent="0.3">
      <c r="A20" s="233" t="s">
        <v>1020</v>
      </c>
      <c r="B20" s="397" t="s">
        <v>454</v>
      </c>
      <c r="C20" s="397" t="s">
        <v>24</v>
      </c>
      <c r="D20" s="397" t="s">
        <v>128</v>
      </c>
      <c r="E20" s="397" t="s">
        <v>6</v>
      </c>
      <c r="F20" s="473">
        <f t="shared" ref="F20:J23" si="6">F21</f>
        <v>43445</v>
      </c>
      <c r="G20" s="465">
        <f t="shared" si="6"/>
        <v>60571</v>
      </c>
      <c r="H20" s="463">
        <v>0</v>
      </c>
      <c r="I20" s="465">
        <f t="shared" si="6"/>
        <v>63000</v>
      </c>
      <c r="J20" s="465">
        <f t="shared" si="6"/>
        <v>60571</v>
      </c>
      <c r="K20" s="462">
        <f t="shared" si="1"/>
        <v>100</v>
      </c>
      <c r="L20" s="462">
        <f t="shared" si="2"/>
        <v>0</v>
      </c>
      <c r="M20" s="465">
        <f t="shared" ref="M20:M23" si="7">M21</f>
        <v>60571</v>
      </c>
      <c r="N20" s="178">
        <f t="shared" si="0"/>
        <v>0</v>
      </c>
      <c r="O20" s="179">
        <f t="shared" si="3"/>
        <v>0</v>
      </c>
    </row>
    <row r="21" spans="1:15" ht="39.25" customHeight="1" outlineLevel="4" x14ac:dyDescent="0.3">
      <c r="A21" s="189" t="s">
        <v>748</v>
      </c>
      <c r="B21" s="392" t="s">
        <v>454</v>
      </c>
      <c r="C21" s="392" t="s">
        <v>24</v>
      </c>
      <c r="D21" s="392" t="s">
        <v>303</v>
      </c>
      <c r="E21" s="392" t="s">
        <v>6</v>
      </c>
      <c r="F21" s="471">
        <f t="shared" si="6"/>
        <v>43445</v>
      </c>
      <c r="G21" s="462">
        <f t="shared" si="6"/>
        <v>60571</v>
      </c>
      <c r="H21" s="463">
        <v>0</v>
      </c>
      <c r="I21" s="462">
        <f t="shared" si="6"/>
        <v>63000</v>
      </c>
      <c r="J21" s="462">
        <f t="shared" si="6"/>
        <v>60571</v>
      </c>
      <c r="K21" s="462">
        <f t="shared" si="1"/>
        <v>100</v>
      </c>
      <c r="L21" s="462">
        <f t="shared" si="2"/>
        <v>0</v>
      </c>
      <c r="M21" s="462">
        <f t="shared" si="7"/>
        <v>60571</v>
      </c>
      <c r="N21" s="178">
        <f t="shared" si="0"/>
        <v>0</v>
      </c>
      <c r="O21" s="179">
        <f t="shared" si="3"/>
        <v>0</v>
      </c>
    </row>
    <row r="22" spans="1:15" outlineLevel="5" x14ac:dyDescent="0.3">
      <c r="A22" s="189" t="s">
        <v>309</v>
      </c>
      <c r="B22" s="392" t="s">
        <v>454</v>
      </c>
      <c r="C22" s="392" t="s">
        <v>24</v>
      </c>
      <c r="D22" s="392" t="s">
        <v>304</v>
      </c>
      <c r="E22" s="392" t="s">
        <v>6</v>
      </c>
      <c r="F22" s="471">
        <f t="shared" si="6"/>
        <v>43445</v>
      </c>
      <c r="G22" s="462">
        <f t="shared" si="6"/>
        <v>60571</v>
      </c>
      <c r="H22" s="463">
        <v>0</v>
      </c>
      <c r="I22" s="462">
        <f t="shared" si="6"/>
        <v>63000</v>
      </c>
      <c r="J22" s="462">
        <f t="shared" si="6"/>
        <v>60571</v>
      </c>
      <c r="K22" s="462">
        <f t="shared" si="1"/>
        <v>100</v>
      </c>
      <c r="L22" s="462">
        <f t="shared" si="2"/>
        <v>0</v>
      </c>
      <c r="M22" s="462">
        <f t="shared" si="7"/>
        <v>60571</v>
      </c>
      <c r="N22" s="178">
        <f t="shared" si="0"/>
        <v>0</v>
      </c>
      <c r="O22" s="179">
        <f t="shared" si="3"/>
        <v>0</v>
      </c>
    </row>
    <row r="23" spans="1:15" ht="34" outlineLevel="6" x14ac:dyDescent="0.3">
      <c r="A23" s="189" t="s">
        <v>15</v>
      </c>
      <c r="B23" s="392" t="s">
        <v>454</v>
      </c>
      <c r="C23" s="392" t="s">
        <v>24</v>
      </c>
      <c r="D23" s="392" t="s">
        <v>304</v>
      </c>
      <c r="E23" s="392" t="s">
        <v>16</v>
      </c>
      <c r="F23" s="475">
        <v>43445</v>
      </c>
      <c r="G23" s="462">
        <f t="shared" si="6"/>
        <v>60571</v>
      </c>
      <c r="H23" s="463">
        <v>0</v>
      </c>
      <c r="I23" s="462">
        <f t="shared" si="6"/>
        <v>63000</v>
      </c>
      <c r="J23" s="462">
        <f t="shared" si="6"/>
        <v>60571</v>
      </c>
      <c r="K23" s="462">
        <f t="shared" si="1"/>
        <v>100</v>
      </c>
      <c r="L23" s="462">
        <f t="shared" si="2"/>
        <v>0</v>
      </c>
      <c r="M23" s="462">
        <f t="shared" si="7"/>
        <v>60571</v>
      </c>
      <c r="N23" s="178">
        <f t="shared" si="0"/>
        <v>0</v>
      </c>
      <c r="O23" s="179">
        <f t="shared" si="3"/>
        <v>0</v>
      </c>
    </row>
    <row r="24" spans="1:15" ht="19.55" customHeight="1" outlineLevel="7" x14ac:dyDescent="0.3">
      <c r="A24" s="189" t="s">
        <v>17</v>
      </c>
      <c r="B24" s="392" t="s">
        <v>454</v>
      </c>
      <c r="C24" s="392" t="s">
        <v>24</v>
      </c>
      <c r="D24" s="392" t="s">
        <v>304</v>
      </c>
      <c r="E24" s="392" t="s">
        <v>18</v>
      </c>
      <c r="F24" s="475">
        <v>43445</v>
      </c>
      <c r="G24" s="449">
        <f>'потребность 2023 (5)'!K23</f>
        <v>60571</v>
      </c>
      <c r="H24" s="463">
        <v>0</v>
      </c>
      <c r="I24" s="449">
        <v>63000</v>
      </c>
      <c r="J24" s="449">
        <v>60571</v>
      </c>
      <c r="K24" s="462">
        <f t="shared" si="1"/>
        <v>100</v>
      </c>
      <c r="L24" s="462">
        <f t="shared" si="2"/>
        <v>0</v>
      </c>
      <c r="M24" s="449">
        <v>60571</v>
      </c>
      <c r="N24" s="178">
        <f t="shared" si="0"/>
        <v>0</v>
      </c>
      <c r="O24" s="179">
        <f t="shared" si="3"/>
        <v>0</v>
      </c>
    </row>
    <row r="25" spans="1:15" s="224" customFormat="1" ht="36.700000000000003" customHeight="1" outlineLevel="7" x14ac:dyDescent="0.3">
      <c r="A25" s="233" t="s">
        <v>1028</v>
      </c>
      <c r="B25" s="397" t="s">
        <v>454</v>
      </c>
      <c r="C25" s="392" t="s">
        <v>24</v>
      </c>
      <c r="D25" s="397" t="s">
        <v>305</v>
      </c>
      <c r="E25" s="397" t="s">
        <v>6</v>
      </c>
      <c r="F25" s="477">
        <f t="shared" ref="F25:J28" si="8">F26</f>
        <v>509016</v>
      </c>
      <c r="G25" s="467">
        <f t="shared" si="8"/>
        <v>655929</v>
      </c>
      <c r="H25" s="463">
        <v>643454</v>
      </c>
      <c r="I25" s="467">
        <f t="shared" si="8"/>
        <v>538528</v>
      </c>
      <c r="J25" s="467">
        <f t="shared" si="8"/>
        <v>608628</v>
      </c>
      <c r="K25" s="462">
        <f t="shared" si="1"/>
        <v>92.788701216137724</v>
      </c>
      <c r="L25" s="462">
        <f t="shared" si="2"/>
        <v>-47301</v>
      </c>
      <c r="M25" s="467">
        <f t="shared" ref="M25:M28" si="9">M26</f>
        <v>608628</v>
      </c>
      <c r="N25" s="178">
        <f t="shared" si="0"/>
        <v>0</v>
      </c>
      <c r="O25" s="179">
        <f t="shared" si="3"/>
        <v>-47301</v>
      </c>
    </row>
    <row r="26" spans="1:15" ht="50.95" outlineLevel="7" x14ac:dyDescent="0.3">
      <c r="A26" s="189" t="s">
        <v>245</v>
      </c>
      <c r="B26" s="392" t="s">
        <v>454</v>
      </c>
      <c r="C26" s="392" t="s">
        <v>24</v>
      </c>
      <c r="D26" s="392" t="s">
        <v>306</v>
      </c>
      <c r="E26" s="392" t="s">
        <v>6</v>
      </c>
      <c r="F26" s="476">
        <f t="shared" si="8"/>
        <v>509016</v>
      </c>
      <c r="G26" s="449">
        <f t="shared" si="8"/>
        <v>655929</v>
      </c>
      <c r="H26" s="463">
        <v>643454</v>
      </c>
      <c r="I26" s="449">
        <f t="shared" si="8"/>
        <v>538528</v>
      </c>
      <c r="J26" s="449">
        <f t="shared" si="8"/>
        <v>608628</v>
      </c>
      <c r="K26" s="462">
        <f t="shared" si="1"/>
        <v>92.788701216137724</v>
      </c>
      <c r="L26" s="462">
        <f t="shared" si="2"/>
        <v>-47301</v>
      </c>
      <c r="M26" s="449">
        <f t="shared" si="9"/>
        <v>608628</v>
      </c>
      <c r="N26" s="178">
        <f t="shared" si="0"/>
        <v>0</v>
      </c>
      <c r="O26" s="179">
        <f t="shared" si="3"/>
        <v>-47301</v>
      </c>
    </row>
    <row r="27" spans="1:15" ht="39.75" customHeight="1" outlineLevel="5" x14ac:dyDescent="0.3">
      <c r="A27" s="189" t="s">
        <v>25</v>
      </c>
      <c r="B27" s="392" t="s">
        <v>454</v>
      </c>
      <c r="C27" s="392" t="s">
        <v>24</v>
      </c>
      <c r="D27" s="392" t="s">
        <v>317</v>
      </c>
      <c r="E27" s="392" t="s">
        <v>6</v>
      </c>
      <c r="F27" s="471">
        <f t="shared" si="8"/>
        <v>509016</v>
      </c>
      <c r="G27" s="462">
        <f t="shared" si="8"/>
        <v>655929</v>
      </c>
      <c r="H27" s="463">
        <v>643454</v>
      </c>
      <c r="I27" s="462">
        <f t="shared" si="8"/>
        <v>538528</v>
      </c>
      <c r="J27" s="462">
        <f t="shared" si="8"/>
        <v>608628</v>
      </c>
      <c r="K27" s="462">
        <f t="shared" si="1"/>
        <v>92.788701216137724</v>
      </c>
      <c r="L27" s="462">
        <f t="shared" si="2"/>
        <v>-47301</v>
      </c>
      <c r="M27" s="462">
        <f t="shared" si="9"/>
        <v>608628</v>
      </c>
      <c r="N27" s="178">
        <f t="shared" si="0"/>
        <v>0</v>
      </c>
      <c r="O27" s="179">
        <f t="shared" si="3"/>
        <v>-47301</v>
      </c>
    </row>
    <row r="28" spans="1:15" ht="34" outlineLevel="6" x14ac:dyDescent="0.3">
      <c r="A28" s="189" t="s">
        <v>15</v>
      </c>
      <c r="B28" s="392" t="s">
        <v>454</v>
      </c>
      <c r="C28" s="392" t="s">
        <v>24</v>
      </c>
      <c r="D28" s="392" t="s">
        <v>317</v>
      </c>
      <c r="E28" s="392" t="s">
        <v>16</v>
      </c>
      <c r="F28" s="471">
        <f t="shared" si="8"/>
        <v>509016</v>
      </c>
      <c r="G28" s="462">
        <f t="shared" si="8"/>
        <v>655929</v>
      </c>
      <c r="H28" s="463">
        <v>643454</v>
      </c>
      <c r="I28" s="462">
        <f t="shared" si="8"/>
        <v>538528</v>
      </c>
      <c r="J28" s="462">
        <f t="shared" si="8"/>
        <v>608628</v>
      </c>
      <c r="K28" s="462">
        <f t="shared" si="1"/>
        <v>92.788701216137724</v>
      </c>
      <c r="L28" s="462">
        <f t="shared" si="2"/>
        <v>-47301</v>
      </c>
      <c r="M28" s="462">
        <f t="shared" si="9"/>
        <v>608628</v>
      </c>
      <c r="N28" s="178">
        <f t="shared" si="0"/>
        <v>0</v>
      </c>
      <c r="O28" s="179">
        <f t="shared" si="3"/>
        <v>-47301</v>
      </c>
    </row>
    <row r="29" spans="1:15" ht="21.25" customHeight="1" outlineLevel="7" x14ac:dyDescent="0.3">
      <c r="A29" s="189" t="s">
        <v>17</v>
      </c>
      <c r="B29" s="392" t="s">
        <v>454</v>
      </c>
      <c r="C29" s="392" t="s">
        <v>24</v>
      </c>
      <c r="D29" s="392" t="s">
        <v>317</v>
      </c>
      <c r="E29" s="392" t="s">
        <v>18</v>
      </c>
      <c r="F29" s="475">
        <v>509016</v>
      </c>
      <c r="G29" s="462">
        <f>'потребность 2023 (5)'!K28+108713</f>
        <v>655929</v>
      </c>
      <c r="H29" s="463">
        <v>643454</v>
      </c>
      <c r="I29" s="462">
        <v>538528</v>
      </c>
      <c r="J29" s="449">
        <v>608628</v>
      </c>
      <c r="K29" s="462">
        <f t="shared" si="1"/>
        <v>92.788701216137724</v>
      </c>
      <c r="L29" s="462">
        <f t="shared" si="2"/>
        <v>-47301</v>
      </c>
      <c r="M29" s="449">
        <v>608628</v>
      </c>
      <c r="N29" s="178">
        <f t="shared" si="0"/>
        <v>0</v>
      </c>
      <c r="O29" s="179">
        <f t="shared" si="3"/>
        <v>-47301</v>
      </c>
    </row>
    <row r="30" spans="1:15" s="461" customFormat="1" ht="34" x14ac:dyDescent="0.3">
      <c r="A30" s="186" t="s">
        <v>888</v>
      </c>
      <c r="B30" s="458" t="s">
        <v>455</v>
      </c>
      <c r="C30" s="458" t="s">
        <v>5</v>
      </c>
      <c r="D30" s="458" t="s">
        <v>126</v>
      </c>
      <c r="E30" s="458" t="s">
        <v>6</v>
      </c>
      <c r="F30" s="459">
        <f>F31+F160+F170+F229+F325+F341+F358+F401+F486+F452+F181</f>
        <v>250739550.38999993</v>
      </c>
      <c r="G30" s="459">
        <f>G31+G160+G170+G229+G325+G341+G358+G401+G486+G452+G181</f>
        <v>263734885.10999998</v>
      </c>
      <c r="H30" s="460">
        <v>290398495.88999999</v>
      </c>
      <c r="I30" s="459">
        <f>I31+I160+I170+I229+I325+I341+I358+I401+I486+I452+I181</f>
        <v>188307399.69999999</v>
      </c>
      <c r="J30" s="459">
        <f>J31+J160+J170+J229+J325+J341+J358+J401+J486+J452+J181</f>
        <v>284037389.33000004</v>
      </c>
      <c r="K30" s="462">
        <f t="shared" si="1"/>
        <v>107.69807309015347</v>
      </c>
      <c r="L30" s="462">
        <f t="shared" si="2"/>
        <v>20302504.220000058</v>
      </c>
      <c r="M30" s="459">
        <f>M31+M160+M170+M229+M325+M341+M358+M401+M486+M452+M181</f>
        <v>244261371.78</v>
      </c>
      <c r="N30" s="178">
        <f t="shared" si="0"/>
        <v>-39776017.550000042</v>
      </c>
      <c r="O30" s="179">
        <f t="shared" si="3"/>
        <v>-19473513.329999983</v>
      </c>
    </row>
    <row r="31" spans="1:15" s="224" customFormat="1" outlineLevel="1" x14ac:dyDescent="0.3">
      <c r="A31" s="233" t="s">
        <v>7</v>
      </c>
      <c r="B31" s="397" t="s">
        <v>455</v>
      </c>
      <c r="C31" s="397" t="s">
        <v>8</v>
      </c>
      <c r="D31" s="397" t="s">
        <v>126</v>
      </c>
      <c r="E31" s="397" t="s">
        <v>6</v>
      </c>
      <c r="F31" s="465">
        <f>F32+F37+F44+F50+F60+F55</f>
        <v>98280462.280000001</v>
      </c>
      <c r="G31" s="465">
        <f>G32+G37+G44+G50+G60+G55</f>
        <v>95785583.609999999</v>
      </c>
      <c r="H31" s="460">
        <v>70550900.319999993</v>
      </c>
      <c r="I31" s="465">
        <f>I32+I37+I44+I50+I60+I55</f>
        <v>94305786</v>
      </c>
      <c r="J31" s="465">
        <f>J32+J37+J44+J50+J60+J55</f>
        <v>116569882.58</v>
      </c>
      <c r="K31" s="462">
        <f t="shared" si="1"/>
        <v>121.69877573082941</v>
      </c>
      <c r="L31" s="462">
        <f t="shared" si="2"/>
        <v>20784298.969999999</v>
      </c>
      <c r="M31" s="465">
        <f>M32+M37+M44+M50+M60+M55</f>
        <v>129979185.61</v>
      </c>
      <c r="N31" s="178">
        <f t="shared" si="0"/>
        <v>13409303.030000001</v>
      </c>
      <c r="O31" s="179">
        <f t="shared" si="3"/>
        <v>34193602</v>
      </c>
    </row>
    <row r="32" spans="1:15" ht="45.7" customHeight="1" outlineLevel="2" x14ac:dyDescent="0.3">
      <c r="A32" s="189" t="s">
        <v>28</v>
      </c>
      <c r="B32" s="392" t="s">
        <v>455</v>
      </c>
      <c r="C32" s="392" t="s">
        <v>29</v>
      </c>
      <c r="D32" s="392" t="s">
        <v>126</v>
      </c>
      <c r="E32" s="392" t="s">
        <v>6</v>
      </c>
      <c r="F32" s="471">
        <f t="shared" ref="F32:J35" si="10">F33</f>
        <v>2665297.4500000002</v>
      </c>
      <c r="G32" s="462">
        <f t="shared" si="10"/>
        <v>2856950</v>
      </c>
      <c r="H32" s="460">
        <v>2405559.86</v>
      </c>
      <c r="I32" s="462">
        <f t="shared" si="10"/>
        <v>2819261</v>
      </c>
      <c r="J32" s="462">
        <f t="shared" si="10"/>
        <v>3140000</v>
      </c>
      <c r="K32" s="462">
        <f t="shared" si="1"/>
        <v>109.90741875076569</v>
      </c>
      <c r="L32" s="462">
        <f t="shared" si="2"/>
        <v>283050</v>
      </c>
      <c r="M32" s="462">
        <f t="shared" ref="M32:M35" si="11">M33</f>
        <v>3140000</v>
      </c>
      <c r="N32" s="178">
        <f t="shared" si="0"/>
        <v>0</v>
      </c>
      <c r="O32" s="179">
        <f t="shared" si="3"/>
        <v>283050</v>
      </c>
    </row>
    <row r="33" spans="1:15" ht="34" outlineLevel="3" x14ac:dyDescent="0.3">
      <c r="A33" s="189" t="s">
        <v>132</v>
      </c>
      <c r="B33" s="392" t="s">
        <v>455</v>
      </c>
      <c r="C33" s="392" t="s">
        <v>29</v>
      </c>
      <c r="D33" s="392" t="s">
        <v>127</v>
      </c>
      <c r="E33" s="392" t="s">
        <v>6</v>
      </c>
      <c r="F33" s="471">
        <f t="shared" si="10"/>
        <v>2665297.4500000002</v>
      </c>
      <c r="G33" s="462">
        <f t="shared" si="10"/>
        <v>2856950</v>
      </c>
      <c r="H33" s="460">
        <v>2405559.86</v>
      </c>
      <c r="I33" s="462">
        <f t="shared" si="10"/>
        <v>2819261</v>
      </c>
      <c r="J33" s="462">
        <f t="shared" si="10"/>
        <v>3140000</v>
      </c>
      <c r="K33" s="462">
        <f t="shared" si="1"/>
        <v>109.90741875076569</v>
      </c>
      <c r="L33" s="462">
        <f t="shared" si="2"/>
        <v>283050</v>
      </c>
      <c r="M33" s="462">
        <f t="shared" si="11"/>
        <v>3140000</v>
      </c>
      <c r="N33" s="178">
        <f t="shared" si="0"/>
        <v>0</v>
      </c>
      <c r="O33" s="179">
        <f t="shared" si="3"/>
        <v>283050</v>
      </c>
    </row>
    <row r="34" spans="1:15" outlineLevel="5" x14ac:dyDescent="0.3">
      <c r="A34" s="189" t="s">
        <v>451</v>
      </c>
      <c r="B34" s="392" t="s">
        <v>455</v>
      </c>
      <c r="C34" s="392" t="s">
        <v>29</v>
      </c>
      <c r="D34" s="392" t="s">
        <v>452</v>
      </c>
      <c r="E34" s="392" t="s">
        <v>6</v>
      </c>
      <c r="F34" s="471">
        <f t="shared" si="10"/>
        <v>2665297.4500000002</v>
      </c>
      <c r="G34" s="462">
        <f t="shared" si="10"/>
        <v>2856950</v>
      </c>
      <c r="H34" s="460">
        <v>2405559.86</v>
      </c>
      <c r="I34" s="462">
        <f t="shared" si="10"/>
        <v>2819261</v>
      </c>
      <c r="J34" s="462">
        <f t="shared" si="10"/>
        <v>3140000</v>
      </c>
      <c r="K34" s="462">
        <f t="shared" si="1"/>
        <v>109.90741875076569</v>
      </c>
      <c r="L34" s="462">
        <f t="shared" si="2"/>
        <v>283050</v>
      </c>
      <c r="M34" s="462">
        <f t="shared" si="11"/>
        <v>3140000</v>
      </c>
      <c r="N34" s="178">
        <f t="shared" si="0"/>
        <v>0</v>
      </c>
      <c r="O34" s="179">
        <f t="shared" si="3"/>
        <v>283050</v>
      </c>
    </row>
    <row r="35" spans="1:15" ht="101.9" outlineLevel="6" x14ac:dyDescent="0.3">
      <c r="A35" s="189" t="s">
        <v>11</v>
      </c>
      <c r="B35" s="392" t="s">
        <v>455</v>
      </c>
      <c r="C35" s="392" t="s">
        <v>29</v>
      </c>
      <c r="D35" s="392" t="s">
        <v>452</v>
      </c>
      <c r="E35" s="392" t="s">
        <v>12</v>
      </c>
      <c r="F35" s="471">
        <f t="shared" si="10"/>
        <v>2665297.4500000002</v>
      </c>
      <c r="G35" s="462">
        <f t="shared" si="10"/>
        <v>2856950</v>
      </c>
      <c r="H35" s="460">
        <v>2405559.86</v>
      </c>
      <c r="I35" s="462">
        <f t="shared" si="10"/>
        <v>2819261</v>
      </c>
      <c r="J35" s="462">
        <f t="shared" si="10"/>
        <v>3140000</v>
      </c>
      <c r="K35" s="462">
        <f t="shared" si="1"/>
        <v>109.90741875076569</v>
      </c>
      <c r="L35" s="462">
        <f t="shared" si="2"/>
        <v>283050</v>
      </c>
      <c r="M35" s="462">
        <f t="shared" si="11"/>
        <v>3140000</v>
      </c>
      <c r="N35" s="178">
        <f t="shared" si="0"/>
        <v>0</v>
      </c>
      <c r="O35" s="179">
        <f t="shared" si="3"/>
        <v>283050</v>
      </c>
    </row>
    <row r="36" spans="1:15" ht="34" outlineLevel="7" x14ac:dyDescent="0.3">
      <c r="A36" s="189" t="s">
        <v>13</v>
      </c>
      <c r="B36" s="392" t="s">
        <v>455</v>
      </c>
      <c r="C36" s="392" t="s">
        <v>29</v>
      </c>
      <c r="D36" s="392" t="s">
        <v>452</v>
      </c>
      <c r="E36" s="392" t="s">
        <v>14</v>
      </c>
      <c r="F36" s="475">
        <v>2665297.4500000002</v>
      </c>
      <c r="G36" s="462">
        <f>'потребность 2023 (5)'!K35-189170</f>
        <v>2856950</v>
      </c>
      <c r="H36" s="460">
        <v>2405559.86</v>
      </c>
      <c r="I36" s="462">
        <v>2819261</v>
      </c>
      <c r="J36" s="449">
        <v>3140000</v>
      </c>
      <c r="K36" s="462">
        <f t="shared" si="1"/>
        <v>109.90741875076569</v>
      </c>
      <c r="L36" s="462">
        <f t="shared" si="2"/>
        <v>283050</v>
      </c>
      <c r="M36" s="449">
        <v>3140000</v>
      </c>
      <c r="N36" s="178">
        <f t="shared" si="0"/>
        <v>0</v>
      </c>
      <c r="O36" s="179">
        <f t="shared" si="3"/>
        <v>283050</v>
      </c>
    </row>
    <row r="37" spans="1:15" ht="55.2" customHeight="1" outlineLevel="2" x14ac:dyDescent="0.3">
      <c r="A37" s="189" t="s">
        <v>30</v>
      </c>
      <c r="B37" s="392" t="s">
        <v>455</v>
      </c>
      <c r="C37" s="392" t="s">
        <v>31</v>
      </c>
      <c r="D37" s="392" t="s">
        <v>126</v>
      </c>
      <c r="E37" s="392" t="s">
        <v>6</v>
      </c>
      <c r="F37" s="471">
        <f>F38</f>
        <v>20389387.09</v>
      </c>
      <c r="G37" s="462">
        <f t="shared" ref="G37:J38" si="12">G38</f>
        <v>23294985</v>
      </c>
      <c r="H37" s="460">
        <v>15146482.289999999</v>
      </c>
      <c r="I37" s="462">
        <f t="shared" si="12"/>
        <v>24468530</v>
      </c>
      <c r="J37" s="462">
        <f t="shared" si="12"/>
        <v>26575000</v>
      </c>
      <c r="K37" s="462">
        <f t="shared" si="1"/>
        <v>114.08034819511582</v>
      </c>
      <c r="L37" s="462">
        <f t="shared" si="2"/>
        <v>3280015</v>
      </c>
      <c r="M37" s="462">
        <f t="shared" ref="M37:M38" si="13">M38</f>
        <v>26575000</v>
      </c>
      <c r="N37" s="178">
        <f t="shared" si="0"/>
        <v>0</v>
      </c>
      <c r="O37" s="179">
        <f t="shared" si="3"/>
        <v>3280015</v>
      </c>
    </row>
    <row r="38" spans="1:15" ht="34" outlineLevel="3" x14ac:dyDescent="0.3">
      <c r="A38" s="189" t="s">
        <v>132</v>
      </c>
      <c r="B38" s="392" t="s">
        <v>455</v>
      </c>
      <c r="C38" s="392" t="s">
        <v>31</v>
      </c>
      <c r="D38" s="392" t="s">
        <v>127</v>
      </c>
      <c r="E38" s="392" t="s">
        <v>6</v>
      </c>
      <c r="F38" s="471">
        <f>F39</f>
        <v>20389387.09</v>
      </c>
      <c r="G38" s="462">
        <f t="shared" si="12"/>
        <v>23294985</v>
      </c>
      <c r="H38" s="460">
        <v>15146482.289999999</v>
      </c>
      <c r="I38" s="462">
        <f t="shared" si="12"/>
        <v>24468530</v>
      </c>
      <c r="J38" s="462">
        <f t="shared" si="12"/>
        <v>26575000</v>
      </c>
      <c r="K38" s="462">
        <f t="shared" si="1"/>
        <v>114.08034819511582</v>
      </c>
      <c r="L38" s="462">
        <f t="shared" si="2"/>
        <v>3280015</v>
      </c>
      <c r="M38" s="462">
        <f t="shared" si="13"/>
        <v>26575000</v>
      </c>
      <c r="N38" s="178">
        <f t="shared" si="0"/>
        <v>0</v>
      </c>
      <c r="O38" s="179">
        <f t="shared" si="3"/>
        <v>3280015</v>
      </c>
    </row>
    <row r="39" spans="1:15" ht="46.55" customHeight="1" outlineLevel="5" x14ac:dyDescent="0.3">
      <c r="A39" s="189" t="s">
        <v>449</v>
      </c>
      <c r="B39" s="392" t="s">
        <v>455</v>
      </c>
      <c r="C39" s="392" t="s">
        <v>31</v>
      </c>
      <c r="D39" s="392" t="s">
        <v>450</v>
      </c>
      <c r="E39" s="392" t="s">
        <v>6</v>
      </c>
      <c r="F39" s="471">
        <f>F40+F42</f>
        <v>20389387.09</v>
      </c>
      <c r="G39" s="462">
        <f>G40+G42</f>
        <v>23294985</v>
      </c>
      <c r="H39" s="460">
        <v>15146482.289999999</v>
      </c>
      <c r="I39" s="462">
        <f>I40+I42</f>
        <v>24468530</v>
      </c>
      <c r="J39" s="462">
        <f>J40+J42</f>
        <v>26575000</v>
      </c>
      <c r="K39" s="462">
        <f t="shared" si="1"/>
        <v>114.08034819511582</v>
      </c>
      <c r="L39" s="462">
        <f t="shared" si="2"/>
        <v>3280015</v>
      </c>
      <c r="M39" s="462">
        <f>M40+M42</f>
        <v>26575000</v>
      </c>
      <c r="N39" s="178">
        <f t="shared" si="0"/>
        <v>0</v>
      </c>
      <c r="O39" s="179">
        <f t="shared" si="3"/>
        <v>3280015</v>
      </c>
    </row>
    <row r="40" spans="1:15" ht="101.9" outlineLevel="6" x14ac:dyDescent="0.3">
      <c r="A40" s="189" t="s">
        <v>11</v>
      </c>
      <c r="B40" s="392" t="s">
        <v>455</v>
      </c>
      <c r="C40" s="392" t="s">
        <v>31</v>
      </c>
      <c r="D40" s="392" t="s">
        <v>450</v>
      </c>
      <c r="E40" s="392" t="s">
        <v>12</v>
      </c>
      <c r="F40" s="471">
        <f>F41</f>
        <v>20270358.07</v>
      </c>
      <c r="G40" s="462">
        <f>G41</f>
        <v>23192985</v>
      </c>
      <c r="H40" s="460">
        <v>15091682.59</v>
      </c>
      <c r="I40" s="462">
        <f>I41</f>
        <v>24366530</v>
      </c>
      <c r="J40" s="462">
        <f>J41</f>
        <v>26470000</v>
      </c>
      <c r="K40" s="462">
        <f t="shared" si="1"/>
        <v>114.12933695253112</v>
      </c>
      <c r="L40" s="462">
        <f t="shared" si="2"/>
        <v>3277015</v>
      </c>
      <c r="M40" s="462">
        <f>M41</f>
        <v>26470000</v>
      </c>
      <c r="N40" s="178">
        <f t="shared" si="0"/>
        <v>0</v>
      </c>
      <c r="O40" s="179">
        <f t="shared" si="3"/>
        <v>3277015</v>
      </c>
    </row>
    <row r="41" spans="1:15" ht="34" outlineLevel="7" x14ac:dyDescent="0.3">
      <c r="A41" s="189" t="s">
        <v>13</v>
      </c>
      <c r="B41" s="392" t="s">
        <v>455</v>
      </c>
      <c r="C41" s="392" t="s">
        <v>31</v>
      </c>
      <c r="D41" s="392" t="s">
        <v>450</v>
      </c>
      <c r="E41" s="392" t="s">
        <v>14</v>
      </c>
      <c r="F41" s="475">
        <v>20270358.07</v>
      </c>
      <c r="G41" s="449">
        <f>'потребность 2023 (5)'!K40</f>
        <v>23192985</v>
      </c>
      <c r="H41" s="460">
        <v>15091682.59</v>
      </c>
      <c r="I41" s="449">
        <f>24866530-500000</f>
        <v>24366530</v>
      </c>
      <c r="J41" s="449">
        <v>26470000</v>
      </c>
      <c r="K41" s="462">
        <f t="shared" si="1"/>
        <v>114.12933695253112</v>
      </c>
      <c r="L41" s="462">
        <f t="shared" si="2"/>
        <v>3277015</v>
      </c>
      <c r="M41" s="449">
        <v>26470000</v>
      </c>
      <c r="N41" s="178">
        <f t="shared" si="0"/>
        <v>0</v>
      </c>
      <c r="O41" s="179">
        <f t="shared" si="3"/>
        <v>3277015</v>
      </c>
    </row>
    <row r="42" spans="1:15" ht="34" outlineLevel="6" x14ac:dyDescent="0.3">
      <c r="A42" s="189" t="s">
        <v>15</v>
      </c>
      <c r="B42" s="392" t="s">
        <v>455</v>
      </c>
      <c r="C42" s="392" t="s">
        <v>31</v>
      </c>
      <c r="D42" s="392" t="s">
        <v>450</v>
      </c>
      <c r="E42" s="392" t="s">
        <v>16</v>
      </c>
      <c r="F42" s="471">
        <f>F43</f>
        <v>119029.02</v>
      </c>
      <c r="G42" s="462">
        <f>G43</f>
        <v>102000</v>
      </c>
      <c r="H42" s="460">
        <v>54799.7</v>
      </c>
      <c r="I42" s="462">
        <f>I43</f>
        <v>102000</v>
      </c>
      <c r="J42" s="462">
        <f>J43</f>
        <v>105000</v>
      </c>
      <c r="K42" s="462">
        <f t="shared" si="1"/>
        <v>102.94117647058823</v>
      </c>
      <c r="L42" s="462">
        <f t="shared" si="2"/>
        <v>3000</v>
      </c>
      <c r="M42" s="462">
        <f>M43</f>
        <v>105000</v>
      </c>
      <c r="N42" s="178">
        <f t="shared" si="0"/>
        <v>0</v>
      </c>
      <c r="O42" s="179">
        <f t="shared" si="3"/>
        <v>3000</v>
      </c>
    </row>
    <row r="43" spans="1:15" ht="21.25" customHeight="1" outlineLevel="7" x14ac:dyDescent="0.3">
      <c r="A43" s="189" t="s">
        <v>17</v>
      </c>
      <c r="B43" s="392" t="s">
        <v>455</v>
      </c>
      <c r="C43" s="392" t="s">
        <v>31</v>
      </c>
      <c r="D43" s="392" t="s">
        <v>450</v>
      </c>
      <c r="E43" s="392" t="s">
        <v>18</v>
      </c>
      <c r="F43" s="475">
        <v>119029.02</v>
      </c>
      <c r="G43" s="449">
        <f>'потребность 2023 (5)'!K42</f>
        <v>102000</v>
      </c>
      <c r="H43" s="460">
        <v>54799.7</v>
      </c>
      <c r="I43" s="449">
        <v>102000</v>
      </c>
      <c r="J43" s="449">
        <v>105000</v>
      </c>
      <c r="K43" s="462">
        <f t="shared" si="1"/>
        <v>102.94117647058823</v>
      </c>
      <c r="L43" s="462">
        <f t="shared" si="2"/>
        <v>3000</v>
      </c>
      <c r="M43" s="449">
        <v>105000</v>
      </c>
      <c r="N43" s="178">
        <f t="shared" si="0"/>
        <v>0</v>
      </c>
      <c r="O43" s="179">
        <f t="shared" si="3"/>
        <v>3000</v>
      </c>
    </row>
    <row r="44" spans="1:15" hidden="1" outlineLevel="7" x14ac:dyDescent="0.3">
      <c r="A44" s="189" t="s">
        <v>254</v>
      </c>
      <c r="B44" s="392" t="s">
        <v>455</v>
      </c>
      <c r="C44" s="392" t="s">
        <v>255</v>
      </c>
      <c r="D44" s="392" t="s">
        <v>126</v>
      </c>
      <c r="E44" s="392" t="s">
        <v>6</v>
      </c>
      <c r="F44" s="476">
        <f>F45</f>
        <v>0</v>
      </c>
      <c r="G44" s="449">
        <f>G45</f>
        <v>0</v>
      </c>
      <c r="H44" s="460"/>
      <c r="I44" s="449">
        <f>I45</f>
        <v>0</v>
      </c>
      <c r="J44" s="449">
        <f>J45</f>
        <v>0</v>
      </c>
      <c r="K44" s="462" t="e">
        <f t="shared" si="1"/>
        <v>#DIV/0!</v>
      </c>
      <c r="L44" s="462">
        <f t="shared" si="2"/>
        <v>0</v>
      </c>
      <c r="M44" s="449">
        <f>M45</f>
        <v>0</v>
      </c>
      <c r="N44" s="178">
        <f t="shared" si="0"/>
        <v>0</v>
      </c>
      <c r="O44" s="179">
        <f t="shared" si="3"/>
        <v>0</v>
      </c>
    </row>
    <row r="45" spans="1:15" ht="34" hidden="1" outlineLevel="7" x14ac:dyDescent="0.3">
      <c r="A45" s="189" t="s">
        <v>132</v>
      </c>
      <c r="B45" s="392" t="s">
        <v>455</v>
      </c>
      <c r="C45" s="392" t="s">
        <v>255</v>
      </c>
      <c r="D45" s="392" t="s">
        <v>127</v>
      </c>
      <c r="E45" s="392" t="s">
        <v>6</v>
      </c>
      <c r="F45" s="476">
        <f>F47</f>
        <v>0</v>
      </c>
      <c r="G45" s="449">
        <f>G47</f>
        <v>0</v>
      </c>
      <c r="H45" s="460"/>
      <c r="I45" s="449">
        <f>I47</f>
        <v>0</v>
      </c>
      <c r="J45" s="449">
        <f>J47</f>
        <v>0</v>
      </c>
      <c r="K45" s="462" t="e">
        <f t="shared" si="1"/>
        <v>#DIV/0!</v>
      </c>
      <c r="L45" s="462">
        <f t="shared" si="2"/>
        <v>0</v>
      </c>
      <c r="M45" s="449">
        <f>M47</f>
        <v>0</v>
      </c>
      <c r="N45" s="178">
        <f t="shared" si="0"/>
        <v>0</v>
      </c>
      <c r="O45" s="179">
        <f t="shared" si="3"/>
        <v>0</v>
      </c>
    </row>
    <row r="46" spans="1:15" ht="34" hidden="1" outlineLevel="7" x14ac:dyDescent="0.3">
      <c r="A46" s="189" t="s">
        <v>269</v>
      </c>
      <c r="B46" s="392" t="s">
        <v>455</v>
      </c>
      <c r="C46" s="392" t="s">
        <v>255</v>
      </c>
      <c r="D46" s="392" t="s">
        <v>268</v>
      </c>
      <c r="E46" s="392" t="s">
        <v>6</v>
      </c>
      <c r="F46" s="476">
        <f t="shared" ref="F46:J48" si="14">F47</f>
        <v>0</v>
      </c>
      <c r="G46" s="449">
        <f t="shared" si="14"/>
        <v>0</v>
      </c>
      <c r="H46" s="460"/>
      <c r="I46" s="449">
        <f t="shared" si="14"/>
        <v>0</v>
      </c>
      <c r="J46" s="449">
        <f t="shared" si="14"/>
        <v>0</v>
      </c>
      <c r="K46" s="462" t="e">
        <f t="shared" si="1"/>
        <v>#DIV/0!</v>
      </c>
      <c r="L46" s="462">
        <f t="shared" si="2"/>
        <v>0</v>
      </c>
      <c r="M46" s="449">
        <f t="shared" ref="M46:M48" si="15">M47</f>
        <v>0</v>
      </c>
      <c r="N46" s="178">
        <f t="shared" si="0"/>
        <v>0</v>
      </c>
      <c r="O46" s="179">
        <f t="shared" si="3"/>
        <v>0</v>
      </c>
    </row>
    <row r="47" spans="1:15" ht="41.45" hidden="1" customHeight="1" outlineLevel="7" x14ac:dyDescent="0.3">
      <c r="A47" s="189" t="s">
        <v>932</v>
      </c>
      <c r="B47" s="392" t="s">
        <v>455</v>
      </c>
      <c r="C47" s="392" t="s">
        <v>255</v>
      </c>
      <c r="D47" s="392" t="s">
        <v>277</v>
      </c>
      <c r="E47" s="392" t="s">
        <v>6</v>
      </c>
      <c r="F47" s="476">
        <f t="shared" si="14"/>
        <v>0</v>
      </c>
      <c r="G47" s="449">
        <f t="shared" si="14"/>
        <v>0</v>
      </c>
      <c r="H47" s="460"/>
      <c r="I47" s="449">
        <f t="shared" si="14"/>
        <v>0</v>
      </c>
      <c r="J47" s="449">
        <f t="shared" si="14"/>
        <v>0</v>
      </c>
      <c r="K47" s="462" t="e">
        <f t="shared" si="1"/>
        <v>#DIV/0!</v>
      </c>
      <c r="L47" s="462">
        <f t="shared" si="2"/>
        <v>0</v>
      </c>
      <c r="M47" s="449">
        <f t="shared" si="15"/>
        <v>0</v>
      </c>
      <c r="N47" s="178">
        <f t="shared" si="0"/>
        <v>0</v>
      </c>
      <c r="O47" s="179">
        <f t="shared" si="3"/>
        <v>0</v>
      </c>
    </row>
    <row r="48" spans="1:15" ht="34" hidden="1" outlineLevel="7" x14ac:dyDescent="0.3">
      <c r="A48" s="189" t="s">
        <v>15</v>
      </c>
      <c r="B48" s="392" t="s">
        <v>455</v>
      </c>
      <c r="C48" s="392" t="s">
        <v>255</v>
      </c>
      <c r="D48" s="392" t="s">
        <v>277</v>
      </c>
      <c r="E48" s="392" t="s">
        <v>16</v>
      </c>
      <c r="F48" s="476">
        <f t="shared" si="14"/>
        <v>0</v>
      </c>
      <c r="G48" s="449">
        <f t="shared" si="14"/>
        <v>0</v>
      </c>
      <c r="H48" s="460"/>
      <c r="I48" s="449">
        <f t="shared" si="14"/>
        <v>0</v>
      </c>
      <c r="J48" s="449">
        <f t="shared" si="14"/>
        <v>0</v>
      </c>
      <c r="K48" s="462" t="e">
        <f t="shared" si="1"/>
        <v>#DIV/0!</v>
      </c>
      <c r="L48" s="462">
        <f t="shared" si="2"/>
        <v>0</v>
      </c>
      <c r="M48" s="449">
        <f t="shared" si="15"/>
        <v>0</v>
      </c>
      <c r="N48" s="178">
        <f t="shared" si="0"/>
        <v>0</v>
      </c>
      <c r="O48" s="179">
        <f t="shared" si="3"/>
        <v>0</v>
      </c>
    </row>
    <row r="49" spans="1:15" ht="19.55" hidden="1" customHeight="1" outlineLevel="7" x14ac:dyDescent="0.3">
      <c r="A49" s="189" t="s">
        <v>17</v>
      </c>
      <c r="B49" s="392" t="s">
        <v>455</v>
      </c>
      <c r="C49" s="392" t="s">
        <v>255</v>
      </c>
      <c r="D49" s="392" t="s">
        <v>277</v>
      </c>
      <c r="E49" s="392" t="s">
        <v>18</v>
      </c>
      <c r="F49" s="475">
        <f>183414-183414</f>
        <v>0</v>
      </c>
      <c r="G49" s="462">
        <f>4037-4037</f>
        <v>0</v>
      </c>
      <c r="H49" s="460"/>
      <c r="I49" s="462">
        <f>4237-4237</f>
        <v>0</v>
      </c>
      <c r="J49" s="449"/>
      <c r="K49" s="462" t="e">
        <f t="shared" si="1"/>
        <v>#DIV/0!</v>
      </c>
      <c r="L49" s="462">
        <f t="shared" si="2"/>
        <v>0</v>
      </c>
      <c r="M49" s="449"/>
      <c r="N49" s="178">
        <f t="shared" si="0"/>
        <v>0</v>
      </c>
      <c r="O49" s="179">
        <f t="shared" si="3"/>
        <v>0</v>
      </c>
    </row>
    <row r="50" spans="1:15" ht="36.700000000000003" customHeight="1" outlineLevel="2" collapsed="1" x14ac:dyDescent="0.3">
      <c r="A50" s="189" t="s">
        <v>9</v>
      </c>
      <c r="B50" s="392" t="s">
        <v>455</v>
      </c>
      <c r="C50" s="392" t="s">
        <v>10</v>
      </c>
      <c r="D50" s="392" t="s">
        <v>126</v>
      </c>
      <c r="E50" s="392" t="s">
        <v>6</v>
      </c>
      <c r="F50" s="471">
        <f t="shared" ref="F50:J53" si="16">F51</f>
        <v>734304.84</v>
      </c>
      <c r="G50" s="462">
        <f t="shared" si="16"/>
        <v>845370</v>
      </c>
      <c r="H50" s="460">
        <v>491632.01</v>
      </c>
      <c r="I50" s="462">
        <f t="shared" si="16"/>
        <v>866195</v>
      </c>
      <c r="J50" s="462">
        <f t="shared" si="16"/>
        <v>910350</v>
      </c>
      <c r="K50" s="462">
        <f t="shared" si="1"/>
        <v>107.68657510912381</v>
      </c>
      <c r="L50" s="462">
        <f t="shared" si="2"/>
        <v>64980</v>
      </c>
      <c r="M50" s="462">
        <f t="shared" ref="M50:M53" si="17">M51</f>
        <v>910350</v>
      </c>
      <c r="N50" s="178">
        <f t="shared" si="0"/>
        <v>0</v>
      </c>
      <c r="O50" s="179">
        <f t="shared" si="3"/>
        <v>64980</v>
      </c>
    </row>
    <row r="51" spans="1:15" ht="34" outlineLevel="4" x14ac:dyDescent="0.3">
      <c r="A51" s="189" t="s">
        <v>132</v>
      </c>
      <c r="B51" s="392" t="s">
        <v>455</v>
      </c>
      <c r="C51" s="392" t="s">
        <v>10</v>
      </c>
      <c r="D51" s="392" t="s">
        <v>127</v>
      </c>
      <c r="E51" s="392" t="s">
        <v>6</v>
      </c>
      <c r="F51" s="471">
        <f t="shared" si="16"/>
        <v>734304.84</v>
      </c>
      <c r="G51" s="462">
        <f t="shared" si="16"/>
        <v>845370</v>
      </c>
      <c r="H51" s="460">
        <v>491632.01</v>
      </c>
      <c r="I51" s="462">
        <f t="shared" si="16"/>
        <v>866195</v>
      </c>
      <c r="J51" s="462">
        <f t="shared" si="16"/>
        <v>910350</v>
      </c>
      <c r="K51" s="462">
        <f t="shared" si="1"/>
        <v>107.68657510912381</v>
      </c>
      <c r="L51" s="462">
        <f t="shared" si="2"/>
        <v>64980</v>
      </c>
      <c r="M51" s="462">
        <f t="shared" si="17"/>
        <v>910350</v>
      </c>
      <c r="N51" s="178">
        <f t="shared" si="0"/>
        <v>0</v>
      </c>
      <c r="O51" s="179">
        <f t="shared" si="3"/>
        <v>64980</v>
      </c>
    </row>
    <row r="52" spans="1:15" ht="34" outlineLevel="5" x14ac:dyDescent="0.3">
      <c r="A52" s="189" t="s">
        <v>453</v>
      </c>
      <c r="B52" s="392" t="s">
        <v>455</v>
      </c>
      <c r="C52" s="392" t="s">
        <v>10</v>
      </c>
      <c r="D52" s="392" t="s">
        <v>491</v>
      </c>
      <c r="E52" s="392" t="s">
        <v>6</v>
      </c>
      <c r="F52" s="471">
        <f t="shared" si="16"/>
        <v>734304.84</v>
      </c>
      <c r="G52" s="462">
        <f t="shared" si="16"/>
        <v>845370</v>
      </c>
      <c r="H52" s="460">
        <v>491632.01</v>
      </c>
      <c r="I52" s="462">
        <f t="shared" si="16"/>
        <v>866195</v>
      </c>
      <c r="J52" s="462">
        <f t="shared" si="16"/>
        <v>910350</v>
      </c>
      <c r="K52" s="462">
        <f t="shared" si="1"/>
        <v>107.68657510912381</v>
      </c>
      <c r="L52" s="462">
        <f t="shared" si="2"/>
        <v>64980</v>
      </c>
      <c r="M52" s="462">
        <f t="shared" si="17"/>
        <v>910350</v>
      </c>
      <c r="N52" s="178">
        <f t="shared" si="0"/>
        <v>0</v>
      </c>
      <c r="O52" s="179">
        <f t="shared" si="3"/>
        <v>64980</v>
      </c>
    </row>
    <row r="53" spans="1:15" ht="101.9" outlineLevel="6" x14ac:dyDescent="0.3">
      <c r="A53" s="189" t="s">
        <v>11</v>
      </c>
      <c r="B53" s="392" t="s">
        <v>455</v>
      </c>
      <c r="C53" s="392" t="s">
        <v>10</v>
      </c>
      <c r="D53" s="392" t="s">
        <v>491</v>
      </c>
      <c r="E53" s="392" t="s">
        <v>12</v>
      </c>
      <c r="F53" s="471">
        <f t="shared" si="16"/>
        <v>734304.84</v>
      </c>
      <c r="G53" s="462">
        <f t="shared" si="16"/>
        <v>845370</v>
      </c>
      <c r="H53" s="460">
        <v>491632.01</v>
      </c>
      <c r="I53" s="462">
        <f t="shared" si="16"/>
        <v>866195</v>
      </c>
      <c r="J53" s="462">
        <f t="shared" si="16"/>
        <v>910350</v>
      </c>
      <c r="K53" s="462">
        <f t="shared" si="1"/>
        <v>107.68657510912381</v>
      </c>
      <c r="L53" s="462">
        <f t="shared" si="2"/>
        <v>64980</v>
      </c>
      <c r="M53" s="462">
        <f t="shared" si="17"/>
        <v>910350</v>
      </c>
      <c r="N53" s="178">
        <f t="shared" si="0"/>
        <v>0</v>
      </c>
      <c r="O53" s="179">
        <f t="shared" si="3"/>
        <v>64980</v>
      </c>
    </row>
    <row r="54" spans="1:15" ht="34" outlineLevel="7" x14ac:dyDescent="0.3">
      <c r="A54" s="189" t="s">
        <v>13</v>
      </c>
      <c r="B54" s="392" t="s">
        <v>455</v>
      </c>
      <c r="C54" s="392" t="s">
        <v>10</v>
      </c>
      <c r="D54" s="392" t="s">
        <v>491</v>
      </c>
      <c r="E54" s="392" t="s">
        <v>14</v>
      </c>
      <c r="F54" s="475">
        <v>734304.84</v>
      </c>
      <c r="G54" s="462">
        <f>'потребность 2023 (5)'!K53</f>
        <v>845370</v>
      </c>
      <c r="H54" s="460">
        <v>491632.01</v>
      </c>
      <c r="I54" s="462">
        <v>866195</v>
      </c>
      <c r="J54" s="449">
        <v>910350</v>
      </c>
      <c r="K54" s="462">
        <f t="shared" si="1"/>
        <v>107.68657510912381</v>
      </c>
      <c r="L54" s="462">
        <f t="shared" si="2"/>
        <v>64980</v>
      </c>
      <c r="M54" s="449">
        <v>910350</v>
      </c>
      <c r="N54" s="178">
        <f t="shared" si="0"/>
        <v>0</v>
      </c>
      <c r="O54" s="179">
        <f t="shared" si="3"/>
        <v>64980</v>
      </c>
    </row>
    <row r="55" spans="1:15" outlineLevel="7" x14ac:dyDescent="0.3">
      <c r="A55" s="189" t="s">
        <v>630</v>
      </c>
      <c r="B55" s="392" t="s">
        <v>455</v>
      </c>
      <c r="C55" s="392" t="s">
        <v>627</v>
      </c>
      <c r="D55" s="392" t="s">
        <v>126</v>
      </c>
      <c r="E55" s="392" t="s">
        <v>6</v>
      </c>
      <c r="F55" s="471">
        <f t="shared" ref="F55:J58" si="18">F56</f>
        <v>0</v>
      </c>
      <c r="G55" s="462">
        <f t="shared" si="18"/>
        <v>1203178</v>
      </c>
      <c r="H55" s="460">
        <v>0</v>
      </c>
      <c r="I55" s="462">
        <f t="shared" si="18"/>
        <v>0</v>
      </c>
      <c r="J55" s="462">
        <f t="shared" si="18"/>
        <v>0</v>
      </c>
      <c r="K55" s="462">
        <f t="shared" si="1"/>
        <v>0</v>
      </c>
      <c r="L55" s="462">
        <f t="shared" si="2"/>
        <v>-1203178</v>
      </c>
      <c r="M55" s="462">
        <f t="shared" ref="M55:M58" si="19">M56</f>
        <v>22030303.030000001</v>
      </c>
      <c r="N55" s="178">
        <f t="shared" si="0"/>
        <v>22030303.030000001</v>
      </c>
      <c r="O55" s="179">
        <f t="shared" si="3"/>
        <v>20827125.030000001</v>
      </c>
    </row>
    <row r="56" spans="1:15" ht="34" outlineLevel="7" x14ac:dyDescent="0.3">
      <c r="A56" s="189" t="s">
        <v>132</v>
      </c>
      <c r="B56" s="392" t="s">
        <v>455</v>
      </c>
      <c r="C56" s="392" t="s">
        <v>627</v>
      </c>
      <c r="D56" s="392" t="s">
        <v>127</v>
      </c>
      <c r="E56" s="392" t="s">
        <v>6</v>
      </c>
      <c r="F56" s="471">
        <f t="shared" si="18"/>
        <v>0</v>
      </c>
      <c r="G56" s="462">
        <f t="shared" si="18"/>
        <v>1203178</v>
      </c>
      <c r="H56" s="460">
        <v>0</v>
      </c>
      <c r="I56" s="462">
        <f t="shared" si="18"/>
        <v>0</v>
      </c>
      <c r="J56" s="462">
        <f t="shared" si="18"/>
        <v>0</v>
      </c>
      <c r="K56" s="462">
        <f t="shared" si="1"/>
        <v>0</v>
      </c>
      <c r="L56" s="462">
        <f t="shared" si="2"/>
        <v>-1203178</v>
      </c>
      <c r="M56" s="462">
        <f t="shared" si="19"/>
        <v>22030303.030000001</v>
      </c>
      <c r="N56" s="178">
        <f t="shared" si="0"/>
        <v>22030303.030000001</v>
      </c>
      <c r="O56" s="179">
        <f t="shared" si="3"/>
        <v>20827125.030000001</v>
      </c>
    </row>
    <row r="57" spans="1:15" ht="34" outlineLevel="7" x14ac:dyDescent="0.3">
      <c r="A57" s="189" t="s">
        <v>480</v>
      </c>
      <c r="B57" s="392" t="s">
        <v>455</v>
      </c>
      <c r="C57" s="392" t="s">
        <v>627</v>
      </c>
      <c r="D57" s="392" t="s">
        <v>493</v>
      </c>
      <c r="E57" s="392" t="s">
        <v>6</v>
      </c>
      <c r="F57" s="471">
        <f t="shared" si="18"/>
        <v>0</v>
      </c>
      <c r="G57" s="462">
        <f t="shared" si="18"/>
        <v>1203178</v>
      </c>
      <c r="H57" s="460">
        <v>0</v>
      </c>
      <c r="I57" s="462">
        <f t="shared" si="18"/>
        <v>0</v>
      </c>
      <c r="J57" s="462">
        <f t="shared" si="18"/>
        <v>0</v>
      </c>
      <c r="K57" s="462">
        <f t="shared" si="1"/>
        <v>0</v>
      </c>
      <c r="L57" s="462">
        <f t="shared" si="2"/>
        <v>-1203178</v>
      </c>
      <c r="M57" s="462">
        <f t="shared" si="19"/>
        <v>22030303.030000001</v>
      </c>
      <c r="N57" s="178">
        <f t="shared" si="0"/>
        <v>22030303.030000001</v>
      </c>
      <c r="O57" s="179">
        <f t="shared" si="3"/>
        <v>20827125.030000001</v>
      </c>
    </row>
    <row r="58" spans="1:15" outlineLevel="7" x14ac:dyDescent="0.3">
      <c r="A58" s="189" t="s">
        <v>19</v>
      </c>
      <c r="B58" s="392" t="s">
        <v>455</v>
      </c>
      <c r="C58" s="392" t="s">
        <v>627</v>
      </c>
      <c r="D58" s="392" t="s">
        <v>493</v>
      </c>
      <c r="E58" s="392" t="s">
        <v>20</v>
      </c>
      <c r="F58" s="471">
        <f t="shared" si="18"/>
        <v>0</v>
      </c>
      <c r="G58" s="462">
        <f t="shared" si="18"/>
        <v>1203178</v>
      </c>
      <c r="H58" s="460">
        <v>0</v>
      </c>
      <c r="I58" s="462">
        <f t="shared" si="18"/>
        <v>0</v>
      </c>
      <c r="J58" s="462">
        <f t="shared" si="18"/>
        <v>0</v>
      </c>
      <c r="K58" s="462">
        <f t="shared" si="1"/>
        <v>0</v>
      </c>
      <c r="L58" s="462">
        <f t="shared" si="2"/>
        <v>-1203178</v>
      </c>
      <c r="M58" s="462">
        <f t="shared" si="19"/>
        <v>22030303.030000001</v>
      </c>
      <c r="N58" s="178">
        <f t="shared" si="0"/>
        <v>22030303.030000001</v>
      </c>
      <c r="O58" s="179">
        <f t="shared" si="3"/>
        <v>20827125.030000001</v>
      </c>
    </row>
    <row r="59" spans="1:15" outlineLevel="7" x14ac:dyDescent="0.3">
      <c r="A59" s="189" t="s">
        <v>628</v>
      </c>
      <c r="B59" s="392" t="s">
        <v>455</v>
      </c>
      <c r="C59" s="392" t="s">
        <v>627</v>
      </c>
      <c r="D59" s="392" t="s">
        <v>493</v>
      </c>
      <c r="E59" s="392" t="s">
        <v>626</v>
      </c>
      <c r="F59" s="486">
        <v>0</v>
      </c>
      <c r="G59" s="462">
        <f>'потребность 2023 (5)'!K58-11954830+1686281.63-150000-1500000+38518.75+3954429.37-204428.22-1400000-2350001.15-100000+1140000+43207.62</f>
        <v>1203178</v>
      </c>
      <c r="H59" s="460">
        <v>0</v>
      </c>
      <c r="I59" s="462">
        <v>0</v>
      </c>
      <c r="J59" s="449">
        <v>0</v>
      </c>
      <c r="K59" s="462">
        <f t="shared" si="1"/>
        <v>0</v>
      </c>
      <c r="L59" s="462">
        <f t="shared" si="2"/>
        <v>-1203178</v>
      </c>
      <c r="M59" s="449">
        <v>22030303.030000001</v>
      </c>
      <c r="N59" s="178">
        <f t="shared" si="0"/>
        <v>22030303.030000001</v>
      </c>
      <c r="O59" s="179">
        <f t="shared" si="3"/>
        <v>20827125.030000001</v>
      </c>
    </row>
    <row r="60" spans="1:15" outlineLevel="2" x14ac:dyDescent="0.3">
      <c r="A60" s="189" t="s">
        <v>23</v>
      </c>
      <c r="B60" s="392" t="s">
        <v>455</v>
      </c>
      <c r="C60" s="392" t="s">
        <v>24</v>
      </c>
      <c r="D60" s="392" t="s">
        <v>126</v>
      </c>
      <c r="E60" s="392" t="s">
        <v>6</v>
      </c>
      <c r="F60" s="462">
        <f>F61+F86+F99+F91+F113+F108</f>
        <v>74491472.900000006</v>
      </c>
      <c r="G60" s="462">
        <f>G61+G86+G99+G91+G113+G108</f>
        <v>67585100.609999999</v>
      </c>
      <c r="H60" s="460">
        <v>52503189.159999996</v>
      </c>
      <c r="I60" s="462">
        <f>I61+I86+I99+I91+I113+I108</f>
        <v>66151800</v>
      </c>
      <c r="J60" s="462">
        <f>J61+J86+J99+J91+J113+J108</f>
        <v>85944532.579999998</v>
      </c>
      <c r="K60" s="462">
        <f t="shared" si="1"/>
        <v>127.1649103194255</v>
      </c>
      <c r="L60" s="462">
        <f t="shared" si="2"/>
        <v>18359431.969999999</v>
      </c>
      <c r="M60" s="462">
        <f>M61+M86+M99+M91+M113+M108</f>
        <v>77323532.579999998</v>
      </c>
      <c r="N60" s="178">
        <f t="shared" si="0"/>
        <v>-8621000</v>
      </c>
      <c r="O60" s="179">
        <f t="shared" si="3"/>
        <v>9738431.9699999988</v>
      </c>
    </row>
    <row r="61" spans="1:15" s="224" customFormat="1" ht="31.95" customHeight="1" outlineLevel="3" x14ac:dyDescent="0.3">
      <c r="A61" s="233" t="s">
        <v>1029</v>
      </c>
      <c r="B61" s="397" t="s">
        <v>455</v>
      </c>
      <c r="C61" s="397" t="s">
        <v>24</v>
      </c>
      <c r="D61" s="397" t="s">
        <v>128</v>
      </c>
      <c r="E61" s="397" t="s">
        <v>6</v>
      </c>
      <c r="F61" s="465">
        <f>F62+F72+F80</f>
        <v>21657159.349999998</v>
      </c>
      <c r="G61" s="465">
        <f>G62+G72+G80</f>
        <v>24836153</v>
      </c>
      <c r="H61" s="460">
        <v>16056571.76</v>
      </c>
      <c r="I61" s="465">
        <f>I62+I72+I80</f>
        <v>25008695</v>
      </c>
      <c r="J61" s="465">
        <f>J62+J72+J80</f>
        <v>29555680</v>
      </c>
      <c r="K61" s="462">
        <f t="shared" si="1"/>
        <v>119.00264908176399</v>
      </c>
      <c r="L61" s="462">
        <f t="shared" si="2"/>
        <v>4719527</v>
      </c>
      <c r="M61" s="465">
        <f>M62+M72+M80</f>
        <v>29395680</v>
      </c>
      <c r="N61" s="178">
        <f t="shared" si="0"/>
        <v>-160000</v>
      </c>
      <c r="O61" s="179">
        <f t="shared" si="3"/>
        <v>4559527</v>
      </c>
    </row>
    <row r="62" spans="1:15" ht="39.25" customHeight="1" outlineLevel="7" x14ac:dyDescent="0.3">
      <c r="A62" s="189" t="s">
        <v>729</v>
      </c>
      <c r="B62" s="392" t="s">
        <v>455</v>
      </c>
      <c r="C62" s="392" t="s">
        <v>24</v>
      </c>
      <c r="D62" s="392" t="s">
        <v>303</v>
      </c>
      <c r="E62" s="392" t="s">
        <v>6</v>
      </c>
      <c r="F62" s="476">
        <f>F63+F66</f>
        <v>669907.97</v>
      </c>
      <c r="G62" s="449">
        <f>G63+G66+G69</f>
        <v>974385</v>
      </c>
      <c r="H62" s="460">
        <v>189125</v>
      </c>
      <c r="I62" s="449">
        <f>I63+I66+I69</f>
        <v>845385</v>
      </c>
      <c r="J62" s="449">
        <f>J63+J66+J69</f>
        <v>920385</v>
      </c>
      <c r="K62" s="462">
        <f t="shared" si="1"/>
        <v>94.458042765436659</v>
      </c>
      <c r="L62" s="462">
        <f t="shared" si="2"/>
        <v>-54000</v>
      </c>
      <c r="M62" s="449">
        <f>M63+M66+M69</f>
        <v>920385</v>
      </c>
      <c r="N62" s="178">
        <f t="shared" si="0"/>
        <v>0</v>
      </c>
      <c r="O62" s="179">
        <f t="shared" si="3"/>
        <v>-54000</v>
      </c>
    </row>
    <row r="63" spans="1:15" outlineLevel="7" x14ac:dyDescent="0.3">
      <c r="A63" s="189" t="s">
        <v>309</v>
      </c>
      <c r="B63" s="392" t="s">
        <v>455</v>
      </c>
      <c r="C63" s="392" t="s">
        <v>24</v>
      </c>
      <c r="D63" s="392" t="s">
        <v>304</v>
      </c>
      <c r="E63" s="392" t="s">
        <v>6</v>
      </c>
      <c r="F63" s="476">
        <f>F64</f>
        <v>571182.97</v>
      </c>
      <c r="G63" s="449">
        <f t="shared" ref="G63:J64" si="20">G64</f>
        <v>745385</v>
      </c>
      <c r="H63" s="460">
        <v>9100</v>
      </c>
      <c r="I63" s="449">
        <f t="shared" si="20"/>
        <v>745385</v>
      </c>
      <c r="J63" s="449">
        <f t="shared" si="20"/>
        <v>745385</v>
      </c>
      <c r="K63" s="462">
        <f t="shared" si="1"/>
        <v>100</v>
      </c>
      <c r="L63" s="462">
        <f t="shared" si="2"/>
        <v>0</v>
      </c>
      <c r="M63" s="449">
        <f t="shared" ref="M63:M64" si="21">M64</f>
        <v>745385</v>
      </c>
      <c r="N63" s="178">
        <f t="shared" si="0"/>
        <v>0</v>
      </c>
      <c r="O63" s="179">
        <f t="shared" si="3"/>
        <v>0</v>
      </c>
    </row>
    <row r="64" spans="1:15" ht="34" outlineLevel="7" x14ac:dyDescent="0.3">
      <c r="A64" s="189" t="s">
        <v>15</v>
      </c>
      <c r="B64" s="392" t="s">
        <v>455</v>
      </c>
      <c r="C64" s="392" t="s">
        <v>24</v>
      </c>
      <c r="D64" s="392" t="s">
        <v>304</v>
      </c>
      <c r="E64" s="392" t="s">
        <v>16</v>
      </c>
      <c r="F64" s="471">
        <f>F65</f>
        <v>571182.97</v>
      </c>
      <c r="G64" s="462">
        <f t="shared" si="20"/>
        <v>745385</v>
      </c>
      <c r="H64" s="460">
        <v>9100</v>
      </c>
      <c r="I64" s="462">
        <f t="shared" si="20"/>
        <v>745385</v>
      </c>
      <c r="J64" s="462">
        <f t="shared" si="20"/>
        <v>745385</v>
      </c>
      <c r="K64" s="462">
        <f t="shared" si="1"/>
        <v>100</v>
      </c>
      <c r="L64" s="462">
        <f t="shared" si="2"/>
        <v>0</v>
      </c>
      <c r="M64" s="462">
        <f t="shared" si="21"/>
        <v>745385</v>
      </c>
      <c r="N64" s="178">
        <f t="shared" si="0"/>
        <v>0</v>
      </c>
      <c r="O64" s="179">
        <f t="shared" si="3"/>
        <v>0</v>
      </c>
    </row>
    <row r="65" spans="1:15" ht="21.25" customHeight="1" outlineLevel="7" x14ac:dyDescent="0.3">
      <c r="A65" s="189" t="s">
        <v>17</v>
      </c>
      <c r="B65" s="392" t="s">
        <v>455</v>
      </c>
      <c r="C65" s="392" t="s">
        <v>24</v>
      </c>
      <c r="D65" s="392" t="s">
        <v>304</v>
      </c>
      <c r="E65" s="392" t="s">
        <v>18</v>
      </c>
      <c r="F65" s="475">
        <v>571182.97</v>
      </c>
      <c r="G65" s="449">
        <f>'потребность 2023 (5)'!K64</f>
        <v>745385</v>
      </c>
      <c r="H65" s="460">
        <v>9100</v>
      </c>
      <c r="I65" s="449">
        <v>745385</v>
      </c>
      <c r="J65" s="449">
        <v>745385</v>
      </c>
      <c r="K65" s="462">
        <f t="shared" si="1"/>
        <v>100</v>
      </c>
      <c r="L65" s="462">
        <f t="shared" si="2"/>
        <v>0</v>
      </c>
      <c r="M65" s="449">
        <v>745385</v>
      </c>
      <c r="N65" s="178">
        <f t="shared" si="0"/>
        <v>0</v>
      </c>
      <c r="O65" s="179">
        <f t="shared" si="3"/>
        <v>0</v>
      </c>
    </row>
    <row r="66" spans="1:15" ht="34" outlineLevel="7" x14ac:dyDescent="0.3">
      <c r="A66" s="189" t="s">
        <v>310</v>
      </c>
      <c r="B66" s="392" t="s">
        <v>455</v>
      </c>
      <c r="C66" s="392" t="s">
        <v>24</v>
      </c>
      <c r="D66" s="392" t="s">
        <v>311</v>
      </c>
      <c r="E66" s="392" t="s">
        <v>6</v>
      </c>
      <c r="F66" s="476">
        <f>F67</f>
        <v>98725</v>
      </c>
      <c r="G66" s="449">
        <f t="shared" ref="G66:J67" si="22">G67</f>
        <v>165000</v>
      </c>
      <c r="H66" s="460">
        <v>117700</v>
      </c>
      <c r="I66" s="449">
        <f t="shared" si="22"/>
        <v>100000</v>
      </c>
      <c r="J66" s="449">
        <f t="shared" si="22"/>
        <v>165000</v>
      </c>
      <c r="K66" s="462">
        <f t="shared" si="1"/>
        <v>100</v>
      </c>
      <c r="L66" s="462">
        <f t="shared" si="2"/>
        <v>0</v>
      </c>
      <c r="M66" s="449">
        <f t="shared" ref="M66:M67" si="23">M67</f>
        <v>165000</v>
      </c>
      <c r="N66" s="178">
        <f t="shared" si="0"/>
        <v>0</v>
      </c>
      <c r="O66" s="179">
        <f t="shared" si="3"/>
        <v>0</v>
      </c>
    </row>
    <row r="67" spans="1:15" ht="34" outlineLevel="7" x14ac:dyDescent="0.3">
      <c r="A67" s="189" t="s">
        <v>15</v>
      </c>
      <c r="B67" s="392" t="s">
        <v>455</v>
      </c>
      <c r="C67" s="392" t="s">
        <v>24</v>
      </c>
      <c r="D67" s="392" t="s">
        <v>311</v>
      </c>
      <c r="E67" s="392" t="s">
        <v>16</v>
      </c>
      <c r="F67" s="471">
        <f>F68</f>
        <v>98725</v>
      </c>
      <c r="G67" s="462">
        <f t="shared" si="22"/>
        <v>165000</v>
      </c>
      <c r="H67" s="460">
        <v>117700</v>
      </c>
      <c r="I67" s="462">
        <f t="shared" si="22"/>
        <v>100000</v>
      </c>
      <c r="J67" s="462">
        <f t="shared" si="22"/>
        <v>165000</v>
      </c>
      <c r="K67" s="462">
        <f t="shared" si="1"/>
        <v>100</v>
      </c>
      <c r="L67" s="462">
        <f t="shared" si="2"/>
        <v>0</v>
      </c>
      <c r="M67" s="462">
        <f t="shared" si="23"/>
        <v>165000</v>
      </c>
      <c r="N67" s="178">
        <f t="shared" si="0"/>
        <v>0</v>
      </c>
      <c r="O67" s="179">
        <f t="shared" si="3"/>
        <v>0</v>
      </c>
    </row>
    <row r="68" spans="1:15" ht="19.55" customHeight="1" outlineLevel="7" x14ac:dyDescent="0.3">
      <c r="A68" s="189" t="s">
        <v>17</v>
      </c>
      <c r="B68" s="392" t="s">
        <v>455</v>
      </c>
      <c r="C68" s="392" t="s">
        <v>24</v>
      </c>
      <c r="D68" s="392" t="s">
        <v>311</v>
      </c>
      <c r="E68" s="392" t="s">
        <v>18</v>
      </c>
      <c r="F68" s="475">
        <v>98725</v>
      </c>
      <c r="G68" s="462">
        <f>'потребность 2023 (5)'!K67+65000</f>
        <v>165000</v>
      </c>
      <c r="H68" s="460">
        <v>117700</v>
      </c>
      <c r="I68" s="462">
        <v>100000</v>
      </c>
      <c r="J68" s="449">
        <v>165000</v>
      </c>
      <c r="K68" s="462">
        <f t="shared" si="1"/>
        <v>100</v>
      </c>
      <c r="L68" s="462">
        <f t="shared" si="2"/>
        <v>0</v>
      </c>
      <c r="M68" s="449">
        <v>165000</v>
      </c>
      <c r="N68" s="178">
        <f t="shared" si="0"/>
        <v>0</v>
      </c>
      <c r="O68" s="179">
        <f t="shared" si="3"/>
        <v>0</v>
      </c>
    </row>
    <row r="69" spans="1:15" ht="19.55" customHeight="1" outlineLevel="7" x14ac:dyDescent="0.3">
      <c r="A69" s="189" t="s">
        <v>1045</v>
      </c>
      <c r="B69" s="392" t="s">
        <v>455</v>
      </c>
      <c r="C69" s="392" t="s">
        <v>24</v>
      </c>
      <c r="D69" s="392" t="s">
        <v>1046</v>
      </c>
      <c r="E69" s="392" t="s">
        <v>6</v>
      </c>
      <c r="F69" s="462">
        <v>0</v>
      </c>
      <c r="G69" s="462">
        <f t="shared" ref="G69:J70" si="24">G70</f>
        <v>64000</v>
      </c>
      <c r="H69" s="460">
        <v>62325</v>
      </c>
      <c r="I69" s="462">
        <f t="shared" si="24"/>
        <v>0</v>
      </c>
      <c r="J69" s="462">
        <f t="shared" si="24"/>
        <v>10000</v>
      </c>
      <c r="K69" s="462">
        <f t="shared" si="1"/>
        <v>15.625</v>
      </c>
      <c r="L69" s="462">
        <f t="shared" si="2"/>
        <v>-54000</v>
      </c>
      <c r="M69" s="462">
        <f t="shared" ref="M69:M70" si="25">M70</f>
        <v>10000</v>
      </c>
      <c r="N69" s="178">
        <f t="shared" si="0"/>
        <v>0</v>
      </c>
      <c r="O69" s="179">
        <f t="shared" si="3"/>
        <v>-54000</v>
      </c>
    </row>
    <row r="70" spans="1:15" ht="19.55" customHeight="1" outlineLevel="7" x14ac:dyDescent="0.3">
      <c r="A70" s="189" t="s">
        <v>15</v>
      </c>
      <c r="B70" s="392" t="s">
        <v>455</v>
      </c>
      <c r="C70" s="392" t="s">
        <v>24</v>
      </c>
      <c r="D70" s="392" t="s">
        <v>1046</v>
      </c>
      <c r="E70" s="392" t="s">
        <v>16</v>
      </c>
      <c r="F70" s="462">
        <v>0</v>
      </c>
      <c r="G70" s="462">
        <f t="shared" si="24"/>
        <v>64000</v>
      </c>
      <c r="H70" s="460">
        <v>62325</v>
      </c>
      <c r="I70" s="462">
        <f t="shared" si="24"/>
        <v>0</v>
      </c>
      <c r="J70" s="462">
        <f t="shared" si="24"/>
        <v>10000</v>
      </c>
      <c r="K70" s="462">
        <f t="shared" si="1"/>
        <v>15.625</v>
      </c>
      <c r="L70" s="462">
        <f t="shared" si="2"/>
        <v>-54000</v>
      </c>
      <c r="M70" s="462">
        <f t="shared" si="25"/>
        <v>10000</v>
      </c>
      <c r="N70" s="178">
        <f t="shared" si="0"/>
        <v>0</v>
      </c>
      <c r="O70" s="179">
        <f t="shared" si="3"/>
        <v>-54000</v>
      </c>
    </row>
    <row r="71" spans="1:15" ht="19.55" customHeight="1" outlineLevel="7" x14ac:dyDescent="0.3">
      <c r="A71" s="189" t="s">
        <v>17</v>
      </c>
      <c r="B71" s="392" t="s">
        <v>455</v>
      </c>
      <c r="C71" s="392" t="s">
        <v>24</v>
      </c>
      <c r="D71" s="392" t="s">
        <v>1046</v>
      </c>
      <c r="E71" s="392" t="s">
        <v>18</v>
      </c>
      <c r="F71" s="462">
        <v>0</v>
      </c>
      <c r="G71" s="462">
        <v>64000</v>
      </c>
      <c r="H71" s="460">
        <v>62325</v>
      </c>
      <c r="I71" s="462">
        <v>0</v>
      </c>
      <c r="J71" s="449">
        <v>10000</v>
      </c>
      <c r="K71" s="462">
        <f t="shared" si="1"/>
        <v>15.625</v>
      </c>
      <c r="L71" s="462">
        <f t="shared" si="2"/>
        <v>-54000</v>
      </c>
      <c r="M71" s="449">
        <v>10000</v>
      </c>
      <c r="N71" s="178">
        <f t="shared" si="0"/>
        <v>0</v>
      </c>
      <c r="O71" s="179">
        <f t="shared" si="3"/>
        <v>-54000</v>
      </c>
    </row>
    <row r="72" spans="1:15" ht="36.700000000000003" customHeight="1" outlineLevel="7" x14ac:dyDescent="0.3">
      <c r="A72" s="189" t="s">
        <v>213</v>
      </c>
      <c r="B72" s="392" t="s">
        <v>455</v>
      </c>
      <c r="C72" s="392" t="s">
        <v>24</v>
      </c>
      <c r="D72" s="392" t="s">
        <v>228</v>
      </c>
      <c r="E72" s="392" t="s">
        <v>6</v>
      </c>
      <c r="F72" s="476">
        <f>F73</f>
        <v>19725044.52</v>
      </c>
      <c r="G72" s="449">
        <f>G73</f>
        <v>22504328</v>
      </c>
      <c r="H72" s="460">
        <v>15104391.08</v>
      </c>
      <c r="I72" s="449">
        <f>I73</f>
        <v>22712210</v>
      </c>
      <c r="J72" s="449">
        <f>J73</f>
        <v>27171451</v>
      </c>
      <c r="K72" s="462">
        <f t="shared" si="1"/>
        <v>120.73877966940402</v>
      </c>
      <c r="L72" s="462">
        <f t="shared" si="2"/>
        <v>4667123</v>
      </c>
      <c r="M72" s="449">
        <f>M73</f>
        <v>27011451</v>
      </c>
      <c r="N72" s="178">
        <f t="shared" ref="N72:N135" si="26">M72-J72</f>
        <v>-160000</v>
      </c>
      <c r="O72" s="179">
        <f t="shared" si="3"/>
        <v>4507123</v>
      </c>
    </row>
    <row r="73" spans="1:15" ht="50.95" outlineLevel="5" x14ac:dyDescent="0.3">
      <c r="A73" s="189" t="s">
        <v>33</v>
      </c>
      <c r="B73" s="392" t="s">
        <v>455</v>
      </c>
      <c r="C73" s="392" t="s">
        <v>24</v>
      </c>
      <c r="D73" s="392" t="s">
        <v>130</v>
      </c>
      <c r="E73" s="392" t="s">
        <v>6</v>
      </c>
      <c r="F73" s="471">
        <f>F74+F76+F78</f>
        <v>19725044.52</v>
      </c>
      <c r="G73" s="462">
        <f>G74+G76+G78</f>
        <v>22504328</v>
      </c>
      <c r="H73" s="460">
        <v>15104391.08</v>
      </c>
      <c r="I73" s="462">
        <f>I74+I76+I78</f>
        <v>22712210</v>
      </c>
      <c r="J73" s="462">
        <f>J74+J76+J78</f>
        <v>27171451</v>
      </c>
      <c r="K73" s="462">
        <f t="shared" ref="K73:K136" si="27">J73/G73*100</f>
        <v>120.73877966940402</v>
      </c>
      <c r="L73" s="462">
        <f t="shared" ref="L73:L136" si="28">J73-G73</f>
        <v>4667123</v>
      </c>
      <c r="M73" s="462">
        <f>M74+M76+M78</f>
        <v>27011451</v>
      </c>
      <c r="N73" s="178">
        <f t="shared" si="26"/>
        <v>-160000</v>
      </c>
      <c r="O73" s="179">
        <f t="shared" ref="O73:O136" si="29">M73-G73</f>
        <v>4507123</v>
      </c>
    </row>
    <row r="74" spans="1:15" ht="59.1" customHeight="1" outlineLevel="6" x14ac:dyDescent="0.3">
      <c r="A74" s="189" t="s">
        <v>11</v>
      </c>
      <c r="B74" s="392" t="s">
        <v>455</v>
      </c>
      <c r="C74" s="392" t="s">
        <v>24</v>
      </c>
      <c r="D74" s="392" t="s">
        <v>130</v>
      </c>
      <c r="E74" s="392" t="s">
        <v>12</v>
      </c>
      <c r="F74" s="471">
        <f>F75</f>
        <v>11022220.449999999</v>
      </c>
      <c r="G74" s="462">
        <f>G75</f>
        <v>11899000</v>
      </c>
      <c r="H74" s="460">
        <v>8830623.4600000009</v>
      </c>
      <c r="I74" s="462">
        <f>I75</f>
        <v>11824960</v>
      </c>
      <c r="J74" s="462">
        <f>J75</f>
        <v>14815450</v>
      </c>
      <c r="K74" s="462">
        <f t="shared" si="27"/>
        <v>124.5100428607446</v>
      </c>
      <c r="L74" s="462">
        <f t="shared" si="28"/>
        <v>2916450</v>
      </c>
      <c r="M74" s="462">
        <f>M75</f>
        <v>14815450</v>
      </c>
      <c r="N74" s="178">
        <f t="shared" si="26"/>
        <v>0</v>
      </c>
      <c r="O74" s="179">
        <f t="shared" si="29"/>
        <v>2916450</v>
      </c>
    </row>
    <row r="75" spans="1:15" ht="34" outlineLevel="7" x14ac:dyDescent="0.3">
      <c r="A75" s="189" t="s">
        <v>34</v>
      </c>
      <c r="B75" s="392" t="s">
        <v>455</v>
      </c>
      <c r="C75" s="392" t="s">
        <v>24</v>
      </c>
      <c r="D75" s="392" t="s">
        <v>130</v>
      </c>
      <c r="E75" s="392" t="s">
        <v>35</v>
      </c>
      <c r="F75" s="475">
        <v>11022220.449999999</v>
      </c>
      <c r="G75" s="449">
        <f>'потребность 2023 (5)'!K71</f>
        <v>11899000</v>
      </c>
      <c r="H75" s="460">
        <v>8830623.4600000009</v>
      </c>
      <c r="I75" s="449">
        <v>11824960</v>
      </c>
      <c r="J75" s="449">
        <v>14815450</v>
      </c>
      <c r="K75" s="462">
        <f t="shared" si="27"/>
        <v>124.5100428607446</v>
      </c>
      <c r="L75" s="462">
        <f t="shared" si="28"/>
        <v>2916450</v>
      </c>
      <c r="M75" s="449">
        <v>14815450</v>
      </c>
      <c r="N75" s="178">
        <f t="shared" si="26"/>
        <v>0</v>
      </c>
      <c r="O75" s="179">
        <f t="shared" si="29"/>
        <v>2916450</v>
      </c>
    </row>
    <row r="76" spans="1:15" ht="34" outlineLevel="6" x14ac:dyDescent="0.3">
      <c r="A76" s="189" t="s">
        <v>15</v>
      </c>
      <c r="B76" s="392" t="s">
        <v>455</v>
      </c>
      <c r="C76" s="392" t="s">
        <v>24</v>
      </c>
      <c r="D76" s="392" t="s">
        <v>130</v>
      </c>
      <c r="E76" s="392" t="s">
        <v>16</v>
      </c>
      <c r="F76" s="471">
        <f>F77</f>
        <v>8365496.1900000004</v>
      </c>
      <c r="G76" s="462">
        <f>G77</f>
        <v>9836820</v>
      </c>
      <c r="H76" s="460">
        <v>5718839.3399999999</v>
      </c>
      <c r="I76" s="462">
        <f>I77</f>
        <v>10088000</v>
      </c>
      <c r="J76" s="462">
        <f>J77</f>
        <v>11556753</v>
      </c>
      <c r="K76" s="462">
        <f t="shared" si="27"/>
        <v>117.48464442777239</v>
      </c>
      <c r="L76" s="462">
        <f t="shared" si="28"/>
        <v>1719933</v>
      </c>
      <c r="M76" s="462">
        <f>M77</f>
        <v>11396753</v>
      </c>
      <c r="N76" s="178">
        <f t="shared" si="26"/>
        <v>-160000</v>
      </c>
      <c r="O76" s="179">
        <f t="shared" si="29"/>
        <v>1559933</v>
      </c>
    </row>
    <row r="77" spans="1:15" ht="21.25" customHeight="1" outlineLevel="7" x14ac:dyDescent="0.3">
      <c r="A77" s="189" t="s">
        <v>17</v>
      </c>
      <c r="B77" s="392" t="s">
        <v>455</v>
      </c>
      <c r="C77" s="392" t="s">
        <v>24</v>
      </c>
      <c r="D77" s="392" t="s">
        <v>130</v>
      </c>
      <c r="E77" s="392" t="s">
        <v>18</v>
      </c>
      <c r="F77" s="475">
        <v>8365496.1900000004</v>
      </c>
      <c r="G77" s="449">
        <f>'потребность 2023 (5)'!K73+88000</f>
        <v>9836820</v>
      </c>
      <c r="H77" s="460">
        <v>5718839.3399999999</v>
      </c>
      <c r="I77" s="449">
        <v>10088000</v>
      </c>
      <c r="J77" s="449">
        <v>11556753</v>
      </c>
      <c r="K77" s="462">
        <f t="shared" si="27"/>
        <v>117.48464442777239</v>
      </c>
      <c r="L77" s="462">
        <f t="shared" si="28"/>
        <v>1719933</v>
      </c>
      <c r="M77" s="449">
        <f>11556753-160000</f>
        <v>11396753</v>
      </c>
      <c r="N77" s="178">
        <f t="shared" si="26"/>
        <v>-160000</v>
      </c>
      <c r="O77" s="510">
        <f t="shared" si="29"/>
        <v>1559933</v>
      </c>
    </row>
    <row r="78" spans="1:15" outlineLevel="6" x14ac:dyDescent="0.3">
      <c r="A78" s="189" t="s">
        <v>19</v>
      </c>
      <c r="B78" s="392" t="s">
        <v>455</v>
      </c>
      <c r="C78" s="392" t="s">
        <v>24</v>
      </c>
      <c r="D78" s="392" t="s">
        <v>130</v>
      </c>
      <c r="E78" s="392" t="s">
        <v>20</v>
      </c>
      <c r="F78" s="475">
        <v>337327.88</v>
      </c>
      <c r="G78" s="462">
        <f>G79</f>
        <v>768508</v>
      </c>
      <c r="H78" s="460">
        <v>554928.28</v>
      </c>
      <c r="I78" s="462">
        <f>I79</f>
        <v>799250</v>
      </c>
      <c r="J78" s="462">
        <f>J79</f>
        <v>799248</v>
      </c>
      <c r="K78" s="462">
        <f t="shared" si="27"/>
        <v>103.99995836087588</v>
      </c>
      <c r="L78" s="462">
        <f t="shared" si="28"/>
        <v>30740</v>
      </c>
      <c r="M78" s="462">
        <f>M79</f>
        <v>799248</v>
      </c>
      <c r="N78" s="178">
        <f t="shared" si="26"/>
        <v>0</v>
      </c>
      <c r="O78" s="179">
        <f t="shared" si="29"/>
        <v>30740</v>
      </c>
    </row>
    <row r="79" spans="1:15" outlineLevel="7" x14ac:dyDescent="0.3">
      <c r="A79" s="189" t="s">
        <v>21</v>
      </c>
      <c r="B79" s="392" t="s">
        <v>455</v>
      </c>
      <c r="C79" s="392" t="s">
        <v>24</v>
      </c>
      <c r="D79" s="392" t="s">
        <v>130</v>
      </c>
      <c r="E79" s="392" t="s">
        <v>22</v>
      </c>
      <c r="F79" s="475">
        <v>337327.88</v>
      </c>
      <c r="G79" s="449">
        <f>'потребность 2023 (5)'!K75</f>
        <v>768508</v>
      </c>
      <c r="H79" s="460">
        <v>554928.28</v>
      </c>
      <c r="I79" s="449">
        <v>799250</v>
      </c>
      <c r="J79" s="449">
        <v>799248</v>
      </c>
      <c r="K79" s="462">
        <f t="shared" si="27"/>
        <v>103.99995836087588</v>
      </c>
      <c r="L79" s="462">
        <f t="shared" si="28"/>
        <v>30740</v>
      </c>
      <c r="M79" s="449">
        <v>799248</v>
      </c>
      <c r="N79" s="178">
        <f t="shared" si="26"/>
        <v>0</v>
      </c>
      <c r="O79" s="179">
        <f t="shared" si="29"/>
        <v>30740</v>
      </c>
    </row>
    <row r="80" spans="1:15" ht="17.5" customHeight="1" outlineLevel="7" x14ac:dyDescent="0.3">
      <c r="A80" s="189" t="s">
        <v>670</v>
      </c>
      <c r="B80" s="392" t="s">
        <v>455</v>
      </c>
      <c r="C80" s="392" t="s">
        <v>24</v>
      </c>
      <c r="D80" s="392" t="s">
        <v>624</v>
      </c>
      <c r="E80" s="392" t="s">
        <v>6</v>
      </c>
      <c r="F80" s="471">
        <f>F81</f>
        <v>1262206.8600000001</v>
      </c>
      <c r="G80" s="462">
        <f>G81</f>
        <v>1357440</v>
      </c>
      <c r="H80" s="460">
        <v>763055.68</v>
      </c>
      <c r="I80" s="462">
        <f>I81</f>
        <v>1451100</v>
      </c>
      <c r="J80" s="462">
        <f>J81</f>
        <v>1463844</v>
      </c>
      <c r="K80" s="462">
        <f t="shared" si="27"/>
        <v>107.83857850070721</v>
      </c>
      <c r="L80" s="462">
        <f t="shared" si="28"/>
        <v>106404</v>
      </c>
      <c r="M80" s="462">
        <f>M81</f>
        <v>1463844</v>
      </c>
      <c r="N80" s="178">
        <f t="shared" si="26"/>
        <v>0</v>
      </c>
      <c r="O80" s="179">
        <f t="shared" si="29"/>
        <v>106404</v>
      </c>
    </row>
    <row r="81" spans="1:15" ht="50.95" outlineLevel="7" x14ac:dyDescent="0.3">
      <c r="A81" s="189" t="s">
        <v>622</v>
      </c>
      <c r="B81" s="392" t="s">
        <v>455</v>
      </c>
      <c r="C81" s="392" t="s">
        <v>24</v>
      </c>
      <c r="D81" s="392" t="s">
        <v>621</v>
      </c>
      <c r="E81" s="392" t="s">
        <v>6</v>
      </c>
      <c r="F81" s="471">
        <f>F84+F82</f>
        <v>1262206.8600000001</v>
      </c>
      <c r="G81" s="462">
        <f>G84+G82</f>
        <v>1357440</v>
      </c>
      <c r="H81" s="460">
        <v>763055.68</v>
      </c>
      <c r="I81" s="462">
        <f>I84+I82</f>
        <v>1451100</v>
      </c>
      <c r="J81" s="462">
        <f>J84+J82</f>
        <v>1463844</v>
      </c>
      <c r="K81" s="462">
        <f t="shared" si="27"/>
        <v>107.83857850070721</v>
      </c>
      <c r="L81" s="462">
        <f t="shared" si="28"/>
        <v>106404</v>
      </c>
      <c r="M81" s="462">
        <f>M84+M82</f>
        <v>1463844</v>
      </c>
      <c r="N81" s="178">
        <f t="shared" si="26"/>
        <v>0</v>
      </c>
      <c r="O81" s="179">
        <f t="shared" si="29"/>
        <v>106404</v>
      </c>
    </row>
    <row r="82" spans="1:15" ht="101.9" outlineLevel="7" x14ac:dyDescent="0.3">
      <c r="A82" s="189" t="s">
        <v>11</v>
      </c>
      <c r="B82" s="392" t="s">
        <v>455</v>
      </c>
      <c r="C82" s="392" t="s">
        <v>24</v>
      </c>
      <c r="D82" s="392" t="s">
        <v>621</v>
      </c>
      <c r="E82" s="392" t="s">
        <v>12</v>
      </c>
      <c r="F82" s="471">
        <f>F83</f>
        <v>116000</v>
      </c>
      <c r="G82" s="462">
        <f>G83</f>
        <v>116000</v>
      </c>
      <c r="H82" s="460">
        <v>55333</v>
      </c>
      <c r="I82" s="462">
        <f>I83</f>
        <v>116000</v>
      </c>
      <c r="J82" s="462">
        <f>J83</f>
        <v>128744</v>
      </c>
      <c r="K82" s="462">
        <f t="shared" si="27"/>
        <v>110.98620689655172</v>
      </c>
      <c r="L82" s="462">
        <f t="shared" si="28"/>
        <v>12744</v>
      </c>
      <c r="M82" s="462">
        <f>M83</f>
        <v>128744</v>
      </c>
      <c r="N82" s="178">
        <f t="shared" si="26"/>
        <v>0</v>
      </c>
      <c r="O82" s="179">
        <f t="shared" si="29"/>
        <v>12744</v>
      </c>
    </row>
    <row r="83" spans="1:15" ht="34" outlineLevel="7" x14ac:dyDescent="0.3">
      <c r="A83" s="189" t="s">
        <v>13</v>
      </c>
      <c r="B83" s="392" t="s">
        <v>455</v>
      </c>
      <c r="C83" s="392" t="s">
        <v>24</v>
      </c>
      <c r="D83" s="392" t="s">
        <v>621</v>
      </c>
      <c r="E83" s="392" t="s">
        <v>14</v>
      </c>
      <c r="F83" s="475">
        <v>116000</v>
      </c>
      <c r="G83" s="462">
        <f>'потребность 2023 (5)'!K82</f>
        <v>116000</v>
      </c>
      <c r="H83" s="460">
        <v>55333</v>
      </c>
      <c r="I83" s="462">
        <v>116000</v>
      </c>
      <c r="J83" s="449">
        <v>128744</v>
      </c>
      <c r="K83" s="462">
        <f t="shared" si="27"/>
        <v>110.98620689655172</v>
      </c>
      <c r="L83" s="462">
        <f t="shared" si="28"/>
        <v>12744</v>
      </c>
      <c r="M83" s="449">
        <v>128744</v>
      </c>
      <c r="N83" s="178">
        <f t="shared" si="26"/>
        <v>0</v>
      </c>
      <c r="O83" s="179">
        <f t="shared" si="29"/>
        <v>12744</v>
      </c>
    </row>
    <row r="84" spans="1:15" ht="34" outlineLevel="7" x14ac:dyDescent="0.3">
      <c r="A84" s="189" t="s">
        <v>15</v>
      </c>
      <c r="B84" s="392" t="s">
        <v>455</v>
      </c>
      <c r="C84" s="392" t="s">
        <v>24</v>
      </c>
      <c r="D84" s="392" t="s">
        <v>621</v>
      </c>
      <c r="E84" s="392" t="s">
        <v>16</v>
      </c>
      <c r="F84" s="471">
        <f>F85</f>
        <v>1146206.8600000001</v>
      </c>
      <c r="G84" s="462">
        <f>G85</f>
        <v>1241440</v>
      </c>
      <c r="H84" s="460">
        <v>707722.68</v>
      </c>
      <c r="I84" s="462">
        <f>I85</f>
        <v>1335100</v>
      </c>
      <c r="J84" s="462">
        <f>J85</f>
        <v>1335100</v>
      </c>
      <c r="K84" s="462">
        <f t="shared" si="27"/>
        <v>107.54446449284703</v>
      </c>
      <c r="L84" s="462">
        <f t="shared" si="28"/>
        <v>93660</v>
      </c>
      <c r="M84" s="462">
        <f>M85</f>
        <v>1335100</v>
      </c>
      <c r="N84" s="178">
        <f t="shared" si="26"/>
        <v>0</v>
      </c>
      <c r="O84" s="179">
        <f t="shared" si="29"/>
        <v>93660</v>
      </c>
    </row>
    <row r="85" spans="1:15" ht="50.95" outlineLevel="7" x14ac:dyDescent="0.3">
      <c r="A85" s="189" t="s">
        <v>17</v>
      </c>
      <c r="B85" s="392" t="s">
        <v>455</v>
      </c>
      <c r="C85" s="392" t="s">
        <v>24</v>
      </c>
      <c r="D85" s="392" t="s">
        <v>621</v>
      </c>
      <c r="E85" s="392" t="s">
        <v>18</v>
      </c>
      <c r="F85" s="475">
        <v>1146206.8600000001</v>
      </c>
      <c r="G85" s="449">
        <f>'потребность 2023 (5)'!K84-93660</f>
        <v>1241440</v>
      </c>
      <c r="H85" s="460">
        <v>707722.68</v>
      </c>
      <c r="I85" s="449">
        <v>1335100</v>
      </c>
      <c r="J85" s="449">
        <v>1335100</v>
      </c>
      <c r="K85" s="462">
        <f t="shared" si="27"/>
        <v>107.54446449284703</v>
      </c>
      <c r="L85" s="462">
        <f t="shared" si="28"/>
        <v>93660</v>
      </c>
      <c r="M85" s="449">
        <v>1335100</v>
      </c>
      <c r="N85" s="178">
        <f t="shared" si="26"/>
        <v>0</v>
      </c>
      <c r="O85" s="179">
        <f t="shared" si="29"/>
        <v>93660</v>
      </c>
    </row>
    <row r="86" spans="1:15" s="224" customFormat="1" ht="50.95" outlineLevel="7" x14ac:dyDescent="0.3">
      <c r="A86" s="233" t="s">
        <v>1022</v>
      </c>
      <c r="B86" s="397" t="s">
        <v>455</v>
      </c>
      <c r="C86" s="397" t="s">
        <v>24</v>
      </c>
      <c r="D86" s="397" t="s">
        <v>131</v>
      </c>
      <c r="E86" s="397" t="s">
        <v>6</v>
      </c>
      <c r="F86" s="475">
        <v>49993.440000000002</v>
      </c>
      <c r="G86" s="465">
        <f t="shared" ref="G86:J89" si="30">G87</f>
        <v>50000</v>
      </c>
      <c r="H86" s="460">
        <v>49985.88</v>
      </c>
      <c r="I86" s="465">
        <f t="shared" si="30"/>
        <v>50000</v>
      </c>
      <c r="J86" s="465">
        <f t="shared" si="30"/>
        <v>50000</v>
      </c>
      <c r="K86" s="462">
        <f t="shared" si="27"/>
        <v>100</v>
      </c>
      <c r="L86" s="462">
        <f t="shared" si="28"/>
        <v>0</v>
      </c>
      <c r="M86" s="465">
        <f t="shared" ref="M86:M89" si="31">M87</f>
        <v>50000</v>
      </c>
      <c r="N86" s="178">
        <f t="shared" si="26"/>
        <v>0</v>
      </c>
      <c r="O86" s="179">
        <f t="shared" si="29"/>
        <v>0</v>
      </c>
    </row>
    <row r="87" spans="1:15" outlineLevel="7" x14ac:dyDescent="0.3">
      <c r="A87" s="189" t="s">
        <v>312</v>
      </c>
      <c r="B87" s="392" t="s">
        <v>455</v>
      </c>
      <c r="C87" s="392" t="s">
        <v>24</v>
      </c>
      <c r="D87" s="392" t="s">
        <v>230</v>
      </c>
      <c r="E87" s="392" t="s">
        <v>6</v>
      </c>
      <c r="F87" s="475">
        <v>49993.440000000002</v>
      </c>
      <c r="G87" s="462">
        <f t="shared" si="30"/>
        <v>50000</v>
      </c>
      <c r="H87" s="460">
        <v>49985.88</v>
      </c>
      <c r="I87" s="462">
        <f t="shared" si="30"/>
        <v>50000</v>
      </c>
      <c r="J87" s="462">
        <f t="shared" si="30"/>
        <v>50000</v>
      </c>
      <c r="K87" s="462">
        <f t="shared" si="27"/>
        <v>100</v>
      </c>
      <c r="L87" s="462">
        <f t="shared" si="28"/>
        <v>0</v>
      </c>
      <c r="M87" s="462">
        <f t="shared" si="31"/>
        <v>50000</v>
      </c>
      <c r="N87" s="178">
        <f t="shared" si="26"/>
        <v>0</v>
      </c>
      <c r="O87" s="179">
        <f t="shared" si="29"/>
        <v>0</v>
      </c>
    </row>
    <row r="88" spans="1:15" ht="34" outlineLevel="7" x14ac:dyDescent="0.3">
      <c r="A88" s="189" t="s">
        <v>313</v>
      </c>
      <c r="B88" s="392" t="s">
        <v>455</v>
      </c>
      <c r="C88" s="392" t="s">
        <v>24</v>
      </c>
      <c r="D88" s="392" t="s">
        <v>314</v>
      </c>
      <c r="E88" s="392" t="s">
        <v>6</v>
      </c>
      <c r="F88" s="475">
        <v>49993.440000000002</v>
      </c>
      <c r="G88" s="462">
        <f t="shared" si="30"/>
        <v>50000</v>
      </c>
      <c r="H88" s="460">
        <v>49985.88</v>
      </c>
      <c r="I88" s="462">
        <f t="shared" si="30"/>
        <v>50000</v>
      </c>
      <c r="J88" s="462">
        <f t="shared" si="30"/>
        <v>50000</v>
      </c>
      <c r="K88" s="462">
        <f t="shared" si="27"/>
        <v>100</v>
      </c>
      <c r="L88" s="462">
        <f t="shared" si="28"/>
        <v>0</v>
      </c>
      <c r="M88" s="462">
        <f t="shared" si="31"/>
        <v>50000</v>
      </c>
      <c r="N88" s="178">
        <f t="shared" si="26"/>
        <v>0</v>
      </c>
      <c r="O88" s="179">
        <f t="shared" si="29"/>
        <v>0</v>
      </c>
    </row>
    <row r="89" spans="1:15" ht="34" outlineLevel="7" x14ac:dyDescent="0.3">
      <c r="A89" s="189" t="s">
        <v>15</v>
      </c>
      <c r="B89" s="392" t="s">
        <v>455</v>
      </c>
      <c r="C89" s="392" t="s">
        <v>24</v>
      </c>
      <c r="D89" s="392" t="s">
        <v>314</v>
      </c>
      <c r="E89" s="392" t="s">
        <v>16</v>
      </c>
      <c r="F89" s="475">
        <v>49993.440000000002</v>
      </c>
      <c r="G89" s="462">
        <f t="shared" si="30"/>
        <v>50000</v>
      </c>
      <c r="H89" s="460">
        <v>49985.88</v>
      </c>
      <c r="I89" s="462">
        <f t="shared" si="30"/>
        <v>50000</v>
      </c>
      <c r="J89" s="462">
        <f t="shared" si="30"/>
        <v>50000</v>
      </c>
      <c r="K89" s="462">
        <f t="shared" si="27"/>
        <v>100</v>
      </c>
      <c r="L89" s="462">
        <f t="shared" si="28"/>
        <v>0</v>
      </c>
      <c r="M89" s="462">
        <f t="shared" si="31"/>
        <v>50000</v>
      </c>
      <c r="N89" s="178">
        <f t="shared" si="26"/>
        <v>0</v>
      </c>
      <c r="O89" s="179">
        <f t="shared" si="29"/>
        <v>0</v>
      </c>
    </row>
    <row r="90" spans="1:15" ht="21.25" customHeight="1" outlineLevel="7" x14ac:dyDescent="0.3">
      <c r="A90" s="189" t="s">
        <v>17</v>
      </c>
      <c r="B90" s="392" t="s">
        <v>455</v>
      </c>
      <c r="C90" s="392" t="s">
        <v>24</v>
      </c>
      <c r="D90" s="392" t="s">
        <v>314</v>
      </c>
      <c r="E90" s="392" t="s">
        <v>18</v>
      </c>
      <c r="F90" s="475">
        <v>49993.440000000002</v>
      </c>
      <c r="G90" s="449">
        <f>'потребность 2023 (5)'!K89</f>
        <v>50000</v>
      </c>
      <c r="H90" s="460">
        <v>49985.88</v>
      </c>
      <c r="I90" s="449">
        <v>50000</v>
      </c>
      <c r="J90" s="449">
        <v>50000</v>
      </c>
      <c r="K90" s="462">
        <f t="shared" si="27"/>
        <v>100</v>
      </c>
      <c r="L90" s="462">
        <f t="shared" si="28"/>
        <v>0</v>
      </c>
      <c r="M90" s="449">
        <v>50000</v>
      </c>
      <c r="N90" s="178">
        <f t="shared" si="26"/>
        <v>0</v>
      </c>
      <c r="O90" s="179">
        <f t="shared" si="29"/>
        <v>0</v>
      </c>
    </row>
    <row r="91" spans="1:15" s="224" customFormat="1" ht="38.25" customHeight="1" outlineLevel="7" x14ac:dyDescent="0.3">
      <c r="A91" s="233" t="s">
        <v>1028</v>
      </c>
      <c r="B91" s="397" t="s">
        <v>455</v>
      </c>
      <c r="C91" s="397" t="s">
        <v>24</v>
      </c>
      <c r="D91" s="397" t="s">
        <v>305</v>
      </c>
      <c r="E91" s="397" t="s">
        <v>6</v>
      </c>
      <c r="F91" s="473">
        <f>F92</f>
        <v>2113133.6100000003</v>
      </c>
      <c r="G91" s="465">
        <f>G92</f>
        <v>1434505.2</v>
      </c>
      <c r="H91" s="460">
        <v>1083576.31</v>
      </c>
      <c r="I91" s="465">
        <f>I92</f>
        <v>1178105</v>
      </c>
      <c r="J91" s="465">
        <f>J92</f>
        <v>7318452</v>
      </c>
      <c r="K91" s="462">
        <f t="shared" si="27"/>
        <v>510.1725668195557</v>
      </c>
      <c r="L91" s="462">
        <f t="shared" si="28"/>
        <v>5883946.7999999998</v>
      </c>
      <c r="M91" s="465">
        <f>M92</f>
        <v>1968452</v>
      </c>
      <c r="N91" s="178">
        <f t="shared" si="26"/>
        <v>-5350000</v>
      </c>
      <c r="O91" s="179">
        <f t="shared" si="29"/>
        <v>533946.80000000005</v>
      </c>
    </row>
    <row r="92" spans="1:15" ht="21.25" customHeight="1" outlineLevel="7" x14ac:dyDescent="0.3">
      <c r="A92" s="189" t="s">
        <v>315</v>
      </c>
      <c r="B92" s="392" t="s">
        <v>455</v>
      </c>
      <c r="C92" s="392" t="s">
        <v>24</v>
      </c>
      <c r="D92" s="392" t="s">
        <v>306</v>
      </c>
      <c r="E92" s="392" t="s">
        <v>6</v>
      </c>
      <c r="F92" s="471">
        <f>F93+F96</f>
        <v>2113133.6100000003</v>
      </c>
      <c r="G92" s="462">
        <f>G93+G96</f>
        <v>1434505.2</v>
      </c>
      <c r="H92" s="460">
        <v>1083576.31</v>
      </c>
      <c r="I92" s="462">
        <f>I93+I96</f>
        <v>1178105</v>
      </c>
      <c r="J92" s="462">
        <f>J93+J96</f>
        <v>7318452</v>
      </c>
      <c r="K92" s="462">
        <f t="shared" si="27"/>
        <v>510.1725668195557</v>
      </c>
      <c r="L92" s="462">
        <f t="shared" si="28"/>
        <v>5883946.7999999998</v>
      </c>
      <c r="M92" s="462">
        <f>M93+M96</f>
        <v>1968452</v>
      </c>
      <c r="N92" s="178">
        <f t="shared" si="26"/>
        <v>-5350000</v>
      </c>
      <c r="O92" s="179">
        <f t="shared" si="29"/>
        <v>533946.80000000005</v>
      </c>
    </row>
    <row r="93" spans="1:15" ht="37.549999999999997" customHeight="1" outlineLevel="7" x14ac:dyDescent="0.3">
      <c r="A93" s="189" t="s">
        <v>316</v>
      </c>
      <c r="B93" s="392" t="s">
        <v>455</v>
      </c>
      <c r="C93" s="392" t="s">
        <v>24</v>
      </c>
      <c r="D93" s="392" t="s">
        <v>317</v>
      </c>
      <c r="E93" s="392" t="s">
        <v>6</v>
      </c>
      <c r="F93" s="471">
        <f>F94</f>
        <v>2089203.61</v>
      </c>
      <c r="G93" s="462">
        <f t="shared" ref="G93:J94" si="32">G94</f>
        <v>1388575.2</v>
      </c>
      <c r="H93" s="460">
        <v>1050522.31</v>
      </c>
      <c r="I93" s="462">
        <f t="shared" si="32"/>
        <v>1130340</v>
      </c>
      <c r="J93" s="462">
        <f t="shared" si="32"/>
        <v>7287412</v>
      </c>
      <c r="K93" s="462">
        <f t="shared" si="27"/>
        <v>524.8121959833361</v>
      </c>
      <c r="L93" s="462">
        <f t="shared" si="28"/>
        <v>5898836.7999999998</v>
      </c>
      <c r="M93" s="462">
        <f t="shared" ref="M93:M94" si="33">M94</f>
        <v>1937412</v>
      </c>
      <c r="N93" s="178">
        <f t="shared" si="26"/>
        <v>-5350000</v>
      </c>
      <c r="O93" s="179">
        <f t="shared" si="29"/>
        <v>548836.80000000005</v>
      </c>
    </row>
    <row r="94" spans="1:15" ht="34" outlineLevel="7" x14ac:dyDescent="0.3">
      <c r="A94" s="189" t="s">
        <v>15</v>
      </c>
      <c r="B94" s="392" t="s">
        <v>455</v>
      </c>
      <c r="C94" s="392" t="s">
        <v>24</v>
      </c>
      <c r="D94" s="392" t="s">
        <v>317</v>
      </c>
      <c r="E94" s="392" t="s">
        <v>16</v>
      </c>
      <c r="F94" s="471">
        <f>F95</f>
        <v>2089203.61</v>
      </c>
      <c r="G94" s="462">
        <f t="shared" si="32"/>
        <v>1388575.2</v>
      </c>
      <c r="H94" s="460">
        <v>1050522.31</v>
      </c>
      <c r="I94" s="462">
        <f t="shared" si="32"/>
        <v>1130340</v>
      </c>
      <c r="J94" s="462">
        <f t="shared" si="32"/>
        <v>7287412</v>
      </c>
      <c r="K94" s="462">
        <f t="shared" si="27"/>
        <v>524.8121959833361</v>
      </c>
      <c r="L94" s="462">
        <f t="shared" si="28"/>
        <v>5898836.7999999998</v>
      </c>
      <c r="M94" s="462">
        <f t="shared" si="33"/>
        <v>1937412</v>
      </c>
      <c r="N94" s="178">
        <f t="shared" si="26"/>
        <v>-5350000</v>
      </c>
      <c r="O94" s="179">
        <f t="shared" si="29"/>
        <v>548836.80000000005</v>
      </c>
    </row>
    <row r="95" spans="1:15" ht="18.7" customHeight="1" outlineLevel="7" x14ac:dyDescent="0.3">
      <c r="A95" s="189" t="s">
        <v>17</v>
      </c>
      <c r="B95" s="392" t="s">
        <v>455</v>
      </c>
      <c r="C95" s="392" t="s">
        <v>24</v>
      </c>
      <c r="D95" s="392" t="s">
        <v>317</v>
      </c>
      <c r="E95" s="392" t="s">
        <v>18</v>
      </c>
      <c r="F95" s="475">
        <v>2089203.61</v>
      </c>
      <c r="G95" s="449">
        <f>'потребность 2023 (5)'!K94+143103.2</f>
        <v>1388575.2</v>
      </c>
      <c r="H95" s="460">
        <v>1050522.31</v>
      </c>
      <c r="I95" s="449">
        <v>1130340</v>
      </c>
      <c r="J95" s="449">
        <v>7287412</v>
      </c>
      <c r="K95" s="462">
        <f t="shared" si="27"/>
        <v>524.8121959833361</v>
      </c>
      <c r="L95" s="462">
        <f t="shared" si="28"/>
        <v>5898836.7999999998</v>
      </c>
      <c r="M95" s="449">
        <f>7287412-5000000-350000</f>
        <v>1937412</v>
      </c>
      <c r="N95" s="178">
        <f t="shared" si="26"/>
        <v>-5350000</v>
      </c>
      <c r="O95" s="179">
        <f t="shared" si="29"/>
        <v>548836.80000000005</v>
      </c>
    </row>
    <row r="96" spans="1:15" ht="34" outlineLevel="7" x14ac:dyDescent="0.3">
      <c r="A96" s="189" t="s">
        <v>318</v>
      </c>
      <c r="B96" s="392" t="s">
        <v>455</v>
      </c>
      <c r="C96" s="392" t="s">
        <v>24</v>
      </c>
      <c r="D96" s="392" t="s">
        <v>307</v>
      </c>
      <c r="E96" s="392" t="s">
        <v>6</v>
      </c>
      <c r="F96" s="471">
        <f>F97</f>
        <v>23930</v>
      </c>
      <c r="G96" s="462">
        <f t="shared" ref="G96:J97" si="34">G97</f>
        <v>45930</v>
      </c>
      <c r="H96" s="460">
        <v>33054</v>
      </c>
      <c r="I96" s="462">
        <f t="shared" si="34"/>
        <v>47765</v>
      </c>
      <c r="J96" s="462">
        <f t="shared" si="34"/>
        <v>31040</v>
      </c>
      <c r="K96" s="462">
        <f t="shared" si="27"/>
        <v>67.581101676464186</v>
      </c>
      <c r="L96" s="462">
        <f t="shared" si="28"/>
        <v>-14890</v>
      </c>
      <c r="M96" s="462">
        <f t="shared" ref="M96:M97" si="35">M97</f>
        <v>31040</v>
      </c>
      <c r="N96" s="178">
        <f t="shared" si="26"/>
        <v>0</v>
      </c>
      <c r="O96" s="179">
        <f t="shared" si="29"/>
        <v>-14890</v>
      </c>
    </row>
    <row r="97" spans="1:15" ht="34" outlineLevel="7" x14ac:dyDescent="0.3">
      <c r="A97" s="189" t="s">
        <v>15</v>
      </c>
      <c r="B97" s="392" t="s">
        <v>455</v>
      </c>
      <c r="C97" s="392" t="s">
        <v>24</v>
      </c>
      <c r="D97" s="392" t="s">
        <v>307</v>
      </c>
      <c r="E97" s="392" t="s">
        <v>16</v>
      </c>
      <c r="F97" s="471">
        <f>F98</f>
        <v>23930</v>
      </c>
      <c r="G97" s="462">
        <f t="shared" si="34"/>
        <v>45930</v>
      </c>
      <c r="H97" s="460">
        <v>33054</v>
      </c>
      <c r="I97" s="462">
        <f t="shared" si="34"/>
        <v>47765</v>
      </c>
      <c r="J97" s="462">
        <f t="shared" si="34"/>
        <v>31040</v>
      </c>
      <c r="K97" s="462">
        <f t="shared" si="27"/>
        <v>67.581101676464186</v>
      </c>
      <c r="L97" s="462">
        <f t="shared" si="28"/>
        <v>-14890</v>
      </c>
      <c r="M97" s="462">
        <f t="shared" si="35"/>
        <v>31040</v>
      </c>
      <c r="N97" s="178">
        <f t="shared" si="26"/>
        <v>0</v>
      </c>
      <c r="O97" s="179">
        <f t="shared" si="29"/>
        <v>-14890</v>
      </c>
    </row>
    <row r="98" spans="1:15" ht="19.55" customHeight="1" outlineLevel="7" x14ac:dyDescent="0.3">
      <c r="A98" s="189" t="s">
        <v>17</v>
      </c>
      <c r="B98" s="392" t="s">
        <v>455</v>
      </c>
      <c r="C98" s="392" t="s">
        <v>24</v>
      </c>
      <c r="D98" s="392" t="s">
        <v>307</v>
      </c>
      <c r="E98" s="392" t="s">
        <v>18</v>
      </c>
      <c r="F98" s="475">
        <v>23930</v>
      </c>
      <c r="G98" s="462">
        <f>'потребность 2023 (5)'!K97</f>
        <v>45930</v>
      </c>
      <c r="H98" s="460">
        <v>33054</v>
      </c>
      <c r="I98" s="462">
        <v>47765</v>
      </c>
      <c r="J98" s="449">
        <v>31040</v>
      </c>
      <c r="K98" s="462">
        <f t="shared" si="27"/>
        <v>67.581101676464186</v>
      </c>
      <c r="L98" s="462">
        <f t="shared" si="28"/>
        <v>-14890</v>
      </c>
      <c r="M98" s="449">
        <v>31040</v>
      </c>
      <c r="N98" s="178">
        <f t="shared" si="26"/>
        <v>0</v>
      </c>
      <c r="O98" s="179">
        <f t="shared" si="29"/>
        <v>-14890</v>
      </c>
    </row>
    <row r="99" spans="1:15" s="224" customFormat="1" ht="50.95" outlineLevel="7" x14ac:dyDescent="0.3">
      <c r="A99" s="233" t="s">
        <v>1024</v>
      </c>
      <c r="B99" s="397" t="s">
        <v>455</v>
      </c>
      <c r="C99" s="397" t="s">
        <v>24</v>
      </c>
      <c r="D99" s="397" t="s">
        <v>319</v>
      </c>
      <c r="E99" s="397" t="s">
        <v>6</v>
      </c>
      <c r="F99" s="473">
        <f>F100</f>
        <v>3200452.78</v>
      </c>
      <c r="G99" s="465">
        <f t="shared" ref="G99:J100" si="36">G100</f>
        <v>3185014.91</v>
      </c>
      <c r="H99" s="460">
        <v>2350132.62</v>
      </c>
      <c r="I99" s="465">
        <f t="shared" si="36"/>
        <v>1300000</v>
      </c>
      <c r="J99" s="465">
        <f t="shared" si="36"/>
        <v>6049500.5800000001</v>
      </c>
      <c r="K99" s="462">
        <f t="shared" si="27"/>
        <v>189.93633470934049</v>
      </c>
      <c r="L99" s="462">
        <f t="shared" si="28"/>
        <v>2864485.67</v>
      </c>
      <c r="M99" s="465">
        <f t="shared" ref="M99:M100" si="37">M100</f>
        <v>2938500.58</v>
      </c>
      <c r="N99" s="178">
        <f t="shared" si="26"/>
        <v>-3111000</v>
      </c>
      <c r="O99" s="179">
        <f t="shared" si="29"/>
        <v>-246514.33000000007</v>
      </c>
    </row>
    <row r="100" spans="1:15" ht="50.95" outlineLevel="7" x14ac:dyDescent="0.3">
      <c r="A100" s="189" t="s">
        <v>212</v>
      </c>
      <c r="B100" s="392" t="s">
        <v>455</v>
      </c>
      <c r="C100" s="392" t="s">
        <v>24</v>
      </c>
      <c r="D100" s="392" t="s">
        <v>320</v>
      </c>
      <c r="E100" s="392" t="s">
        <v>6</v>
      </c>
      <c r="F100" s="471">
        <f>F101</f>
        <v>3200452.78</v>
      </c>
      <c r="G100" s="462">
        <f t="shared" si="36"/>
        <v>3185014.91</v>
      </c>
      <c r="H100" s="460">
        <v>2350132.62</v>
      </c>
      <c r="I100" s="462">
        <f t="shared" si="36"/>
        <v>1300000</v>
      </c>
      <c r="J100" s="462">
        <f t="shared" si="36"/>
        <v>6049500.5800000001</v>
      </c>
      <c r="K100" s="462">
        <f t="shared" si="27"/>
        <v>189.93633470934049</v>
      </c>
      <c r="L100" s="462">
        <f t="shared" si="28"/>
        <v>2864485.67</v>
      </c>
      <c r="M100" s="462">
        <f t="shared" si="37"/>
        <v>2938500.58</v>
      </c>
      <c r="N100" s="178">
        <f t="shared" si="26"/>
        <v>-3111000</v>
      </c>
      <c r="O100" s="179">
        <f t="shared" si="29"/>
        <v>-246514.33000000007</v>
      </c>
    </row>
    <row r="101" spans="1:15" ht="67.95" outlineLevel="5" x14ac:dyDescent="0.3">
      <c r="A101" s="189" t="s">
        <v>32</v>
      </c>
      <c r="B101" s="392" t="s">
        <v>455</v>
      </c>
      <c r="C101" s="392" t="s">
        <v>24</v>
      </c>
      <c r="D101" s="392" t="s">
        <v>321</v>
      </c>
      <c r="E101" s="392" t="s">
        <v>6</v>
      </c>
      <c r="F101" s="471">
        <f>F102+F104</f>
        <v>3200452.78</v>
      </c>
      <c r="G101" s="462">
        <f>G102+G104+G106</f>
        <v>3185014.91</v>
      </c>
      <c r="H101" s="460">
        <v>2350132.62</v>
      </c>
      <c r="I101" s="462">
        <f>I102+I104+I106</f>
        <v>1300000</v>
      </c>
      <c r="J101" s="462">
        <f>J102+J104+J106</f>
        <v>6049500.5800000001</v>
      </c>
      <c r="K101" s="462">
        <f t="shared" si="27"/>
        <v>189.93633470934049</v>
      </c>
      <c r="L101" s="462">
        <f t="shared" si="28"/>
        <v>2864485.67</v>
      </c>
      <c r="M101" s="462">
        <f>M102+M104+M106</f>
        <v>2938500.58</v>
      </c>
      <c r="N101" s="178">
        <f t="shared" si="26"/>
        <v>-3111000</v>
      </c>
      <c r="O101" s="179">
        <f t="shared" si="29"/>
        <v>-246514.33000000007</v>
      </c>
    </row>
    <row r="102" spans="1:15" ht="34" outlineLevel="6" x14ac:dyDescent="0.3">
      <c r="A102" s="189" t="s">
        <v>15</v>
      </c>
      <c r="B102" s="392" t="s">
        <v>455</v>
      </c>
      <c r="C102" s="392" t="s">
        <v>24</v>
      </c>
      <c r="D102" s="392" t="s">
        <v>321</v>
      </c>
      <c r="E102" s="392" t="s">
        <v>16</v>
      </c>
      <c r="F102" s="471">
        <f>F103</f>
        <v>3200452.78</v>
      </c>
      <c r="G102" s="462">
        <f>G103</f>
        <v>3045014.91</v>
      </c>
      <c r="H102" s="460">
        <v>2211796.62</v>
      </c>
      <c r="I102" s="462">
        <f>I103</f>
        <v>1160000</v>
      </c>
      <c r="J102" s="462">
        <f>J103</f>
        <v>5909500.5800000001</v>
      </c>
      <c r="K102" s="462">
        <f t="shared" si="27"/>
        <v>194.07131835686152</v>
      </c>
      <c r="L102" s="462">
        <f t="shared" si="28"/>
        <v>2864485.67</v>
      </c>
      <c r="M102" s="462">
        <f>M103</f>
        <v>2798500.58</v>
      </c>
      <c r="N102" s="178">
        <f t="shared" si="26"/>
        <v>-3111000</v>
      </c>
      <c r="O102" s="179">
        <f t="shared" si="29"/>
        <v>-246514.33000000007</v>
      </c>
    </row>
    <row r="103" spans="1:15" ht="20.25" customHeight="1" outlineLevel="7" x14ac:dyDescent="0.3">
      <c r="A103" s="189" t="s">
        <v>17</v>
      </c>
      <c r="B103" s="392" t="s">
        <v>455</v>
      </c>
      <c r="C103" s="392" t="s">
        <v>24</v>
      </c>
      <c r="D103" s="392" t="s">
        <v>321</v>
      </c>
      <c r="E103" s="392" t="s">
        <v>18</v>
      </c>
      <c r="F103" s="475">
        <v>3200452.78</v>
      </c>
      <c r="G103" s="462">
        <f>'потребность 2023 (5)'!K102+1200000-1200000+257014.91+168000</f>
        <v>3045014.91</v>
      </c>
      <c r="H103" s="460">
        <v>2211796.62</v>
      </c>
      <c r="I103" s="462">
        <v>1160000</v>
      </c>
      <c r="J103" s="449">
        <v>5909500.5800000001</v>
      </c>
      <c r="K103" s="462">
        <f t="shared" si="27"/>
        <v>194.07131835686152</v>
      </c>
      <c r="L103" s="462">
        <f t="shared" si="28"/>
        <v>2864485.67</v>
      </c>
      <c r="M103" s="449">
        <f>5909500.58-2650000-461000</f>
        <v>2798500.58</v>
      </c>
      <c r="N103" s="178">
        <f t="shared" si="26"/>
        <v>-3111000</v>
      </c>
      <c r="O103" s="179">
        <f t="shared" si="29"/>
        <v>-246514.33000000007</v>
      </c>
    </row>
    <row r="104" spans="1:15" outlineLevel="6" x14ac:dyDescent="0.3">
      <c r="A104" s="189" t="s">
        <v>19</v>
      </c>
      <c r="B104" s="392" t="s">
        <v>455</v>
      </c>
      <c r="C104" s="392" t="s">
        <v>24</v>
      </c>
      <c r="D104" s="392" t="s">
        <v>321</v>
      </c>
      <c r="E104" s="392" t="s">
        <v>20</v>
      </c>
      <c r="F104" s="475">
        <v>0</v>
      </c>
      <c r="G104" s="462">
        <f>G105</f>
        <v>140000</v>
      </c>
      <c r="H104" s="460">
        <v>138336</v>
      </c>
      <c r="I104" s="462">
        <f>I105</f>
        <v>140000</v>
      </c>
      <c r="J104" s="462">
        <f>J105</f>
        <v>140000</v>
      </c>
      <c r="K104" s="462">
        <f t="shared" si="27"/>
        <v>100</v>
      </c>
      <c r="L104" s="462">
        <f t="shared" si="28"/>
        <v>0</v>
      </c>
      <c r="M104" s="462">
        <f>M105</f>
        <v>140000</v>
      </c>
      <c r="N104" s="178">
        <f t="shared" si="26"/>
        <v>0</v>
      </c>
      <c r="O104" s="179">
        <f t="shared" si="29"/>
        <v>0</v>
      </c>
    </row>
    <row r="105" spans="1:15" outlineLevel="7" x14ac:dyDescent="0.3">
      <c r="A105" s="189" t="s">
        <v>21</v>
      </c>
      <c r="B105" s="392" t="s">
        <v>455</v>
      </c>
      <c r="C105" s="392" t="s">
        <v>24</v>
      </c>
      <c r="D105" s="392" t="s">
        <v>321</v>
      </c>
      <c r="E105" s="392" t="s">
        <v>22</v>
      </c>
      <c r="F105" s="475">
        <v>0</v>
      </c>
      <c r="G105" s="449">
        <f>'потребность 2023 (5)'!K104</f>
        <v>140000</v>
      </c>
      <c r="H105" s="468">
        <v>138336</v>
      </c>
      <c r="I105" s="449">
        <v>140000</v>
      </c>
      <c r="J105" s="449">
        <v>140000</v>
      </c>
      <c r="K105" s="462">
        <f t="shared" si="27"/>
        <v>100</v>
      </c>
      <c r="L105" s="462">
        <f t="shared" si="28"/>
        <v>0</v>
      </c>
      <c r="M105" s="449">
        <v>140000</v>
      </c>
      <c r="N105" s="178">
        <f t="shared" si="26"/>
        <v>0</v>
      </c>
      <c r="O105" s="179">
        <f t="shared" si="29"/>
        <v>0</v>
      </c>
    </row>
    <row r="106" spans="1:15" ht="50.95" hidden="1" outlineLevel="7" x14ac:dyDescent="0.3">
      <c r="A106" s="189" t="s">
        <v>1047</v>
      </c>
      <c r="B106" s="392" t="s">
        <v>455</v>
      </c>
      <c r="C106" s="392" t="s">
        <v>24</v>
      </c>
      <c r="D106" s="392" t="s">
        <v>321</v>
      </c>
      <c r="E106" s="392" t="s">
        <v>259</v>
      </c>
      <c r="F106" s="462" t="s">
        <v>838</v>
      </c>
      <c r="G106" s="449">
        <f>G107</f>
        <v>0</v>
      </c>
      <c r="H106" s="449">
        <v>0</v>
      </c>
      <c r="I106" s="449">
        <f>I107</f>
        <v>0</v>
      </c>
      <c r="J106" s="449">
        <f>J107</f>
        <v>0</v>
      </c>
      <c r="K106" s="462" t="e">
        <f t="shared" si="27"/>
        <v>#DIV/0!</v>
      </c>
      <c r="L106" s="462">
        <f t="shared" si="28"/>
        <v>0</v>
      </c>
      <c r="M106" s="449">
        <f>M107</f>
        <v>0</v>
      </c>
      <c r="N106" s="178">
        <f t="shared" si="26"/>
        <v>0</v>
      </c>
      <c r="O106" s="179">
        <f t="shared" si="29"/>
        <v>0</v>
      </c>
    </row>
    <row r="107" spans="1:15" hidden="1" outlineLevel="7" x14ac:dyDescent="0.3">
      <c r="A107" s="189" t="s">
        <v>260</v>
      </c>
      <c r="B107" s="392" t="s">
        <v>455</v>
      </c>
      <c r="C107" s="392" t="s">
        <v>24</v>
      </c>
      <c r="D107" s="392" t="s">
        <v>321</v>
      </c>
      <c r="E107" s="392" t="s">
        <v>261</v>
      </c>
      <c r="F107" s="462" t="s">
        <v>838</v>
      </c>
      <c r="G107" s="449">
        <f>5000000-5000000</f>
        <v>0</v>
      </c>
      <c r="H107" s="449">
        <v>0</v>
      </c>
      <c r="I107" s="449">
        <f>5000000-5000000</f>
        <v>0</v>
      </c>
      <c r="J107" s="449">
        <v>0</v>
      </c>
      <c r="K107" s="462" t="e">
        <f t="shared" si="27"/>
        <v>#DIV/0!</v>
      </c>
      <c r="L107" s="462">
        <f t="shared" si="28"/>
        <v>0</v>
      </c>
      <c r="M107" s="449">
        <v>0</v>
      </c>
      <c r="N107" s="178">
        <f t="shared" si="26"/>
        <v>0</v>
      </c>
      <c r="O107" s="179">
        <f t="shared" si="29"/>
        <v>0</v>
      </c>
    </row>
    <row r="108" spans="1:15" ht="50.95" outlineLevel="7" x14ac:dyDescent="0.3">
      <c r="A108" s="233" t="s">
        <v>1026</v>
      </c>
      <c r="B108" s="397" t="s">
        <v>455</v>
      </c>
      <c r="C108" s="397" t="s">
        <v>24</v>
      </c>
      <c r="D108" s="397" t="s">
        <v>819</v>
      </c>
      <c r="E108" s="397" t="s">
        <v>6</v>
      </c>
      <c r="F108" s="476">
        <f t="shared" ref="F108:J111" si="38">F109</f>
        <v>50000</v>
      </c>
      <c r="G108" s="449">
        <f t="shared" si="38"/>
        <v>100000</v>
      </c>
      <c r="H108" s="460">
        <v>0</v>
      </c>
      <c r="I108" s="449">
        <f t="shared" si="38"/>
        <v>30000</v>
      </c>
      <c r="J108" s="449">
        <f t="shared" si="38"/>
        <v>100000</v>
      </c>
      <c r="K108" s="462">
        <f t="shared" si="27"/>
        <v>100</v>
      </c>
      <c r="L108" s="462">
        <f t="shared" si="28"/>
        <v>0</v>
      </c>
      <c r="M108" s="449">
        <f t="shared" ref="M108:M111" si="39">M109</f>
        <v>100000</v>
      </c>
      <c r="N108" s="178">
        <f t="shared" si="26"/>
        <v>0</v>
      </c>
      <c r="O108" s="179">
        <f t="shared" si="29"/>
        <v>0</v>
      </c>
    </row>
    <row r="109" spans="1:15" ht="34" outlineLevel="7" x14ac:dyDescent="0.3">
      <c r="A109" s="189" t="s">
        <v>818</v>
      </c>
      <c r="B109" s="392" t="s">
        <v>455</v>
      </c>
      <c r="C109" s="392" t="s">
        <v>24</v>
      </c>
      <c r="D109" s="392" t="s">
        <v>820</v>
      </c>
      <c r="E109" s="392" t="s">
        <v>6</v>
      </c>
      <c r="F109" s="476">
        <f t="shared" si="38"/>
        <v>50000</v>
      </c>
      <c r="G109" s="449">
        <f t="shared" si="38"/>
        <v>100000</v>
      </c>
      <c r="H109" s="460">
        <v>0</v>
      </c>
      <c r="I109" s="449">
        <f t="shared" si="38"/>
        <v>30000</v>
      </c>
      <c r="J109" s="449">
        <f t="shared" si="38"/>
        <v>100000</v>
      </c>
      <c r="K109" s="462">
        <f t="shared" si="27"/>
        <v>100</v>
      </c>
      <c r="L109" s="462">
        <f t="shared" si="28"/>
        <v>0</v>
      </c>
      <c r="M109" s="449">
        <f t="shared" si="39"/>
        <v>100000</v>
      </c>
      <c r="N109" s="178">
        <f t="shared" si="26"/>
        <v>0</v>
      </c>
      <c r="O109" s="179">
        <f t="shared" si="29"/>
        <v>0</v>
      </c>
    </row>
    <row r="110" spans="1:15" ht="34" outlineLevel="7" x14ac:dyDescent="0.3">
      <c r="A110" s="189" t="s">
        <v>310</v>
      </c>
      <c r="B110" s="392" t="s">
        <v>455</v>
      </c>
      <c r="C110" s="392" t="s">
        <v>24</v>
      </c>
      <c r="D110" s="392" t="s">
        <v>821</v>
      </c>
      <c r="E110" s="392" t="s">
        <v>6</v>
      </c>
      <c r="F110" s="476">
        <f t="shared" si="38"/>
        <v>50000</v>
      </c>
      <c r="G110" s="449">
        <f t="shared" si="38"/>
        <v>100000</v>
      </c>
      <c r="H110" s="460">
        <v>0</v>
      </c>
      <c r="I110" s="449">
        <f t="shared" si="38"/>
        <v>30000</v>
      </c>
      <c r="J110" s="449">
        <f t="shared" si="38"/>
        <v>100000</v>
      </c>
      <c r="K110" s="462">
        <f t="shared" si="27"/>
        <v>100</v>
      </c>
      <c r="L110" s="462">
        <f t="shared" si="28"/>
        <v>0</v>
      </c>
      <c r="M110" s="449">
        <f t="shared" si="39"/>
        <v>100000</v>
      </c>
      <c r="N110" s="178">
        <f t="shared" si="26"/>
        <v>0</v>
      </c>
      <c r="O110" s="179">
        <f t="shared" si="29"/>
        <v>0</v>
      </c>
    </row>
    <row r="111" spans="1:15" ht="34" outlineLevel="7" x14ac:dyDescent="0.3">
      <c r="A111" s="189" t="s">
        <v>15</v>
      </c>
      <c r="B111" s="392" t="s">
        <v>455</v>
      </c>
      <c r="C111" s="392" t="s">
        <v>24</v>
      </c>
      <c r="D111" s="392" t="s">
        <v>821</v>
      </c>
      <c r="E111" s="392" t="s">
        <v>16</v>
      </c>
      <c r="F111" s="476">
        <f t="shared" si="38"/>
        <v>50000</v>
      </c>
      <c r="G111" s="449">
        <f t="shared" si="38"/>
        <v>100000</v>
      </c>
      <c r="H111" s="460">
        <v>0</v>
      </c>
      <c r="I111" s="449">
        <f t="shared" si="38"/>
        <v>30000</v>
      </c>
      <c r="J111" s="449">
        <f t="shared" si="38"/>
        <v>100000</v>
      </c>
      <c r="K111" s="462">
        <f t="shared" si="27"/>
        <v>100</v>
      </c>
      <c r="L111" s="462">
        <f t="shared" si="28"/>
        <v>0</v>
      </c>
      <c r="M111" s="449">
        <f t="shared" si="39"/>
        <v>100000</v>
      </c>
      <c r="N111" s="178">
        <f t="shared" si="26"/>
        <v>0</v>
      </c>
      <c r="O111" s="179">
        <f t="shared" si="29"/>
        <v>0</v>
      </c>
    </row>
    <row r="112" spans="1:15" ht="50.95" outlineLevel="7" x14ac:dyDescent="0.3">
      <c r="A112" s="189" t="s">
        <v>17</v>
      </c>
      <c r="B112" s="392" t="s">
        <v>455</v>
      </c>
      <c r="C112" s="392" t="s">
        <v>24</v>
      </c>
      <c r="D112" s="392" t="s">
        <v>821</v>
      </c>
      <c r="E112" s="392" t="s">
        <v>18</v>
      </c>
      <c r="F112" s="475">
        <v>50000</v>
      </c>
      <c r="G112" s="449">
        <f>'потребность 2023 (5)'!K109</f>
        <v>100000</v>
      </c>
      <c r="H112" s="460">
        <v>0</v>
      </c>
      <c r="I112" s="449">
        <v>30000</v>
      </c>
      <c r="J112" s="449">
        <v>100000</v>
      </c>
      <c r="K112" s="462">
        <f t="shared" si="27"/>
        <v>100</v>
      </c>
      <c r="L112" s="462">
        <f t="shared" si="28"/>
        <v>0</v>
      </c>
      <c r="M112" s="449">
        <v>100000</v>
      </c>
      <c r="N112" s="178">
        <f t="shared" si="26"/>
        <v>0</v>
      </c>
      <c r="O112" s="179">
        <f t="shared" si="29"/>
        <v>0</v>
      </c>
    </row>
    <row r="113" spans="1:15" ht="34" outlineLevel="3" x14ac:dyDescent="0.3">
      <c r="A113" s="189" t="s">
        <v>132</v>
      </c>
      <c r="B113" s="392" t="s">
        <v>455</v>
      </c>
      <c r="C113" s="392" t="s">
        <v>24</v>
      </c>
      <c r="D113" s="392" t="s">
        <v>127</v>
      </c>
      <c r="E113" s="392" t="s">
        <v>6</v>
      </c>
      <c r="F113" s="462">
        <f>F128+F114+F125+F119</f>
        <v>47420733.719999999</v>
      </c>
      <c r="G113" s="462">
        <f>G128+G114+G125+G119</f>
        <v>37979427.5</v>
      </c>
      <c r="H113" s="460">
        <v>32962922.59</v>
      </c>
      <c r="I113" s="462">
        <f>I128+I114+I125+I119</f>
        <v>38585000</v>
      </c>
      <c r="J113" s="462">
        <f>J128+J114+J125+J119</f>
        <v>42870900</v>
      </c>
      <c r="K113" s="462">
        <f t="shared" si="27"/>
        <v>112.87926865142978</v>
      </c>
      <c r="L113" s="462">
        <f t="shared" si="28"/>
        <v>4891472.5</v>
      </c>
      <c r="M113" s="462">
        <f>M128+M114+M125+M119</f>
        <v>42870900</v>
      </c>
      <c r="N113" s="178">
        <f t="shared" si="26"/>
        <v>0</v>
      </c>
      <c r="O113" s="179">
        <f t="shared" si="29"/>
        <v>4891472.5</v>
      </c>
    </row>
    <row r="114" spans="1:15" ht="48.25" customHeight="1" outlineLevel="5" x14ac:dyDescent="0.3">
      <c r="A114" s="189" t="s">
        <v>449</v>
      </c>
      <c r="B114" s="392" t="s">
        <v>455</v>
      </c>
      <c r="C114" s="392" t="s">
        <v>24</v>
      </c>
      <c r="D114" s="392" t="s">
        <v>450</v>
      </c>
      <c r="E114" s="392" t="s">
        <v>6</v>
      </c>
      <c r="F114" s="471">
        <f>F115+F117</f>
        <v>36517400.520000003</v>
      </c>
      <c r="G114" s="462">
        <f>G115+G117</f>
        <v>37225780</v>
      </c>
      <c r="H114" s="460">
        <v>27378183.829999998</v>
      </c>
      <c r="I114" s="462">
        <f>I115+I117</f>
        <v>38385000</v>
      </c>
      <c r="J114" s="462">
        <f>J115+J117</f>
        <v>42620900</v>
      </c>
      <c r="K114" s="462">
        <f t="shared" si="27"/>
        <v>114.49296697073909</v>
      </c>
      <c r="L114" s="462">
        <f t="shared" si="28"/>
        <v>5395120</v>
      </c>
      <c r="M114" s="462">
        <f>M115+M117</f>
        <v>42620900</v>
      </c>
      <c r="N114" s="178">
        <f t="shared" si="26"/>
        <v>0</v>
      </c>
      <c r="O114" s="179">
        <f t="shared" si="29"/>
        <v>5395120</v>
      </c>
    </row>
    <row r="115" spans="1:15" ht="101.9" outlineLevel="6" x14ac:dyDescent="0.3">
      <c r="A115" s="189" t="s">
        <v>11</v>
      </c>
      <c r="B115" s="392" t="s">
        <v>455</v>
      </c>
      <c r="C115" s="392" t="s">
        <v>24</v>
      </c>
      <c r="D115" s="392" t="s">
        <v>450</v>
      </c>
      <c r="E115" s="392" t="s">
        <v>12</v>
      </c>
      <c r="F115" s="471">
        <f>F116</f>
        <v>36509300.520000003</v>
      </c>
      <c r="G115" s="462">
        <f>G116</f>
        <v>37205780</v>
      </c>
      <c r="H115" s="460">
        <v>27378183.829999998</v>
      </c>
      <c r="I115" s="462">
        <f>I116</f>
        <v>38365000</v>
      </c>
      <c r="J115" s="462">
        <f>J116</f>
        <v>42600900</v>
      </c>
      <c r="K115" s="462">
        <f t="shared" si="27"/>
        <v>114.5007576779737</v>
      </c>
      <c r="L115" s="462">
        <f t="shared" si="28"/>
        <v>5395120</v>
      </c>
      <c r="M115" s="462">
        <f>M116</f>
        <v>42600900</v>
      </c>
      <c r="N115" s="178">
        <f t="shared" si="26"/>
        <v>0</v>
      </c>
      <c r="O115" s="179">
        <f t="shared" si="29"/>
        <v>5395120</v>
      </c>
    </row>
    <row r="116" spans="1:15" ht="34" outlineLevel="7" x14ac:dyDescent="0.3">
      <c r="A116" s="189" t="s">
        <v>13</v>
      </c>
      <c r="B116" s="392" t="s">
        <v>455</v>
      </c>
      <c r="C116" s="392" t="s">
        <v>24</v>
      </c>
      <c r="D116" s="392" t="s">
        <v>450</v>
      </c>
      <c r="E116" s="392" t="s">
        <v>14</v>
      </c>
      <c r="F116" s="475">
        <v>36509300.520000003</v>
      </c>
      <c r="G116" s="462">
        <f>'потребность 2023 (5)'!K116</f>
        <v>37205780</v>
      </c>
      <c r="H116" s="460">
        <v>27378183.829999998</v>
      </c>
      <c r="I116" s="462">
        <v>38365000</v>
      </c>
      <c r="J116" s="449">
        <v>42600900</v>
      </c>
      <c r="K116" s="462">
        <f t="shared" si="27"/>
        <v>114.5007576779737</v>
      </c>
      <c r="L116" s="462">
        <f t="shared" si="28"/>
        <v>5395120</v>
      </c>
      <c r="M116" s="449">
        <v>42600900</v>
      </c>
      <c r="N116" s="178">
        <f t="shared" si="26"/>
        <v>0</v>
      </c>
      <c r="O116" s="179">
        <f t="shared" si="29"/>
        <v>5395120</v>
      </c>
    </row>
    <row r="117" spans="1:15" ht="34" outlineLevel="7" x14ac:dyDescent="0.3">
      <c r="A117" s="189" t="s">
        <v>15</v>
      </c>
      <c r="B117" s="392" t="s">
        <v>455</v>
      </c>
      <c r="C117" s="392" t="s">
        <v>24</v>
      </c>
      <c r="D117" s="392" t="s">
        <v>450</v>
      </c>
      <c r="E117" s="392" t="s">
        <v>16</v>
      </c>
      <c r="F117" s="475">
        <v>8100</v>
      </c>
      <c r="G117" s="449">
        <f>G118</f>
        <v>20000</v>
      </c>
      <c r="H117" s="460">
        <v>0</v>
      </c>
      <c r="I117" s="449">
        <f>I118</f>
        <v>20000</v>
      </c>
      <c r="J117" s="449">
        <f>J118</f>
        <v>20000</v>
      </c>
      <c r="K117" s="462">
        <f t="shared" si="27"/>
        <v>100</v>
      </c>
      <c r="L117" s="462">
        <f t="shared" si="28"/>
        <v>0</v>
      </c>
      <c r="M117" s="449">
        <f>M118</f>
        <v>20000</v>
      </c>
      <c r="N117" s="178">
        <f t="shared" si="26"/>
        <v>0</v>
      </c>
      <c r="O117" s="179">
        <f t="shared" si="29"/>
        <v>0</v>
      </c>
    </row>
    <row r="118" spans="1:15" ht="18.350000000000001" customHeight="1" outlineLevel="7" x14ac:dyDescent="0.3">
      <c r="A118" s="189" t="s">
        <v>17</v>
      </c>
      <c r="B118" s="392" t="s">
        <v>455</v>
      </c>
      <c r="C118" s="392" t="s">
        <v>24</v>
      </c>
      <c r="D118" s="392" t="s">
        <v>450</v>
      </c>
      <c r="E118" s="392" t="s">
        <v>18</v>
      </c>
      <c r="F118" s="475">
        <v>8100</v>
      </c>
      <c r="G118" s="462">
        <f>'потребность 2023 (5)'!K118</f>
        <v>20000</v>
      </c>
      <c r="H118" s="460">
        <v>0</v>
      </c>
      <c r="I118" s="462">
        <v>20000</v>
      </c>
      <c r="J118" s="449">
        <v>20000</v>
      </c>
      <c r="K118" s="462">
        <f t="shared" si="27"/>
        <v>100</v>
      </c>
      <c r="L118" s="462">
        <f t="shared" si="28"/>
        <v>0</v>
      </c>
      <c r="M118" s="449">
        <v>20000</v>
      </c>
      <c r="N118" s="178">
        <f t="shared" si="26"/>
        <v>0</v>
      </c>
      <c r="O118" s="179">
        <f t="shared" si="29"/>
        <v>0</v>
      </c>
    </row>
    <row r="119" spans="1:15" ht="38.9" customHeight="1" outlineLevel="7" x14ac:dyDescent="0.3">
      <c r="A119" s="189" t="s">
        <v>620</v>
      </c>
      <c r="B119" s="392" t="s">
        <v>455</v>
      </c>
      <c r="C119" s="392" t="s">
        <v>24</v>
      </c>
      <c r="D119" s="392" t="s">
        <v>618</v>
      </c>
      <c r="E119" s="392" t="s">
        <v>6</v>
      </c>
      <c r="F119" s="471">
        <f>F122+F120</f>
        <v>10742808.52</v>
      </c>
      <c r="G119" s="462">
        <f>G122+G120</f>
        <v>503647.5</v>
      </c>
      <c r="H119" s="460">
        <v>203801.14</v>
      </c>
      <c r="I119" s="462">
        <f>I122+I120</f>
        <v>0</v>
      </c>
      <c r="J119" s="462">
        <f>J122+J120</f>
        <v>0</v>
      </c>
      <c r="K119" s="462">
        <f t="shared" si="27"/>
        <v>0</v>
      </c>
      <c r="L119" s="462">
        <f t="shared" si="28"/>
        <v>-503647.5</v>
      </c>
      <c r="M119" s="462">
        <f>M122+M120</f>
        <v>0</v>
      </c>
      <c r="N119" s="178">
        <f t="shared" si="26"/>
        <v>0</v>
      </c>
      <c r="O119" s="179">
        <f t="shared" si="29"/>
        <v>-503647.5</v>
      </c>
    </row>
    <row r="120" spans="1:15" ht="38.9" customHeight="1" outlineLevel="7" x14ac:dyDescent="0.3">
      <c r="A120" s="189" t="s">
        <v>15</v>
      </c>
      <c r="B120" s="392" t="s">
        <v>455</v>
      </c>
      <c r="C120" s="392" t="s">
        <v>24</v>
      </c>
      <c r="D120" s="392" t="s">
        <v>618</v>
      </c>
      <c r="E120" s="392" t="s">
        <v>16</v>
      </c>
      <c r="F120" s="471">
        <f>F121</f>
        <v>8087150.75</v>
      </c>
      <c r="G120" s="462">
        <f>G121</f>
        <v>484648.5</v>
      </c>
      <c r="H120" s="460">
        <v>198422.14</v>
      </c>
      <c r="I120" s="462">
        <f>I121</f>
        <v>0</v>
      </c>
      <c r="J120" s="462">
        <f>J121</f>
        <v>0</v>
      </c>
      <c r="K120" s="462">
        <f t="shared" si="27"/>
        <v>0</v>
      </c>
      <c r="L120" s="462">
        <f t="shared" si="28"/>
        <v>-484648.5</v>
      </c>
      <c r="M120" s="462">
        <f>M121</f>
        <v>0</v>
      </c>
      <c r="N120" s="178">
        <f t="shared" si="26"/>
        <v>0</v>
      </c>
      <c r="O120" s="179">
        <f t="shared" si="29"/>
        <v>-484648.5</v>
      </c>
    </row>
    <row r="121" spans="1:15" ht="38.9" customHeight="1" outlineLevel="7" x14ac:dyDescent="0.3">
      <c r="A121" s="189" t="s">
        <v>17</v>
      </c>
      <c r="B121" s="392" t="s">
        <v>455</v>
      </c>
      <c r="C121" s="392" t="s">
        <v>24</v>
      </c>
      <c r="D121" s="392" t="s">
        <v>618</v>
      </c>
      <c r="E121" s="392" t="s">
        <v>18</v>
      </c>
      <c r="F121" s="475">
        <v>8087150.75</v>
      </c>
      <c r="G121" s="462">
        <f>14886.27+64260.24+25914.09+93587.9+286000</f>
        <v>484648.5</v>
      </c>
      <c r="H121" s="460">
        <v>198422.14</v>
      </c>
      <c r="I121" s="462">
        <v>0</v>
      </c>
      <c r="J121" s="449"/>
      <c r="K121" s="462">
        <f t="shared" si="27"/>
        <v>0</v>
      </c>
      <c r="L121" s="462">
        <f t="shared" si="28"/>
        <v>-484648.5</v>
      </c>
      <c r="M121" s="449"/>
      <c r="N121" s="178">
        <f t="shared" si="26"/>
        <v>0</v>
      </c>
      <c r="O121" s="179">
        <f t="shared" si="29"/>
        <v>-484648.5</v>
      </c>
    </row>
    <row r="122" spans="1:15" ht="18.350000000000001" customHeight="1" outlineLevel="7" x14ac:dyDescent="0.3">
      <c r="A122" s="189" t="s">
        <v>19</v>
      </c>
      <c r="B122" s="392" t="s">
        <v>455</v>
      </c>
      <c r="C122" s="392" t="s">
        <v>24</v>
      </c>
      <c r="D122" s="392" t="s">
        <v>618</v>
      </c>
      <c r="E122" s="392" t="s">
        <v>20</v>
      </c>
      <c r="F122" s="475">
        <v>2655657.77</v>
      </c>
      <c r="G122" s="462">
        <f>G123+G124</f>
        <v>18999</v>
      </c>
      <c r="H122" s="460">
        <v>5379</v>
      </c>
      <c r="I122" s="462">
        <f>I123+I124</f>
        <v>0</v>
      </c>
      <c r="J122" s="462">
        <f>J123+J124</f>
        <v>0</v>
      </c>
      <c r="K122" s="462">
        <f t="shared" si="27"/>
        <v>0</v>
      </c>
      <c r="L122" s="462">
        <f t="shared" si="28"/>
        <v>-18999</v>
      </c>
      <c r="M122" s="462">
        <f>M123+M124</f>
        <v>0</v>
      </c>
      <c r="N122" s="178">
        <f t="shared" si="26"/>
        <v>0</v>
      </c>
      <c r="O122" s="179">
        <f t="shared" si="29"/>
        <v>-18999</v>
      </c>
    </row>
    <row r="123" spans="1:15" ht="21.25" customHeight="1" outlineLevel="7" x14ac:dyDescent="0.3">
      <c r="A123" s="189" t="s">
        <v>646</v>
      </c>
      <c r="B123" s="392" t="s">
        <v>455</v>
      </c>
      <c r="C123" s="392" t="s">
        <v>24</v>
      </c>
      <c r="D123" s="392" t="s">
        <v>618</v>
      </c>
      <c r="E123" s="392" t="s">
        <v>647</v>
      </c>
      <c r="F123" s="475">
        <v>2655657.77</v>
      </c>
      <c r="G123" s="462">
        <f>2000+1256+2000+3743+10000</f>
        <v>18999</v>
      </c>
      <c r="H123" s="460">
        <v>5379</v>
      </c>
      <c r="I123" s="462">
        <v>0</v>
      </c>
      <c r="J123" s="449"/>
      <c r="K123" s="462">
        <f t="shared" si="27"/>
        <v>0</v>
      </c>
      <c r="L123" s="462">
        <f t="shared" si="28"/>
        <v>-18999</v>
      </c>
      <c r="M123" s="449"/>
      <c r="N123" s="178">
        <f t="shared" si="26"/>
        <v>0</v>
      </c>
      <c r="O123" s="179">
        <f t="shared" si="29"/>
        <v>-18999</v>
      </c>
    </row>
    <row r="124" spans="1:15" ht="19.2" hidden="1" customHeight="1" outlineLevel="7" x14ac:dyDescent="0.3">
      <c r="A124" s="189" t="s">
        <v>619</v>
      </c>
      <c r="B124" s="392" t="s">
        <v>455</v>
      </c>
      <c r="C124" s="392" t="s">
        <v>24</v>
      </c>
      <c r="D124" s="392" t="s">
        <v>618</v>
      </c>
      <c r="E124" s="392" t="s">
        <v>22</v>
      </c>
      <c r="F124" s="462" t="s">
        <v>838</v>
      </c>
      <c r="G124" s="462">
        <f>795959.09-525000-270959.09</f>
        <v>0</v>
      </c>
      <c r="H124" s="462">
        <v>0</v>
      </c>
      <c r="I124" s="462">
        <f>795959.09-525000-270959.09</f>
        <v>0</v>
      </c>
      <c r="J124" s="449"/>
      <c r="K124" s="462" t="e">
        <f t="shared" si="27"/>
        <v>#DIV/0!</v>
      </c>
      <c r="L124" s="462">
        <f t="shared" si="28"/>
        <v>0</v>
      </c>
      <c r="M124" s="449"/>
      <c r="N124" s="178">
        <f t="shared" si="26"/>
        <v>0</v>
      </c>
      <c r="O124" s="179">
        <f t="shared" si="29"/>
        <v>0</v>
      </c>
    </row>
    <row r="125" spans="1:15" ht="40.75" customHeight="1" outlineLevel="7" x14ac:dyDescent="0.3">
      <c r="A125" s="189" t="s">
        <v>458</v>
      </c>
      <c r="B125" s="392" t="s">
        <v>455</v>
      </c>
      <c r="C125" s="392" t="s">
        <v>24</v>
      </c>
      <c r="D125" s="392" t="s">
        <v>457</v>
      </c>
      <c r="E125" s="392" t="s">
        <v>6</v>
      </c>
      <c r="F125" s="475">
        <v>160524.68</v>
      </c>
      <c r="G125" s="449">
        <f t="shared" ref="G125:J126" si="40">G126</f>
        <v>250000</v>
      </c>
      <c r="H125" s="460">
        <v>184393.4</v>
      </c>
      <c r="I125" s="449">
        <f t="shared" si="40"/>
        <v>200000</v>
      </c>
      <c r="J125" s="449">
        <f t="shared" si="40"/>
        <v>250000</v>
      </c>
      <c r="K125" s="462">
        <f t="shared" si="27"/>
        <v>100</v>
      </c>
      <c r="L125" s="462">
        <f t="shared" si="28"/>
        <v>0</v>
      </c>
      <c r="M125" s="449">
        <f t="shared" ref="M125:M126" si="41">M126</f>
        <v>250000</v>
      </c>
      <c r="N125" s="178">
        <f t="shared" si="26"/>
        <v>0</v>
      </c>
      <c r="O125" s="179">
        <f t="shared" si="29"/>
        <v>0</v>
      </c>
    </row>
    <row r="126" spans="1:15" ht="34" outlineLevel="7" x14ac:dyDescent="0.3">
      <c r="A126" s="189" t="s">
        <v>15</v>
      </c>
      <c r="B126" s="392" t="s">
        <v>455</v>
      </c>
      <c r="C126" s="392" t="s">
        <v>24</v>
      </c>
      <c r="D126" s="392" t="s">
        <v>457</v>
      </c>
      <c r="E126" s="392" t="s">
        <v>16</v>
      </c>
      <c r="F126" s="475">
        <v>160524.68</v>
      </c>
      <c r="G126" s="449">
        <f t="shared" si="40"/>
        <v>250000</v>
      </c>
      <c r="H126" s="460">
        <v>184393.4</v>
      </c>
      <c r="I126" s="449">
        <f t="shared" si="40"/>
        <v>200000</v>
      </c>
      <c r="J126" s="449">
        <f t="shared" si="40"/>
        <v>250000</v>
      </c>
      <c r="K126" s="462">
        <f t="shared" si="27"/>
        <v>100</v>
      </c>
      <c r="L126" s="462">
        <f t="shared" si="28"/>
        <v>0</v>
      </c>
      <c r="M126" s="449">
        <f t="shared" si="41"/>
        <v>250000</v>
      </c>
      <c r="N126" s="178">
        <f t="shared" si="26"/>
        <v>0</v>
      </c>
      <c r="O126" s="179">
        <f t="shared" si="29"/>
        <v>0</v>
      </c>
    </row>
    <row r="127" spans="1:15" ht="19.7" customHeight="1" outlineLevel="7" x14ac:dyDescent="0.3">
      <c r="A127" s="189" t="s">
        <v>17</v>
      </c>
      <c r="B127" s="392" t="s">
        <v>455</v>
      </c>
      <c r="C127" s="392" t="s">
        <v>24</v>
      </c>
      <c r="D127" s="392" t="s">
        <v>457</v>
      </c>
      <c r="E127" s="392" t="s">
        <v>18</v>
      </c>
      <c r="F127" s="475">
        <v>160524.68</v>
      </c>
      <c r="G127" s="462">
        <f>'потребность 2023 (5)'!K132+50000</f>
        <v>250000</v>
      </c>
      <c r="H127" s="460">
        <v>184393.4</v>
      </c>
      <c r="I127" s="462">
        <v>200000</v>
      </c>
      <c r="J127" s="449">
        <v>250000</v>
      </c>
      <c r="K127" s="462">
        <f t="shared" si="27"/>
        <v>100</v>
      </c>
      <c r="L127" s="462">
        <f t="shared" si="28"/>
        <v>0</v>
      </c>
      <c r="M127" s="449">
        <v>250000</v>
      </c>
      <c r="N127" s="178">
        <f t="shared" si="26"/>
        <v>0</v>
      </c>
      <c r="O127" s="179">
        <f t="shared" si="29"/>
        <v>0</v>
      </c>
    </row>
    <row r="128" spans="1:15" ht="34" hidden="1" outlineLevel="3" x14ac:dyDescent="0.3">
      <c r="A128" s="189" t="s">
        <v>269</v>
      </c>
      <c r="B128" s="392" t="s">
        <v>455</v>
      </c>
      <c r="C128" s="392" t="s">
        <v>24</v>
      </c>
      <c r="D128" s="392" t="s">
        <v>268</v>
      </c>
      <c r="E128" s="392" t="s">
        <v>6</v>
      </c>
      <c r="F128" s="462"/>
      <c r="G128" s="462"/>
      <c r="H128" s="460"/>
      <c r="I128" s="462"/>
      <c r="J128" s="462">
        <f>J155+J129+J137+J145+J150+J134+J142</f>
        <v>0</v>
      </c>
      <c r="K128" s="462" t="e">
        <f t="shared" si="27"/>
        <v>#DIV/0!</v>
      </c>
      <c r="L128" s="462">
        <f t="shared" si="28"/>
        <v>0</v>
      </c>
      <c r="M128" s="462">
        <f>M155+M129+M137+M145+M150+M134+M142</f>
        <v>0</v>
      </c>
      <c r="N128" s="178">
        <f t="shared" si="26"/>
        <v>0</v>
      </c>
      <c r="O128" s="179">
        <f t="shared" si="29"/>
        <v>0</v>
      </c>
    </row>
    <row r="129" spans="1:15" ht="67.95" hidden="1" customHeight="1" outlineLevel="3" x14ac:dyDescent="0.3">
      <c r="A129" s="185" t="s">
        <v>962</v>
      </c>
      <c r="B129" s="392" t="s">
        <v>455</v>
      </c>
      <c r="C129" s="392" t="s">
        <v>24</v>
      </c>
      <c r="D129" s="392" t="s">
        <v>270</v>
      </c>
      <c r="E129" s="392" t="s">
        <v>6</v>
      </c>
      <c r="F129" s="471"/>
      <c r="G129" s="462">
        <f>G130+G132</f>
        <v>0</v>
      </c>
      <c r="H129" s="460"/>
      <c r="I129" s="462">
        <f>I130+I132</f>
        <v>0</v>
      </c>
      <c r="J129" s="462">
        <f>J130+J132</f>
        <v>0</v>
      </c>
      <c r="K129" s="462" t="e">
        <f t="shared" si="27"/>
        <v>#DIV/0!</v>
      </c>
      <c r="L129" s="462">
        <f t="shared" si="28"/>
        <v>0</v>
      </c>
      <c r="M129" s="462">
        <f>M130+M132</f>
        <v>0</v>
      </c>
      <c r="N129" s="178">
        <f t="shared" si="26"/>
        <v>0</v>
      </c>
      <c r="O129" s="179">
        <f t="shared" si="29"/>
        <v>0</v>
      </c>
    </row>
    <row r="130" spans="1:15" ht="101.9" hidden="1" outlineLevel="3" x14ac:dyDescent="0.3">
      <c r="A130" s="189" t="s">
        <v>11</v>
      </c>
      <c r="B130" s="392" t="s">
        <v>455</v>
      </c>
      <c r="C130" s="392" t="s">
        <v>24</v>
      </c>
      <c r="D130" s="392" t="s">
        <v>270</v>
      </c>
      <c r="E130" s="392" t="s">
        <v>12</v>
      </c>
      <c r="F130" s="471"/>
      <c r="G130" s="462">
        <f>G131</f>
        <v>0</v>
      </c>
      <c r="H130" s="460"/>
      <c r="I130" s="462">
        <f>I131</f>
        <v>0</v>
      </c>
      <c r="J130" s="462">
        <f>J131</f>
        <v>0</v>
      </c>
      <c r="K130" s="462" t="e">
        <f t="shared" si="27"/>
        <v>#DIV/0!</v>
      </c>
      <c r="L130" s="462">
        <f t="shared" si="28"/>
        <v>0</v>
      </c>
      <c r="M130" s="462">
        <f>M131</f>
        <v>0</v>
      </c>
      <c r="N130" s="178">
        <f t="shared" si="26"/>
        <v>0</v>
      </c>
      <c r="O130" s="179">
        <f t="shared" si="29"/>
        <v>0</v>
      </c>
    </row>
    <row r="131" spans="1:15" ht="34" hidden="1" outlineLevel="3" x14ac:dyDescent="0.3">
      <c r="A131" s="189" t="s">
        <v>13</v>
      </c>
      <c r="B131" s="392" t="s">
        <v>455</v>
      </c>
      <c r="C131" s="392" t="s">
        <v>24</v>
      </c>
      <c r="D131" s="392" t="s">
        <v>270</v>
      </c>
      <c r="E131" s="392" t="s">
        <v>14</v>
      </c>
      <c r="F131" s="475"/>
      <c r="G131" s="462">
        <v>0</v>
      </c>
      <c r="H131" s="460"/>
      <c r="I131" s="462">
        <v>0</v>
      </c>
      <c r="J131" s="449"/>
      <c r="K131" s="462" t="e">
        <f t="shared" si="27"/>
        <v>#DIV/0!</v>
      </c>
      <c r="L131" s="462">
        <f t="shared" si="28"/>
        <v>0</v>
      </c>
      <c r="M131" s="449"/>
      <c r="N131" s="178">
        <f t="shared" si="26"/>
        <v>0</v>
      </c>
      <c r="O131" s="179">
        <f t="shared" si="29"/>
        <v>0</v>
      </c>
    </row>
    <row r="132" spans="1:15" ht="41.3" hidden="1" customHeight="1" outlineLevel="7" x14ac:dyDescent="0.3">
      <c r="A132" s="189" t="s">
        <v>15</v>
      </c>
      <c r="B132" s="392" t="s">
        <v>455</v>
      </c>
      <c r="C132" s="392" t="s">
        <v>24</v>
      </c>
      <c r="D132" s="392" t="s">
        <v>270</v>
      </c>
      <c r="E132" s="392" t="s">
        <v>16</v>
      </c>
      <c r="F132" s="475"/>
      <c r="G132" s="462">
        <f>G133</f>
        <v>0</v>
      </c>
      <c r="H132" s="460"/>
      <c r="I132" s="462">
        <f>I133</f>
        <v>0</v>
      </c>
      <c r="J132" s="462">
        <f>J133</f>
        <v>0</v>
      </c>
      <c r="K132" s="462" t="e">
        <f t="shared" si="27"/>
        <v>#DIV/0!</v>
      </c>
      <c r="L132" s="462">
        <f t="shared" si="28"/>
        <v>0</v>
      </c>
      <c r="M132" s="462">
        <f>M133</f>
        <v>0</v>
      </c>
      <c r="N132" s="178">
        <f t="shared" si="26"/>
        <v>0</v>
      </c>
      <c r="O132" s="179">
        <f t="shared" si="29"/>
        <v>0</v>
      </c>
    </row>
    <row r="133" spans="1:15" ht="50.95" hidden="1" outlineLevel="7" x14ac:dyDescent="0.3">
      <c r="A133" s="189" t="s">
        <v>17</v>
      </c>
      <c r="B133" s="392" t="s">
        <v>455</v>
      </c>
      <c r="C133" s="392" t="s">
        <v>24</v>
      </c>
      <c r="D133" s="392" t="s">
        <v>270</v>
      </c>
      <c r="E133" s="392" t="s">
        <v>18</v>
      </c>
      <c r="F133" s="475">
        <v>0</v>
      </c>
      <c r="G133" s="462">
        <v>0</v>
      </c>
      <c r="H133" s="460"/>
      <c r="I133" s="462">
        <v>0</v>
      </c>
      <c r="J133" s="449"/>
      <c r="K133" s="462" t="e">
        <f t="shared" si="27"/>
        <v>#DIV/0!</v>
      </c>
      <c r="L133" s="462">
        <f t="shared" si="28"/>
        <v>0</v>
      </c>
      <c r="M133" s="449"/>
      <c r="N133" s="178">
        <f t="shared" si="26"/>
        <v>0</v>
      </c>
      <c r="O133" s="179">
        <f t="shared" si="29"/>
        <v>0</v>
      </c>
    </row>
    <row r="134" spans="1:15" ht="67.75" hidden="1" customHeight="1" outlineLevel="7" x14ac:dyDescent="0.3">
      <c r="A134" s="202" t="s">
        <v>944</v>
      </c>
      <c r="B134" s="392" t="s">
        <v>455</v>
      </c>
      <c r="C134" s="392" t="s">
        <v>24</v>
      </c>
      <c r="D134" s="392" t="s">
        <v>652</v>
      </c>
      <c r="E134" s="392" t="s">
        <v>6</v>
      </c>
      <c r="F134" s="471"/>
      <c r="G134" s="462"/>
      <c r="H134" s="460"/>
      <c r="I134" s="462"/>
      <c r="J134" s="462">
        <f t="shared" ref="J134:J135" si="42">J135</f>
        <v>0</v>
      </c>
      <c r="K134" s="462" t="e">
        <f t="shared" si="27"/>
        <v>#DIV/0!</v>
      </c>
      <c r="L134" s="462">
        <f t="shared" si="28"/>
        <v>0</v>
      </c>
      <c r="M134" s="462">
        <f t="shared" ref="M134:M135" si="43">M135</f>
        <v>0</v>
      </c>
      <c r="N134" s="178">
        <f t="shared" si="26"/>
        <v>0</v>
      </c>
      <c r="O134" s="179">
        <f t="shared" si="29"/>
        <v>0</v>
      </c>
    </row>
    <row r="135" spans="1:15" ht="34" hidden="1" outlineLevel="7" x14ac:dyDescent="0.3">
      <c r="A135" s="189" t="s">
        <v>13</v>
      </c>
      <c r="B135" s="392" t="s">
        <v>455</v>
      </c>
      <c r="C135" s="392" t="s">
        <v>24</v>
      </c>
      <c r="D135" s="392" t="s">
        <v>652</v>
      </c>
      <c r="E135" s="392" t="s">
        <v>12</v>
      </c>
      <c r="F135" s="471"/>
      <c r="G135" s="462"/>
      <c r="H135" s="460"/>
      <c r="I135" s="462"/>
      <c r="J135" s="462">
        <f t="shared" si="42"/>
        <v>0</v>
      </c>
      <c r="K135" s="462" t="e">
        <f t="shared" si="27"/>
        <v>#DIV/0!</v>
      </c>
      <c r="L135" s="462">
        <f t="shared" si="28"/>
        <v>0</v>
      </c>
      <c r="M135" s="462">
        <f t="shared" si="43"/>
        <v>0</v>
      </c>
      <c r="N135" s="178">
        <f t="shared" si="26"/>
        <v>0</v>
      </c>
      <c r="O135" s="179">
        <f t="shared" si="29"/>
        <v>0</v>
      </c>
    </row>
    <row r="136" spans="1:15" ht="41.45" hidden="1" customHeight="1" outlineLevel="7" x14ac:dyDescent="0.3">
      <c r="A136" s="189" t="s">
        <v>13</v>
      </c>
      <c r="B136" s="392" t="s">
        <v>455</v>
      </c>
      <c r="C136" s="392" t="s">
        <v>24</v>
      </c>
      <c r="D136" s="392" t="s">
        <v>652</v>
      </c>
      <c r="E136" s="392" t="s">
        <v>14</v>
      </c>
      <c r="F136" s="475"/>
      <c r="G136" s="462"/>
      <c r="H136" s="460"/>
      <c r="I136" s="462"/>
      <c r="J136" s="449"/>
      <c r="K136" s="462" t="e">
        <f t="shared" si="27"/>
        <v>#DIV/0!</v>
      </c>
      <c r="L136" s="462">
        <f t="shared" si="28"/>
        <v>0</v>
      </c>
      <c r="M136" s="449"/>
      <c r="N136" s="178">
        <f t="shared" ref="N136:N199" si="44">M136-J136</f>
        <v>0</v>
      </c>
      <c r="O136" s="179">
        <f t="shared" si="29"/>
        <v>0</v>
      </c>
    </row>
    <row r="137" spans="1:15" ht="59.8" hidden="1" customHeight="1" outlineLevel="7" x14ac:dyDescent="0.3">
      <c r="A137" s="202" t="s">
        <v>945</v>
      </c>
      <c r="B137" s="392" t="s">
        <v>455</v>
      </c>
      <c r="C137" s="392" t="s">
        <v>24</v>
      </c>
      <c r="D137" s="392" t="s">
        <v>947</v>
      </c>
      <c r="E137" s="392" t="s">
        <v>6</v>
      </c>
      <c r="F137" s="471"/>
      <c r="G137" s="462"/>
      <c r="H137" s="460"/>
      <c r="I137" s="462"/>
      <c r="J137" s="462">
        <f>J138+J140</f>
        <v>0</v>
      </c>
      <c r="K137" s="462" t="e">
        <f t="shared" ref="K137:K200" si="45">J137/G137*100</f>
        <v>#DIV/0!</v>
      </c>
      <c r="L137" s="462">
        <f t="shared" ref="L137:L200" si="46">J137-G137</f>
        <v>0</v>
      </c>
      <c r="M137" s="462">
        <f>M138+M140</f>
        <v>0</v>
      </c>
      <c r="N137" s="178">
        <f t="shared" si="44"/>
        <v>0</v>
      </c>
      <c r="O137" s="179">
        <f t="shared" ref="O137:O200" si="47">M137-G137</f>
        <v>0</v>
      </c>
    </row>
    <row r="138" spans="1:15" ht="39.75" hidden="1" customHeight="1" outlineLevel="7" x14ac:dyDescent="0.3">
      <c r="A138" s="189" t="s">
        <v>11</v>
      </c>
      <c r="B138" s="392" t="s">
        <v>455</v>
      </c>
      <c r="C138" s="392" t="s">
        <v>24</v>
      </c>
      <c r="D138" s="392" t="s">
        <v>947</v>
      </c>
      <c r="E138" s="392" t="s">
        <v>12</v>
      </c>
      <c r="F138" s="471"/>
      <c r="G138" s="462"/>
      <c r="H138" s="460"/>
      <c r="I138" s="462"/>
      <c r="J138" s="462">
        <f>J139</f>
        <v>0</v>
      </c>
      <c r="K138" s="462" t="e">
        <f t="shared" si="45"/>
        <v>#DIV/0!</v>
      </c>
      <c r="L138" s="462">
        <f t="shared" si="46"/>
        <v>0</v>
      </c>
      <c r="M138" s="462">
        <f>M139</f>
        <v>0</v>
      </c>
      <c r="N138" s="178">
        <f t="shared" si="44"/>
        <v>0</v>
      </c>
      <c r="O138" s="179">
        <f t="shared" si="47"/>
        <v>0</v>
      </c>
    </row>
    <row r="139" spans="1:15" ht="39.75" hidden="1" customHeight="1" outlineLevel="7" x14ac:dyDescent="0.3">
      <c r="A139" s="189" t="s">
        <v>13</v>
      </c>
      <c r="B139" s="392" t="s">
        <v>455</v>
      </c>
      <c r="C139" s="392" t="s">
        <v>24</v>
      </c>
      <c r="D139" s="392" t="s">
        <v>947</v>
      </c>
      <c r="E139" s="392" t="s">
        <v>14</v>
      </c>
      <c r="F139" s="475"/>
      <c r="G139" s="462"/>
      <c r="H139" s="460"/>
      <c r="I139" s="462"/>
      <c r="J139" s="449"/>
      <c r="K139" s="462" t="e">
        <f t="shared" si="45"/>
        <v>#DIV/0!</v>
      </c>
      <c r="L139" s="462">
        <f t="shared" si="46"/>
        <v>0</v>
      </c>
      <c r="M139" s="449"/>
      <c r="N139" s="178">
        <f t="shared" si="44"/>
        <v>0</v>
      </c>
      <c r="O139" s="179">
        <f t="shared" si="47"/>
        <v>0</v>
      </c>
    </row>
    <row r="140" spans="1:15" ht="34" hidden="1" outlineLevel="7" x14ac:dyDescent="0.3">
      <c r="A140" s="189" t="s">
        <v>15</v>
      </c>
      <c r="B140" s="392" t="s">
        <v>455</v>
      </c>
      <c r="C140" s="392" t="s">
        <v>24</v>
      </c>
      <c r="D140" s="392" t="s">
        <v>947</v>
      </c>
      <c r="E140" s="392" t="s">
        <v>16</v>
      </c>
      <c r="F140" s="471"/>
      <c r="G140" s="462"/>
      <c r="H140" s="460"/>
      <c r="I140" s="462"/>
      <c r="J140" s="462">
        <f>J141</f>
        <v>0</v>
      </c>
      <c r="K140" s="462" t="e">
        <f t="shared" si="45"/>
        <v>#DIV/0!</v>
      </c>
      <c r="L140" s="462">
        <f t="shared" si="46"/>
        <v>0</v>
      </c>
      <c r="M140" s="462">
        <f>M141</f>
        <v>0</v>
      </c>
      <c r="N140" s="178">
        <f t="shared" si="44"/>
        <v>0</v>
      </c>
      <c r="O140" s="179">
        <f t="shared" si="47"/>
        <v>0</v>
      </c>
    </row>
    <row r="141" spans="1:15" ht="50.95" hidden="1" outlineLevel="7" x14ac:dyDescent="0.3">
      <c r="A141" s="189" t="s">
        <v>17</v>
      </c>
      <c r="B141" s="392" t="s">
        <v>455</v>
      </c>
      <c r="C141" s="392" t="s">
        <v>24</v>
      </c>
      <c r="D141" s="392" t="s">
        <v>947</v>
      </c>
      <c r="E141" s="392" t="s">
        <v>18</v>
      </c>
      <c r="F141" s="475"/>
      <c r="G141" s="462"/>
      <c r="H141" s="460"/>
      <c r="I141" s="462"/>
      <c r="J141" s="449"/>
      <c r="K141" s="462" t="e">
        <f t="shared" si="45"/>
        <v>#DIV/0!</v>
      </c>
      <c r="L141" s="462">
        <f t="shared" si="46"/>
        <v>0</v>
      </c>
      <c r="M141" s="449"/>
      <c r="N141" s="178">
        <f t="shared" si="44"/>
        <v>0</v>
      </c>
      <c r="O141" s="179">
        <f t="shared" si="47"/>
        <v>0</v>
      </c>
    </row>
    <row r="142" spans="1:15" ht="50.95" hidden="1" outlineLevel="7" x14ac:dyDescent="0.3">
      <c r="A142" s="469" t="s">
        <v>946</v>
      </c>
      <c r="B142" s="392" t="s">
        <v>455</v>
      </c>
      <c r="C142" s="392" t="s">
        <v>24</v>
      </c>
      <c r="D142" s="392" t="s">
        <v>948</v>
      </c>
      <c r="E142" s="392" t="s">
        <v>6</v>
      </c>
      <c r="F142" s="462"/>
      <c r="G142" s="462"/>
      <c r="H142" s="460"/>
      <c r="I142" s="462"/>
      <c r="J142" s="462">
        <f t="shared" ref="J142:J143" si="48">J143</f>
        <v>0</v>
      </c>
      <c r="K142" s="462" t="e">
        <f t="shared" si="45"/>
        <v>#DIV/0!</v>
      </c>
      <c r="L142" s="462">
        <f t="shared" si="46"/>
        <v>0</v>
      </c>
      <c r="M142" s="462">
        <f t="shared" ref="M142:M143" si="49">M143</f>
        <v>0</v>
      </c>
      <c r="N142" s="178">
        <f t="shared" si="44"/>
        <v>0</v>
      </c>
      <c r="O142" s="179">
        <f t="shared" si="47"/>
        <v>0</v>
      </c>
    </row>
    <row r="143" spans="1:15" ht="101.9" hidden="1" outlineLevel="7" x14ac:dyDescent="0.3">
      <c r="A143" s="189" t="s">
        <v>11</v>
      </c>
      <c r="B143" s="392" t="s">
        <v>455</v>
      </c>
      <c r="C143" s="392" t="s">
        <v>24</v>
      </c>
      <c r="D143" s="392" t="s">
        <v>948</v>
      </c>
      <c r="E143" s="392" t="s">
        <v>12</v>
      </c>
      <c r="F143" s="462"/>
      <c r="G143" s="462"/>
      <c r="H143" s="460"/>
      <c r="I143" s="462"/>
      <c r="J143" s="462">
        <f t="shared" si="48"/>
        <v>0</v>
      </c>
      <c r="K143" s="462" t="e">
        <f t="shared" si="45"/>
        <v>#DIV/0!</v>
      </c>
      <c r="L143" s="462">
        <f t="shared" si="46"/>
        <v>0</v>
      </c>
      <c r="M143" s="462">
        <f t="shared" si="49"/>
        <v>0</v>
      </c>
      <c r="N143" s="178">
        <f t="shared" si="44"/>
        <v>0</v>
      </c>
      <c r="O143" s="179">
        <f t="shared" si="47"/>
        <v>0</v>
      </c>
    </row>
    <row r="144" spans="1:15" ht="34" hidden="1" outlineLevel="7" x14ac:dyDescent="0.3">
      <c r="A144" s="189" t="s">
        <v>13</v>
      </c>
      <c r="B144" s="392" t="s">
        <v>455</v>
      </c>
      <c r="C144" s="392" t="s">
        <v>24</v>
      </c>
      <c r="D144" s="392" t="s">
        <v>948</v>
      </c>
      <c r="E144" s="392" t="s">
        <v>14</v>
      </c>
      <c r="F144" s="462"/>
      <c r="G144" s="462"/>
      <c r="H144" s="460"/>
      <c r="I144" s="462"/>
      <c r="J144" s="449"/>
      <c r="K144" s="462" t="e">
        <f t="shared" si="45"/>
        <v>#DIV/0!</v>
      </c>
      <c r="L144" s="462">
        <f t="shared" si="46"/>
        <v>0</v>
      </c>
      <c r="M144" s="449"/>
      <c r="N144" s="178">
        <f t="shared" si="44"/>
        <v>0</v>
      </c>
      <c r="O144" s="179">
        <f t="shared" si="47"/>
        <v>0</v>
      </c>
    </row>
    <row r="145" spans="1:15" ht="38.9" hidden="1" customHeight="1" outlineLevel="7" x14ac:dyDescent="0.3">
      <c r="A145" s="185" t="s">
        <v>939</v>
      </c>
      <c r="B145" s="392" t="s">
        <v>455</v>
      </c>
      <c r="C145" s="392" t="s">
        <v>24</v>
      </c>
      <c r="D145" s="392" t="s">
        <v>271</v>
      </c>
      <c r="E145" s="392" t="s">
        <v>6</v>
      </c>
      <c r="F145" s="471"/>
      <c r="G145" s="462"/>
      <c r="H145" s="460"/>
      <c r="I145" s="462"/>
      <c r="J145" s="462">
        <f>J146+J148</f>
        <v>0</v>
      </c>
      <c r="K145" s="462" t="e">
        <f t="shared" si="45"/>
        <v>#DIV/0!</v>
      </c>
      <c r="L145" s="462">
        <f t="shared" si="46"/>
        <v>0</v>
      </c>
      <c r="M145" s="462">
        <f>M146+M148</f>
        <v>0</v>
      </c>
      <c r="N145" s="178">
        <f t="shared" si="44"/>
        <v>0</v>
      </c>
      <c r="O145" s="179">
        <f t="shared" si="47"/>
        <v>0</v>
      </c>
    </row>
    <row r="146" spans="1:15" ht="101.9" hidden="1" outlineLevel="7" x14ac:dyDescent="0.3">
      <c r="A146" s="189" t="s">
        <v>11</v>
      </c>
      <c r="B146" s="392" t="s">
        <v>455</v>
      </c>
      <c r="C146" s="392" t="s">
        <v>24</v>
      </c>
      <c r="D146" s="392" t="s">
        <v>271</v>
      </c>
      <c r="E146" s="392" t="s">
        <v>12</v>
      </c>
      <c r="F146" s="471"/>
      <c r="G146" s="462"/>
      <c r="H146" s="460"/>
      <c r="I146" s="462"/>
      <c r="J146" s="462">
        <f>J147</f>
        <v>0</v>
      </c>
      <c r="K146" s="462" t="e">
        <f t="shared" si="45"/>
        <v>#DIV/0!</v>
      </c>
      <c r="L146" s="462">
        <f t="shared" si="46"/>
        <v>0</v>
      </c>
      <c r="M146" s="462">
        <f>M147</f>
        <v>0</v>
      </c>
      <c r="N146" s="178">
        <f t="shared" si="44"/>
        <v>0</v>
      </c>
      <c r="O146" s="179">
        <f t="shared" si="47"/>
        <v>0</v>
      </c>
    </row>
    <row r="147" spans="1:15" ht="32.6" hidden="1" customHeight="1" outlineLevel="7" x14ac:dyDescent="0.3">
      <c r="A147" s="189" t="s">
        <v>13</v>
      </c>
      <c r="B147" s="392" t="s">
        <v>455</v>
      </c>
      <c r="C147" s="392" t="s">
        <v>24</v>
      </c>
      <c r="D147" s="392" t="s">
        <v>271</v>
      </c>
      <c r="E147" s="392" t="s">
        <v>14</v>
      </c>
      <c r="F147" s="475"/>
      <c r="G147" s="449"/>
      <c r="H147" s="460"/>
      <c r="I147" s="449"/>
      <c r="J147" s="449"/>
      <c r="K147" s="462" t="e">
        <f t="shared" si="45"/>
        <v>#DIV/0!</v>
      </c>
      <c r="L147" s="462">
        <f t="shared" si="46"/>
        <v>0</v>
      </c>
      <c r="M147" s="449"/>
      <c r="N147" s="178">
        <f t="shared" si="44"/>
        <v>0</v>
      </c>
      <c r="O147" s="179">
        <f t="shared" si="47"/>
        <v>0</v>
      </c>
    </row>
    <row r="148" spans="1:15" ht="45" hidden="1" customHeight="1" outlineLevel="7" x14ac:dyDescent="0.3">
      <c r="A148" s="189" t="s">
        <v>15</v>
      </c>
      <c r="B148" s="392" t="s">
        <v>455</v>
      </c>
      <c r="C148" s="392" t="s">
        <v>24</v>
      </c>
      <c r="D148" s="392" t="s">
        <v>271</v>
      </c>
      <c r="E148" s="392" t="s">
        <v>16</v>
      </c>
      <c r="F148" s="475"/>
      <c r="G148" s="462"/>
      <c r="H148" s="460"/>
      <c r="I148" s="462"/>
      <c r="J148" s="462">
        <f>J149</f>
        <v>0</v>
      </c>
      <c r="K148" s="462" t="e">
        <f t="shared" si="45"/>
        <v>#DIV/0!</v>
      </c>
      <c r="L148" s="462">
        <f t="shared" si="46"/>
        <v>0</v>
      </c>
      <c r="M148" s="462">
        <f>M149</f>
        <v>0</v>
      </c>
      <c r="N148" s="178">
        <f t="shared" si="44"/>
        <v>0</v>
      </c>
      <c r="O148" s="179">
        <f t="shared" si="47"/>
        <v>0</v>
      </c>
    </row>
    <row r="149" spans="1:15" ht="50.95" hidden="1" outlineLevel="7" x14ac:dyDescent="0.3">
      <c r="A149" s="189" t="s">
        <v>17</v>
      </c>
      <c r="B149" s="392" t="s">
        <v>455</v>
      </c>
      <c r="C149" s="392" t="s">
        <v>24</v>
      </c>
      <c r="D149" s="392" t="s">
        <v>271</v>
      </c>
      <c r="E149" s="392" t="s">
        <v>18</v>
      </c>
      <c r="F149" s="475"/>
      <c r="G149" s="462"/>
      <c r="H149" s="460"/>
      <c r="I149" s="462"/>
      <c r="J149" s="449"/>
      <c r="K149" s="462" t="e">
        <f t="shared" si="45"/>
        <v>#DIV/0!</v>
      </c>
      <c r="L149" s="462">
        <f t="shared" si="46"/>
        <v>0</v>
      </c>
      <c r="M149" s="449"/>
      <c r="N149" s="178">
        <f t="shared" si="44"/>
        <v>0</v>
      </c>
      <c r="O149" s="179">
        <f t="shared" si="47"/>
        <v>0</v>
      </c>
    </row>
    <row r="150" spans="1:15" ht="46.55" hidden="1" customHeight="1" outlineLevel="7" x14ac:dyDescent="0.3">
      <c r="A150" s="202" t="s">
        <v>943</v>
      </c>
      <c r="B150" s="392" t="s">
        <v>455</v>
      </c>
      <c r="C150" s="392" t="s">
        <v>24</v>
      </c>
      <c r="D150" s="392" t="s">
        <v>381</v>
      </c>
      <c r="E150" s="392" t="s">
        <v>6</v>
      </c>
      <c r="F150" s="471"/>
      <c r="G150" s="462"/>
      <c r="H150" s="460"/>
      <c r="I150" s="462"/>
      <c r="J150" s="462">
        <f>J151+J153</f>
        <v>0</v>
      </c>
      <c r="K150" s="462" t="e">
        <f t="shared" si="45"/>
        <v>#DIV/0!</v>
      </c>
      <c r="L150" s="462">
        <f t="shared" si="46"/>
        <v>0</v>
      </c>
      <c r="M150" s="462">
        <f>M151+M153</f>
        <v>0</v>
      </c>
      <c r="N150" s="178">
        <f t="shared" si="44"/>
        <v>0</v>
      </c>
      <c r="O150" s="179">
        <f t="shared" si="47"/>
        <v>0</v>
      </c>
    </row>
    <row r="151" spans="1:15" ht="101.9" hidden="1" outlineLevel="7" x14ac:dyDescent="0.3">
      <c r="A151" s="189" t="s">
        <v>11</v>
      </c>
      <c r="B151" s="392" t="s">
        <v>455</v>
      </c>
      <c r="C151" s="392" t="s">
        <v>24</v>
      </c>
      <c r="D151" s="392" t="s">
        <v>381</v>
      </c>
      <c r="E151" s="392" t="s">
        <v>12</v>
      </c>
      <c r="F151" s="471"/>
      <c r="G151" s="462"/>
      <c r="H151" s="460"/>
      <c r="I151" s="462"/>
      <c r="J151" s="462">
        <f>J152</f>
        <v>0</v>
      </c>
      <c r="K151" s="462" t="e">
        <f t="shared" si="45"/>
        <v>#DIV/0!</v>
      </c>
      <c r="L151" s="462">
        <f t="shared" si="46"/>
        <v>0</v>
      </c>
      <c r="M151" s="462">
        <f>M152</f>
        <v>0</v>
      </c>
      <c r="N151" s="178">
        <f t="shared" si="44"/>
        <v>0</v>
      </c>
      <c r="O151" s="179">
        <f t="shared" si="47"/>
        <v>0</v>
      </c>
    </row>
    <row r="152" spans="1:15" ht="21.25" hidden="1" customHeight="1" outlineLevel="7" x14ac:dyDescent="0.3">
      <c r="A152" s="189" t="s">
        <v>13</v>
      </c>
      <c r="B152" s="392" t="s">
        <v>455</v>
      </c>
      <c r="C152" s="392" t="s">
        <v>24</v>
      </c>
      <c r="D152" s="392" t="s">
        <v>381</v>
      </c>
      <c r="E152" s="392" t="s">
        <v>14</v>
      </c>
      <c r="F152" s="475"/>
      <c r="G152" s="462"/>
      <c r="H152" s="460"/>
      <c r="I152" s="462"/>
      <c r="J152" s="449"/>
      <c r="K152" s="462" t="e">
        <f t="shared" si="45"/>
        <v>#DIV/0!</v>
      </c>
      <c r="L152" s="462">
        <f t="shared" si="46"/>
        <v>0</v>
      </c>
      <c r="M152" s="449"/>
      <c r="N152" s="178">
        <f t="shared" si="44"/>
        <v>0</v>
      </c>
      <c r="O152" s="179">
        <f t="shared" si="47"/>
        <v>0</v>
      </c>
    </row>
    <row r="153" spans="1:15" ht="38.25" hidden="1" customHeight="1" outlineLevel="7" x14ac:dyDescent="0.3">
      <c r="A153" s="189" t="s">
        <v>15</v>
      </c>
      <c r="B153" s="392" t="s">
        <v>455</v>
      </c>
      <c r="C153" s="392" t="s">
        <v>24</v>
      </c>
      <c r="D153" s="392" t="s">
        <v>381</v>
      </c>
      <c r="E153" s="392" t="s">
        <v>16</v>
      </c>
      <c r="F153" s="475"/>
      <c r="G153" s="462"/>
      <c r="H153" s="460"/>
      <c r="I153" s="462"/>
      <c r="J153" s="462">
        <f>J154</f>
        <v>0</v>
      </c>
      <c r="K153" s="462" t="e">
        <f t="shared" si="45"/>
        <v>#DIV/0!</v>
      </c>
      <c r="L153" s="462">
        <f t="shared" si="46"/>
        <v>0</v>
      </c>
      <c r="M153" s="462">
        <f>M154</f>
        <v>0</v>
      </c>
      <c r="N153" s="178">
        <f t="shared" si="44"/>
        <v>0</v>
      </c>
      <c r="O153" s="179">
        <f t="shared" si="47"/>
        <v>0</v>
      </c>
    </row>
    <row r="154" spans="1:15" ht="50.95" hidden="1" outlineLevel="7" x14ac:dyDescent="0.3">
      <c r="A154" s="189" t="s">
        <v>17</v>
      </c>
      <c r="B154" s="392" t="s">
        <v>455</v>
      </c>
      <c r="C154" s="392" t="s">
        <v>24</v>
      </c>
      <c r="D154" s="392" t="s">
        <v>381</v>
      </c>
      <c r="E154" s="392" t="s">
        <v>18</v>
      </c>
      <c r="F154" s="475"/>
      <c r="G154" s="462"/>
      <c r="H154" s="460"/>
      <c r="I154" s="462"/>
      <c r="J154" s="449"/>
      <c r="K154" s="462" t="e">
        <f t="shared" si="45"/>
        <v>#DIV/0!</v>
      </c>
      <c r="L154" s="462">
        <f t="shared" si="46"/>
        <v>0</v>
      </c>
      <c r="M154" s="449"/>
      <c r="N154" s="178">
        <f t="shared" si="44"/>
        <v>0</v>
      </c>
      <c r="O154" s="179">
        <f t="shared" si="47"/>
        <v>0</v>
      </c>
    </row>
    <row r="155" spans="1:15" ht="101.25" hidden="1" customHeight="1" outlineLevel="7" x14ac:dyDescent="0.3">
      <c r="A155" s="202" t="s">
        <v>959</v>
      </c>
      <c r="B155" s="392" t="s">
        <v>455</v>
      </c>
      <c r="C155" s="392" t="s">
        <v>24</v>
      </c>
      <c r="D155" s="470" t="s">
        <v>287</v>
      </c>
      <c r="E155" s="392" t="s">
        <v>6</v>
      </c>
      <c r="F155" s="471"/>
      <c r="G155" s="462"/>
      <c r="H155" s="460"/>
      <c r="I155" s="462"/>
      <c r="J155" s="462">
        <f>J156+J158</f>
        <v>0</v>
      </c>
      <c r="K155" s="462" t="e">
        <f t="shared" si="45"/>
        <v>#DIV/0!</v>
      </c>
      <c r="L155" s="462">
        <f t="shared" si="46"/>
        <v>0</v>
      </c>
      <c r="M155" s="462">
        <f>M156+M158</f>
        <v>0</v>
      </c>
      <c r="N155" s="178">
        <f t="shared" si="44"/>
        <v>0</v>
      </c>
      <c r="O155" s="179">
        <f t="shared" si="47"/>
        <v>0</v>
      </c>
    </row>
    <row r="156" spans="1:15" ht="101.9" hidden="1" outlineLevel="7" x14ac:dyDescent="0.3">
      <c r="A156" s="189" t="s">
        <v>11</v>
      </c>
      <c r="B156" s="392" t="s">
        <v>455</v>
      </c>
      <c r="C156" s="392" t="s">
        <v>24</v>
      </c>
      <c r="D156" s="470" t="s">
        <v>287</v>
      </c>
      <c r="E156" s="392" t="s">
        <v>12</v>
      </c>
      <c r="F156" s="471"/>
      <c r="G156" s="462"/>
      <c r="H156" s="460"/>
      <c r="I156" s="462"/>
      <c r="J156" s="462">
        <f>J157</f>
        <v>0</v>
      </c>
      <c r="K156" s="462" t="e">
        <f t="shared" si="45"/>
        <v>#DIV/0!</v>
      </c>
      <c r="L156" s="462">
        <f t="shared" si="46"/>
        <v>0</v>
      </c>
      <c r="M156" s="462">
        <f>M157</f>
        <v>0</v>
      </c>
      <c r="N156" s="178">
        <f t="shared" si="44"/>
        <v>0</v>
      </c>
      <c r="O156" s="179">
        <f t="shared" si="47"/>
        <v>0</v>
      </c>
    </row>
    <row r="157" spans="1:15" ht="19.55" hidden="1" customHeight="1" outlineLevel="7" x14ac:dyDescent="0.3">
      <c r="A157" s="189" t="s">
        <v>13</v>
      </c>
      <c r="B157" s="392" t="s">
        <v>455</v>
      </c>
      <c r="C157" s="392" t="s">
        <v>24</v>
      </c>
      <c r="D157" s="470" t="s">
        <v>287</v>
      </c>
      <c r="E157" s="392" t="s">
        <v>14</v>
      </c>
      <c r="F157" s="475"/>
      <c r="G157" s="462"/>
      <c r="H157" s="460"/>
      <c r="I157" s="462"/>
      <c r="J157" s="449"/>
      <c r="K157" s="462" t="e">
        <f t="shared" si="45"/>
        <v>#DIV/0!</v>
      </c>
      <c r="L157" s="462">
        <f t="shared" si="46"/>
        <v>0</v>
      </c>
      <c r="M157" s="449"/>
      <c r="N157" s="178">
        <f t="shared" si="44"/>
        <v>0</v>
      </c>
      <c r="O157" s="179">
        <f t="shared" si="47"/>
        <v>0</v>
      </c>
    </row>
    <row r="158" spans="1:15" ht="46.55" hidden="1" customHeight="1" outlineLevel="3" x14ac:dyDescent="0.3">
      <c r="A158" s="189" t="s">
        <v>15</v>
      </c>
      <c r="B158" s="392" t="s">
        <v>455</v>
      </c>
      <c r="C158" s="392" t="s">
        <v>24</v>
      </c>
      <c r="D158" s="470" t="s">
        <v>287</v>
      </c>
      <c r="E158" s="392" t="s">
        <v>16</v>
      </c>
      <c r="F158" s="475"/>
      <c r="G158" s="462"/>
      <c r="H158" s="460"/>
      <c r="I158" s="462"/>
      <c r="J158" s="462">
        <f>J159</f>
        <v>0</v>
      </c>
      <c r="K158" s="462" t="e">
        <f t="shared" si="45"/>
        <v>#DIV/0!</v>
      </c>
      <c r="L158" s="462">
        <f t="shared" si="46"/>
        <v>0</v>
      </c>
      <c r="M158" s="462">
        <f>M159</f>
        <v>0</v>
      </c>
      <c r="N158" s="178">
        <f t="shared" si="44"/>
        <v>0</v>
      </c>
      <c r="O158" s="179">
        <f t="shared" si="47"/>
        <v>0</v>
      </c>
    </row>
    <row r="159" spans="1:15" ht="50.95" hidden="1" outlineLevel="3" x14ac:dyDescent="0.3">
      <c r="A159" s="189" t="s">
        <v>17</v>
      </c>
      <c r="B159" s="392" t="s">
        <v>455</v>
      </c>
      <c r="C159" s="392" t="s">
        <v>24</v>
      </c>
      <c r="D159" s="470" t="s">
        <v>287</v>
      </c>
      <c r="E159" s="392" t="s">
        <v>18</v>
      </c>
      <c r="F159" s="475"/>
      <c r="G159" s="462"/>
      <c r="H159" s="460"/>
      <c r="I159" s="462"/>
      <c r="J159" s="449"/>
      <c r="K159" s="462" t="e">
        <f t="shared" si="45"/>
        <v>#DIV/0!</v>
      </c>
      <c r="L159" s="462">
        <f t="shared" si="46"/>
        <v>0</v>
      </c>
      <c r="M159" s="449"/>
      <c r="N159" s="178">
        <f t="shared" si="44"/>
        <v>0</v>
      </c>
      <c r="O159" s="179">
        <f t="shared" si="47"/>
        <v>0</v>
      </c>
    </row>
    <row r="160" spans="1:15" ht="23.1" customHeight="1" outlineLevel="3" x14ac:dyDescent="0.3">
      <c r="A160" s="233" t="s">
        <v>525</v>
      </c>
      <c r="B160" s="397" t="s">
        <v>455</v>
      </c>
      <c r="C160" s="397" t="s">
        <v>26</v>
      </c>
      <c r="D160" s="397" t="s">
        <v>126</v>
      </c>
      <c r="E160" s="397" t="s">
        <v>6</v>
      </c>
      <c r="F160" s="471">
        <f t="shared" ref="F160:J165" si="50">F161</f>
        <v>221108.82</v>
      </c>
      <c r="G160" s="462">
        <f t="shared" si="50"/>
        <v>270000</v>
      </c>
      <c r="H160" s="460">
        <v>1265582.6100000001</v>
      </c>
      <c r="I160" s="462">
        <f t="shared" si="50"/>
        <v>280000</v>
      </c>
      <c r="J160" s="462">
        <f t="shared" si="50"/>
        <v>270000</v>
      </c>
      <c r="K160" s="462">
        <f t="shared" si="45"/>
        <v>100</v>
      </c>
      <c r="L160" s="462">
        <f t="shared" si="46"/>
        <v>0</v>
      </c>
      <c r="M160" s="462">
        <f t="shared" ref="M160:M165" si="51">M161</f>
        <v>270000</v>
      </c>
      <c r="N160" s="178">
        <f t="shared" si="44"/>
        <v>0</v>
      </c>
      <c r="O160" s="179">
        <f t="shared" si="47"/>
        <v>0</v>
      </c>
    </row>
    <row r="161" spans="1:15" ht="23.8" customHeight="1" outlineLevel="3" x14ac:dyDescent="0.3">
      <c r="A161" s="189" t="s">
        <v>526</v>
      </c>
      <c r="B161" s="392" t="s">
        <v>455</v>
      </c>
      <c r="C161" s="392" t="s">
        <v>527</v>
      </c>
      <c r="D161" s="392" t="s">
        <v>126</v>
      </c>
      <c r="E161" s="392" t="s">
        <v>6</v>
      </c>
      <c r="F161" s="471">
        <f t="shared" si="50"/>
        <v>221108.82</v>
      </c>
      <c r="G161" s="462">
        <f t="shared" si="50"/>
        <v>270000</v>
      </c>
      <c r="H161" s="460">
        <v>1265582.6100000001</v>
      </c>
      <c r="I161" s="462">
        <f t="shared" si="50"/>
        <v>280000</v>
      </c>
      <c r="J161" s="462">
        <f t="shared" si="50"/>
        <v>270000</v>
      </c>
      <c r="K161" s="462">
        <f t="shared" si="45"/>
        <v>100</v>
      </c>
      <c r="L161" s="462">
        <f t="shared" si="46"/>
        <v>0</v>
      </c>
      <c r="M161" s="462">
        <f t="shared" si="51"/>
        <v>270000</v>
      </c>
      <c r="N161" s="178">
        <f t="shared" si="44"/>
        <v>0</v>
      </c>
      <c r="O161" s="179">
        <f t="shared" si="47"/>
        <v>0</v>
      </c>
    </row>
    <row r="162" spans="1:15" ht="38.9" customHeight="1" outlineLevel="3" x14ac:dyDescent="0.3">
      <c r="A162" s="189" t="s">
        <v>132</v>
      </c>
      <c r="B162" s="392" t="s">
        <v>455</v>
      </c>
      <c r="C162" s="392" t="s">
        <v>527</v>
      </c>
      <c r="D162" s="392" t="s">
        <v>127</v>
      </c>
      <c r="E162" s="392" t="s">
        <v>6</v>
      </c>
      <c r="F162" s="471">
        <f>F163+F169</f>
        <v>221108.82</v>
      </c>
      <c r="G162" s="462">
        <f>G163+G167</f>
        <v>270000</v>
      </c>
      <c r="H162" s="460">
        <v>1265582.6100000001</v>
      </c>
      <c r="I162" s="462">
        <f>I163+I167</f>
        <v>280000</v>
      </c>
      <c r="J162" s="462">
        <f>J163+J167</f>
        <v>270000</v>
      </c>
      <c r="K162" s="462">
        <f t="shared" si="45"/>
        <v>100</v>
      </c>
      <c r="L162" s="462">
        <f t="shared" si="46"/>
        <v>0</v>
      </c>
      <c r="M162" s="462">
        <f>M163+M167</f>
        <v>270000</v>
      </c>
      <c r="N162" s="178">
        <f t="shared" si="44"/>
        <v>0</v>
      </c>
      <c r="O162" s="179">
        <f t="shared" si="47"/>
        <v>0</v>
      </c>
    </row>
    <row r="163" spans="1:15" ht="19.55" hidden="1" customHeight="1" outlineLevel="3" x14ac:dyDescent="0.3">
      <c r="A163" s="189" t="s">
        <v>269</v>
      </c>
      <c r="B163" s="392" t="s">
        <v>455</v>
      </c>
      <c r="C163" s="392" t="s">
        <v>527</v>
      </c>
      <c r="D163" s="392" t="s">
        <v>268</v>
      </c>
      <c r="E163" s="392" t="s">
        <v>6</v>
      </c>
      <c r="F163" s="471">
        <f t="shared" si="50"/>
        <v>0</v>
      </c>
      <c r="G163" s="462">
        <f t="shared" si="50"/>
        <v>0</v>
      </c>
      <c r="H163" s="460"/>
      <c r="I163" s="462">
        <f t="shared" si="50"/>
        <v>0</v>
      </c>
      <c r="J163" s="462">
        <f t="shared" si="50"/>
        <v>0</v>
      </c>
      <c r="K163" s="462" t="e">
        <f t="shared" si="45"/>
        <v>#DIV/0!</v>
      </c>
      <c r="L163" s="462">
        <f t="shared" si="46"/>
        <v>0</v>
      </c>
      <c r="M163" s="462">
        <f t="shared" si="51"/>
        <v>0</v>
      </c>
      <c r="N163" s="178">
        <f t="shared" si="44"/>
        <v>0</v>
      </c>
      <c r="O163" s="179">
        <f t="shared" si="47"/>
        <v>0</v>
      </c>
    </row>
    <row r="164" spans="1:15" ht="55.2" hidden="1" customHeight="1" outlineLevel="3" x14ac:dyDescent="0.3">
      <c r="A164" s="189" t="s">
        <v>960</v>
      </c>
      <c r="B164" s="392" t="s">
        <v>455</v>
      </c>
      <c r="C164" s="392" t="s">
        <v>527</v>
      </c>
      <c r="D164" s="392" t="s">
        <v>529</v>
      </c>
      <c r="E164" s="392" t="s">
        <v>6</v>
      </c>
      <c r="F164" s="471">
        <v>0</v>
      </c>
      <c r="G164" s="462">
        <f t="shared" si="50"/>
        <v>0</v>
      </c>
      <c r="H164" s="460"/>
      <c r="I164" s="462">
        <f t="shared" si="50"/>
        <v>0</v>
      </c>
      <c r="J164" s="462">
        <f t="shared" si="50"/>
        <v>0</v>
      </c>
      <c r="K164" s="462" t="e">
        <f t="shared" si="45"/>
        <v>#DIV/0!</v>
      </c>
      <c r="L164" s="462">
        <f t="shared" si="46"/>
        <v>0</v>
      </c>
      <c r="M164" s="462">
        <f t="shared" si="51"/>
        <v>0</v>
      </c>
      <c r="N164" s="178">
        <f t="shared" si="44"/>
        <v>0</v>
      </c>
      <c r="O164" s="179">
        <f t="shared" si="47"/>
        <v>0</v>
      </c>
    </row>
    <row r="165" spans="1:15" ht="101.9" hidden="1" outlineLevel="3" x14ac:dyDescent="0.3">
      <c r="A165" s="189" t="s">
        <v>11</v>
      </c>
      <c r="B165" s="392" t="s">
        <v>455</v>
      </c>
      <c r="C165" s="392" t="s">
        <v>527</v>
      </c>
      <c r="D165" s="392" t="s">
        <v>529</v>
      </c>
      <c r="E165" s="392" t="s">
        <v>12</v>
      </c>
      <c r="F165" s="471">
        <f t="shared" si="50"/>
        <v>0</v>
      </c>
      <c r="G165" s="462">
        <f t="shared" si="50"/>
        <v>0</v>
      </c>
      <c r="H165" s="460"/>
      <c r="I165" s="462">
        <f t="shared" si="50"/>
        <v>0</v>
      </c>
      <c r="J165" s="462">
        <f t="shared" si="50"/>
        <v>0</v>
      </c>
      <c r="K165" s="462" t="e">
        <f t="shared" si="45"/>
        <v>#DIV/0!</v>
      </c>
      <c r="L165" s="462">
        <f t="shared" si="46"/>
        <v>0</v>
      </c>
      <c r="M165" s="462">
        <f t="shared" si="51"/>
        <v>0</v>
      </c>
      <c r="N165" s="178">
        <f t="shared" si="44"/>
        <v>0</v>
      </c>
      <c r="O165" s="179">
        <f t="shared" si="47"/>
        <v>0</v>
      </c>
    </row>
    <row r="166" spans="1:15" ht="34" hidden="1" outlineLevel="3" x14ac:dyDescent="0.3">
      <c r="A166" s="189" t="s">
        <v>13</v>
      </c>
      <c r="B166" s="392" t="s">
        <v>455</v>
      </c>
      <c r="C166" s="392" t="s">
        <v>527</v>
      </c>
      <c r="D166" s="392" t="s">
        <v>529</v>
      </c>
      <c r="E166" s="392" t="s">
        <v>14</v>
      </c>
      <c r="F166" s="471">
        <v>0</v>
      </c>
      <c r="G166" s="462">
        <v>0</v>
      </c>
      <c r="H166" s="460"/>
      <c r="I166" s="462"/>
      <c r="J166" s="449"/>
      <c r="K166" s="462" t="e">
        <f t="shared" si="45"/>
        <v>#DIV/0!</v>
      </c>
      <c r="L166" s="462">
        <f t="shared" si="46"/>
        <v>0</v>
      </c>
      <c r="M166" s="449"/>
      <c r="N166" s="178">
        <f t="shared" si="44"/>
        <v>0</v>
      </c>
      <c r="O166" s="179">
        <f t="shared" si="47"/>
        <v>0</v>
      </c>
    </row>
    <row r="167" spans="1:15" ht="67.95" outlineLevel="3" x14ac:dyDescent="0.3">
      <c r="A167" s="189" t="s">
        <v>654</v>
      </c>
      <c r="B167" s="392" t="s">
        <v>455</v>
      </c>
      <c r="C167" s="392" t="s">
        <v>527</v>
      </c>
      <c r="D167" s="392" t="s">
        <v>659</v>
      </c>
      <c r="E167" s="392" t="s">
        <v>6</v>
      </c>
      <c r="F167" s="471">
        <f>F168</f>
        <v>221108.82</v>
      </c>
      <c r="G167" s="462">
        <f t="shared" ref="G167:J168" si="52">G168</f>
        <v>270000</v>
      </c>
      <c r="H167" s="460"/>
      <c r="I167" s="462">
        <f t="shared" si="52"/>
        <v>280000</v>
      </c>
      <c r="J167" s="462">
        <f t="shared" si="52"/>
        <v>270000</v>
      </c>
      <c r="K167" s="462">
        <f t="shared" si="45"/>
        <v>100</v>
      </c>
      <c r="L167" s="462">
        <f t="shared" si="46"/>
        <v>0</v>
      </c>
      <c r="M167" s="462">
        <f t="shared" ref="M167:M168" si="53">M168</f>
        <v>270000</v>
      </c>
      <c r="N167" s="178">
        <f t="shared" si="44"/>
        <v>0</v>
      </c>
      <c r="O167" s="179">
        <f t="shared" si="47"/>
        <v>0</v>
      </c>
    </row>
    <row r="168" spans="1:15" ht="101.9" outlineLevel="3" x14ac:dyDescent="0.3">
      <c r="A168" s="189" t="s">
        <v>11</v>
      </c>
      <c r="B168" s="392" t="s">
        <v>455</v>
      </c>
      <c r="C168" s="392" t="s">
        <v>527</v>
      </c>
      <c r="D168" s="392" t="s">
        <v>659</v>
      </c>
      <c r="E168" s="392" t="s">
        <v>12</v>
      </c>
      <c r="F168" s="471">
        <f>F169</f>
        <v>221108.82</v>
      </c>
      <c r="G168" s="462">
        <f t="shared" si="52"/>
        <v>270000</v>
      </c>
      <c r="H168" s="460"/>
      <c r="I168" s="462">
        <f t="shared" si="52"/>
        <v>280000</v>
      </c>
      <c r="J168" s="462">
        <f t="shared" si="52"/>
        <v>270000</v>
      </c>
      <c r="K168" s="462">
        <f t="shared" si="45"/>
        <v>100</v>
      </c>
      <c r="L168" s="462">
        <f t="shared" si="46"/>
        <v>0</v>
      </c>
      <c r="M168" s="462">
        <f t="shared" si="53"/>
        <v>270000</v>
      </c>
      <c r="N168" s="178">
        <f t="shared" si="44"/>
        <v>0</v>
      </c>
      <c r="O168" s="179">
        <f t="shared" si="47"/>
        <v>0</v>
      </c>
    </row>
    <row r="169" spans="1:15" ht="34" outlineLevel="3" x14ac:dyDescent="0.3">
      <c r="A169" s="189" t="s">
        <v>13</v>
      </c>
      <c r="B169" s="392" t="s">
        <v>455</v>
      </c>
      <c r="C169" s="392" t="s">
        <v>527</v>
      </c>
      <c r="D169" s="392" t="s">
        <v>659</v>
      </c>
      <c r="E169" s="392" t="s">
        <v>14</v>
      </c>
      <c r="F169" s="471">
        <v>221108.82</v>
      </c>
      <c r="G169" s="462">
        <f>'потребность 2023 (5)'!K171</f>
        <v>270000</v>
      </c>
      <c r="H169" s="460"/>
      <c r="I169" s="462">
        <v>280000</v>
      </c>
      <c r="J169" s="449">
        <v>270000</v>
      </c>
      <c r="K169" s="462">
        <f t="shared" si="45"/>
        <v>100</v>
      </c>
      <c r="L169" s="462">
        <f t="shared" si="46"/>
        <v>0</v>
      </c>
      <c r="M169" s="449">
        <v>270000</v>
      </c>
      <c r="N169" s="178">
        <f t="shared" si="44"/>
        <v>0</v>
      </c>
      <c r="O169" s="179">
        <f t="shared" si="47"/>
        <v>0</v>
      </c>
    </row>
    <row r="170" spans="1:15" ht="34" outlineLevel="3" x14ac:dyDescent="0.3">
      <c r="A170" s="233" t="s">
        <v>41</v>
      </c>
      <c r="B170" s="397" t="s">
        <v>455</v>
      </c>
      <c r="C170" s="397" t="s">
        <v>42</v>
      </c>
      <c r="D170" s="397" t="s">
        <v>126</v>
      </c>
      <c r="E170" s="397" t="s">
        <v>6</v>
      </c>
      <c r="F170" s="473">
        <f>F171+F176</f>
        <v>585000</v>
      </c>
      <c r="G170" s="465">
        <f>G171+G176</f>
        <v>805000</v>
      </c>
      <c r="H170" s="460"/>
      <c r="I170" s="465">
        <f>I171+I176</f>
        <v>805000</v>
      </c>
      <c r="J170" s="465">
        <f>J171+J176</f>
        <v>3612945</v>
      </c>
      <c r="K170" s="462">
        <f t="shared" si="45"/>
        <v>448.81304347826091</v>
      </c>
      <c r="L170" s="462">
        <f t="shared" si="46"/>
        <v>2807945</v>
      </c>
      <c r="M170" s="465">
        <f>M171+M176</f>
        <v>2612945</v>
      </c>
      <c r="N170" s="178">
        <f t="shared" si="44"/>
        <v>-1000000</v>
      </c>
      <c r="O170" s="179">
        <f t="shared" si="47"/>
        <v>1807945</v>
      </c>
    </row>
    <row r="171" spans="1:15" ht="50.95" outlineLevel="3" x14ac:dyDescent="0.3">
      <c r="A171" s="189" t="s">
        <v>43</v>
      </c>
      <c r="B171" s="392" t="s">
        <v>455</v>
      </c>
      <c r="C171" s="392" t="s">
        <v>44</v>
      </c>
      <c r="D171" s="392" t="s">
        <v>126</v>
      </c>
      <c r="E171" s="392" t="s">
        <v>6</v>
      </c>
      <c r="F171" s="471">
        <f t="shared" ref="F171:J174" si="54">F172</f>
        <v>0</v>
      </c>
      <c r="G171" s="462">
        <f t="shared" si="54"/>
        <v>200000</v>
      </c>
      <c r="H171" s="460">
        <v>0</v>
      </c>
      <c r="I171" s="462">
        <f t="shared" si="54"/>
        <v>200000</v>
      </c>
      <c r="J171" s="462">
        <f t="shared" si="54"/>
        <v>200000</v>
      </c>
      <c r="K171" s="462">
        <f t="shared" si="45"/>
        <v>100</v>
      </c>
      <c r="L171" s="462">
        <f t="shared" si="46"/>
        <v>0</v>
      </c>
      <c r="M171" s="462">
        <f t="shared" ref="M171:M174" si="55">M172</f>
        <v>200000</v>
      </c>
      <c r="N171" s="178">
        <f t="shared" si="44"/>
        <v>0</v>
      </c>
      <c r="O171" s="179">
        <f t="shared" si="47"/>
        <v>0</v>
      </c>
    </row>
    <row r="172" spans="1:15" ht="34" outlineLevel="3" x14ac:dyDescent="0.3">
      <c r="A172" s="189" t="s">
        <v>132</v>
      </c>
      <c r="B172" s="392" t="s">
        <v>455</v>
      </c>
      <c r="C172" s="392" t="s">
        <v>44</v>
      </c>
      <c r="D172" s="392" t="s">
        <v>127</v>
      </c>
      <c r="E172" s="392" t="s">
        <v>6</v>
      </c>
      <c r="F172" s="471">
        <f t="shared" si="54"/>
        <v>0</v>
      </c>
      <c r="G172" s="462">
        <f t="shared" si="54"/>
        <v>200000</v>
      </c>
      <c r="H172" s="460">
        <v>0</v>
      </c>
      <c r="I172" s="462">
        <f t="shared" si="54"/>
        <v>200000</v>
      </c>
      <c r="J172" s="462">
        <f t="shared" si="54"/>
        <v>200000</v>
      </c>
      <c r="K172" s="462">
        <f t="shared" si="45"/>
        <v>100</v>
      </c>
      <c r="L172" s="462">
        <f t="shared" si="46"/>
        <v>0</v>
      </c>
      <c r="M172" s="462">
        <f t="shared" si="55"/>
        <v>200000</v>
      </c>
      <c r="N172" s="178">
        <f t="shared" si="44"/>
        <v>0</v>
      </c>
      <c r="O172" s="179">
        <f t="shared" si="47"/>
        <v>0</v>
      </c>
    </row>
    <row r="173" spans="1:15" s="224" customFormat="1" ht="50.95" outlineLevel="1" x14ac:dyDescent="0.3">
      <c r="A173" s="189" t="s">
        <v>45</v>
      </c>
      <c r="B173" s="392" t="s">
        <v>455</v>
      </c>
      <c r="C173" s="392" t="s">
        <v>44</v>
      </c>
      <c r="D173" s="392" t="s">
        <v>133</v>
      </c>
      <c r="E173" s="392" t="s">
        <v>6</v>
      </c>
      <c r="F173" s="471">
        <f t="shared" si="54"/>
        <v>0</v>
      </c>
      <c r="G173" s="462">
        <f t="shared" si="54"/>
        <v>200000</v>
      </c>
      <c r="H173" s="460">
        <v>0</v>
      </c>
      <c r="I173" s="462">
        <f t="shared" si="54"/>
        <v>200000</v>
      </c>
      <c r="J173" s="462">
        <f t="shared" si="54"/>
        <v>200000</v>
      </c>
      <c r="K173" s="462">
        <f t="shared" si="45"/>
        <v>100</v>
      </c>
      <c r="L173" s="462">
        <f t="shared" si="46"/>
        <v>0</v>
      </c>
      <c r="M173" s="462">
        <f t="shared" si="55"/>
        <v>200000</v>
      </c>
      <c r="N173" s="178">
        <f t="shared" si="44"/>
        <v>0</v>
      </c>
      <c r="O173" s="179">
        <f t="shared" si="47"/>
        <v>0</v>
      </c>
    </row>
    <row r="174" spans="1:15" ht="34" outlineLevel="2" x14ac:dyDescent="0.3">
      <c r="A174" s="189" t="s">
        <v>15</v>
      </c>
      <c r="B174" s="392" t="s">
        <v>455</v>
      </c>
      <c r="C174" s="392" t="s">
        <v>44</v>
      </c>
      <c r="D174" s="392" t="s">
        <v>133</v>
      </c>
      <c r="E174" s="392" t="s">
        <v>16</v>
      </c>
      <c r="F174" s="471">
        <f t="shared" si="54"/>
        <v>0</v>
      </c>
      <c r="G174" s="462">
        <f t="shared" si="54"/>
        <v>200000</v>
      </c>
      <c r="H174" s="460">
        <v>0</v>
      </c>
      <c r="I174" s="462">
        <f t="shared" si="54"/>
        <v>200000</v>
      </c>
      <c r="J174" s="462">
        <f t="shared" si="54"/>
        <v>200000</v>
      </c>
      <c r="K174" s="462">
        <f t="shared" si="45"/>
        <v>100</v>
      </c>
      <c r="L174" s="462">
        <f t="shared" si="46"/>
        <v>0</v>
      </c>
      <c r="M174" s="462">
        <f t="shared" si="55"/>
        <v>200000</v>
      </c>
      <c r="N174" s="178">
        <f t="shared" si="44"/>
        <v>0</v>
      </c>
      <c r="O174" s="179">
        <f t="shared" si="47"/>
        <v>0</v>
      </c>
    </row>
    <row r="175" spans="1:15" ht="50.95" outlineLevel="4" x14ac:dyDescent="0.3">
      <c r="A175" s="189" t="s">
        <v>17</v>
      </c>
      <c r="B175" s="392" t="s">
        <v>455</v>
      </c>
      <c r="C175" s="392" t="s">
        <v>44</v>
      </c>
      <c r="D175" s="392" t="s">
        <v>133</v>
      </c>
      <c r="E175" s="392" t="s">
        <v>18</v>
      </c>
      <c r="F175" s="471">
        <v>0</v>
      </c>
      <c r="G175" s="462">
        <f>'потребность 2023 (5)'!K177</f>
        <v>200000</v>
      </c>
      <c r="H175" s="460">
        <v>0</v>
      </c>
      <c r="I175" s="462">
        <v>200000</v>
      </c>
      <c r="J175" s="449">
        <v>200000</v>
      </c>
      <c r="K175" s="462">
        <f t="shared" si="45"/>
        <v>100</v>
      </c>
      <c r="L175" s="462">
        <f t="shared" si="46"/>
        <v>0</v>
      </c>
      <c r="M175" s="449">
        <v>200000</v>
      </c>
      <c r="N175" s="178">
        <f t="shared" si="44"/>
        <v>0</v>
      </c>
      <c r="O175" s="179">
        <f t="shared" si="47"/>
        <v>0</v>
      </c>
    </row>
    <row r="176" spans="1:15" outlineLevel="5" x14ac:dyDescent="0.3">
      <c r="A176" s="189" t="s">
        <v>459</v>
      </c>
      <c r="B176" s="392" t="s">
        <v>455</v>
      </c>
      <c r="C176" s="392" t="s">
        <v>460</v>
      </c>
      <c r="D176" s="392" t="s">
        <v>126</v>
      </c>
      <c r="E176" s="392" t="s">
        <v>6</v>
      </c>
      <c r="F176" s="471">
        <f t="shared" ref="F176:J179" si="56">F177</f>
        <v>585000</v>
      </c>
      <c r="G176" s="462">
        <f t="shared" si="56"/>
        <v>605000</v>
      </c>
      <c r="H176" s="460">
        <v>8776.2000000000007</v>
      </c>
      <c r="I176" s="462">
        <f t="shared" si="56"/>
        <v>605000</v>
      </c>
      <c r="J176" s="462">
        <f t="shared" si="56"/>
        <v>3412945</v>
      </c>
      <c r="K176" s="462">
        <f t="shared" si="45"/>
        <v>564.1231404958678</v>
      </c>
      <c r="L176" s="462">
        <f t="shared" si="46"/>
        <v>2807945</v>
      </c>
      <c r="M176" s="462">
        <f t="shared" ref="M176:M179" si="57">M177</f>
        <v>2412945</v>
      </c>
      <c r="N176" s="178">
        <f t="shared" si="44"/>
        <v>-1000000</v>
      </c>
      <c r="O176" s="179">
        <f t="shared" si="47"/>
        <v>1807945</v>
      </c>
    </row>
    <row r="177" spans="1:15" ht="34" outlineLevel="6" x14ac:dyDescent="0.3">
      <c r="A177" s="189" t="s">
        <v>132</v>
      </c>
      <c r="B177" s="392" t="s">
        <v>455</v>
      </c>
      <c r="C177" s="392" t="s">
        <v>460</v>
      </c>
      <c r="D177" s="392" t="s">
        <v>127</v>
      </c>
      <c r="E177" s="392" t="s">
        <v>6</v>
      </c>
      <c r="F177" s="471">
        <f t="shared" si="56"/>
        <v>585000</v>
      </c>
      <c r="G177" s="462">
        <f t="shared" si="56"/>
        <v>605000</v>
      </c>
      <c r="H177" s="460">
        <v>8776.2000000000007</v>
      </c>
      <c r="I177" s="462">
        <f t="shared" si="56"/>
        <v>605000</v>
      </c>
      <c r="J177" s="462">
        <f t="shared" si="56"/>
        <v>3412945</v>
      </c>
      <c r="K177" s="462">
        <f t="shared" si="45"/>
        <v>564.1231404958678</v>
      </c>
      <c r="L177" s="462">
        <f t="shared" si="46"/>
        <v>2807945</v>
      </c>
      <c r="M177" s="462">
        <f t="shared" si="57"/>
        <v>2412945</v>
      </c>
      <c r="N177" s="178">
        <f t="shared" si="44"/>
        <v>-1000000</v>
      </c>
      <c r="O177" s="179">
        <f t="shared" si="47"/>
        <v>1807945</v>
      </c>
    </row>
    <row r="178" spans="1:15" ht="38.049999999999997" customHeight="1" outlineLevel="7" x14ac:dyDescent="0.3">
      <c r="A178" s="189" t="s">
        <v>461</v>
      </c>
      <c r="B178" s="392" t="s">
        <v>455</v>
      </c>
      <c r="C178" s="392" t="s">
        <v>460</v>
      </c>
      <c r="D178" s="392" t="s">
        <v>617</v>
      </c>
      <c r="E178" s="392" t="s">
        <v>6</v>
      </c>
      <c r="F178" s="471">
        <f t="shared" si="56"/>
        <v>585000</v>
      </c>
      <c r="G178" s="462">
        <f t="shared" si="56"/>
        <v>605000</v>
      </c>
      <c r="H178" s="460">
        <v>8776.2000000000007</v>
      </c>
      <c r="I178" s="462">
        <f t="shared" si="56"/>
        <v>605000</v>
      </c>
      <c r="J178" s="462">
        <f t="shared" si="56"/>
        <v>3412945</v>
      </c>
      <c r="K178" s="462">
        <f t="shared" si="45"/>
        <v>564.1231404958678</v>
      </c>
      <c r="L178" s="462">
        <f t="shared" si="46"/>
        <v>2807945</v>
      </c>
      <c r="M178" s="462">
        <f t="shared" si="57"/>
        <v>2412945</v>
      </c>
      <c r="N178" s="178">
        <f t="shared" si="44"/>
        <v>-1000000</v>
      </c>
      <c r="O178" s="179">
        <f t="shared" si="47"/>
        <v>1807945</v>
      </c>
    </row>
    <row r="179" spans="1:15" ht="20.25" customHeight="1" outlineLevel="7" x14ac:dyDescent="0.3">
      <c r="A179" s="189" t="s">
        <v>15</v>
      </c>
      <c r="B179" s="392" t="s">
        <v>455</v>
      </c>
      <c r="C179" s="392" t="s">
        <v>460</v>
      </c>
      <c r="D179" s="392" t="s">
        <v>617</v>
      </c>
      <c r="E179" s="392" t="s">
        <v>16</v>
      </c>
      <c r="F179" s="471">
        <f t="shared" si="56"/>
        <v>585000</v>
      </c>
      <c r="G179" s="462">
        <f t="shared" si="56"/>
        <v>605000</v>
      </c>
      <c r="H179" s="460">
        <v>8776.2000000000007</v>
      </c>
      <c r="I179" s="462">
        <f t="shared" si="56"/>
        <v>605000</v>
      </c>
      <c r="J179" s="462">
        <f t="shared" si="56"/>
        <v>3412945</v>
      </c>
      <c r="K179" s="462">
        <f t="shared" si="45"/>
        <v>564.1231404958678</v>
      </c>
      <c r="L179" s="462">
        <f t="shared" si="46"/>
        <v>2807945</v>
      </c>
      <c r="M179" s="462">
        <f t="shared" si="57"/>
        <v>2412945</v>
      </c>
      <c r="N179" s="178">
        <f t="shared" si="44"/>
        <v>-1000000</v>
      </c>
      <c r="O179" s="179">
        <f t="shared" si="47"/>
        <v>1807945</v>
      </c>
    </row>
    <row r="180" spans="1:15" ht="50.95" outlineLevel="7" x14ac:dyDescent="0.3">
      <c r="A180" s="189" t="s">
        <v>17</v>
      </c>
      <c r="B180" s="392" t="s">
        <v>455</v>
      </c>
      <c r="C180" s="392" t="s">
        <v>460</v>
      </c>
      <c r="D180" s="392" t="s">
        <v>617</v>
      </c>
      <c r="E180" s="392" t="s">
        <v>18</v>
      </c>
      <c r="F180" s="471">
        <v>585000</v>
      </c>
      <c r="G180" s="462">
        <f>'потребность 2023 (5)'!K182</f>
        <v>605000</v>
      </c>
      <c r="H180" s="460">
        <v>8776.2000000000007</v>
      </c>
      <c r="I180" s="462">
        <f>1605000-1000000</f>
        <v>605000</v>
      </c>
      <c r="J180" s="449">
        <v>3412945</v>
      </c>
      <c r="K180" s="462">
        <f t="shared" si="45"/>
        <v>564.1231404958678</v>
      </c>
      <c r="L180" s="462">
        <f t="shared" si="46"/>
        <v>2807945</v>
      </c>
      <c r="M180" s="449">
        <f>3412945-1000000</f>
        <v>2412945</v>
      </c>
      <c r="N180" s="178">
        <f t="shared" si="44"/>
        <v>-1000000</v>
      </c>
      <c r="O180" s="510">
        <f t="shared" si="47"/>
        <v>1807945</v>
      </c>
    </row>
    <row r="181" spans="1:15" ht="20.25" customHeight="1" outlineLevel="7" x14ac:dyDescent="0.3">
      <c r="A181" s="233" t="s">
        <v>119</v>
      </c>
      <c r="B181" s="397" t="s">
        <v>455</v>
      </c>
      <c r="C181" s="397" t="s">
        <v>46</v>
      </c>
      <c r="D181" s="397" t="s">
        <v>126</v>
      </c>
      <c r="E181" s="397" t="s">
        <v>6</v>
      </c>
      <c r="F181" s="465">
        <f>F202+F188+F214+F182</f>
        <v>24449397.420000002</v>
      </c>
      <c r="G181" s="465">
        <f>G202+G188+G214+G182</f>
        <v>23536279.5</v>
      </c>
      <c r="H181" s="460">
        <v>10391993.369999999</v>
      </c>
      <c r="I181" s="465">
        <f>I202+I188+I214+I182</f>
        <v>14696000</v>
      </c>
      <c r="J181" s="465">
        <f>J202+J188+J214+J182</f>
        <v>19284000</v>
      </c>
      <c r="K181" s="462">
        <f t="shared" si="45"/>
        <v>81.933085473428363</v>
      </c>
      <c r="L181" s="462">
        <f t="shared" si="46"/>
        <v>-4252279.5</v>
      </c>
      <c r="M181" s="465">
        <f>M202+M188+M214+M182</f>
        <v>16625000</v>
      </c>
      <c r="N181" s="178">
        <f t="shared" si="44"/>
        <v>-2659000</v>
      </c>
      <c r="O181" s="179">
        <f t="shared" si="47"/>
        <v>-6911279.5</v>
      </c>
    </row>
    <row r="182" spans="1:15" hidden="1" outlineLevel="7" x14ac:dyDescent="0.3">
      <c r="A182" s="189" t="s">
        <v>121</v>
      </c>
      <c r="B182" s="392" t="s">
        <v>455</v>
      </c>
      <c r="C182" s="392" t="s">
        <v>122</v>
      </c>
      <c r="D182" s="392" t="s">
        <v>126</v>
      </c>
      <c r="E182" s="392" t="s">
        <v>6</v>
      </c>
      <c r="F182" s="471">
        <f>F183</f>
        <v>0</v>
      </c>
      <c r="G182" s="462">
        <f>G183</f>
        <v>0</v>
      </c>
      <c r="H182" s="460">
        <v>0</v>
      </c>
      <c r="I182" s="462">
        <f>I183</f>
        <v>0</v>
      </c>
      <c r="J182" s="462">
        <f>J183</f>
        <v>0</v>
      </c>
      <c r="K182" s="462" t="e">
        <f t="shared" si="45"/>
        <v>#DIV/0!</v>
      </c>
      <c r="L182" s="462">
        <f t="shared" si="46"/>
        <v>0</v>
      </c>
      <c r="M182" s="462">
        <f>M183</f>
        <v>0</v>
      </c>
      <c r="N182" s="178">
        <f t="shared" si="44"/>
        <v>0</v>
      </c>
      <c r="O182" s="179">
        <f t="shared" si="47"/>
        <v>0</v>
      </c>
    </row>
    <row r="183" spans="1:15" ht="34" hidden="1" outlineLevel="7" x14ac:dyDescent="0.3">
      <c r="A183" s="233" t="s">
        <v>132</v>
      </c>
      <c r="B183" s="392" t="s">
        <v>455</v>
      </c>
      <c r="C183" s="397" t="s">
        <v>122</v>
      </c>
      <c r="D183" s="397" t="s">
        <v>127</v>
      </c>
      <c r="E183" s="397" t="s">
        <v>6</v>
      </c>
      <c r="F183" s="473">
        <f>F185</f>
        <v>0</v>
      </c>
      <c r="G183" s="465">
        <f>G185</f>
        <v>0</v>
      </c>
      <c r="H183" s="460">
        <v>0</v>
      </c>
      <c r="I183" s="465">
        <f>I185</f>
        <v>0</v>
      </c>
      <c r="J183" s="465">
        <f>J185</f>
        <v>0</v>
      </c>
      <c r="K183" s="462" t="e">
        <f t="shared" si="45"/>
        <v>#DIV/0!</v>
      </c>
      <c r="L183" s="462">
        <f t="shared" si="46"/>
        <v>0</v>
      </c>
      <c r="M183" s="465">
        <f>M185</f>
        <v>0</v>
      </c>
      <c r="N183" s="178">
        <f t="shared" si="44"/>
        <v>0</v>
      </c>
      <c r="O183" s="179">
        <f t="shared" si="47"/>
        <v>0</v>
      </c>
    </row>
    <row r="184" spans="1:15" s="224" customFormat="1" ht="34" hidden="1" outlineLevel="7" x14ac:dyDescent="0.3">
      <c r="A184" s="189" t="s">
        <v>269</v>
      </c>
      <c r="B184" s="392" t="s">
        <v>455</v>
      </c>
      <c r="C184" s="392" t="s">
        <v>122</v>
      </c>
      <c r="D184" s="392" t="s">
        <v>268</v>
      </c>
      <c r="E184" s="392" t="s">
        <v>6</v>
      </c>
      <c r="F184" s="471">
        <f t="shared" ref="F184:J186" si="58">F185</f>
        <v>0</v>
      </c>
      <c r="G184" s="462">
        <f t="shared" si="58"/>
        <v>0</v>
      </c>
      <c r="H184" s="460">
        <v>0</v>
      </c>
      <c r="I184" s="462">
        <f t="shared" si="58"/>
        <v>0</v>
      </c>
      <c r="J184" s="462">
        <f t="shared" si="58"/>
        <v>0</v>
      </c>
      <c r="K184" s="462" t="e">
        <f t="shared" si="45"/>
        <v>#DIV/0!</v>
      </c>
      <c r="L184" s="462">
        <f t="shared" si="46"/>
        <v>0</v>
      </c>
      <c r="M184" s="462">
        <f t="shared" ref="M184:M186" si="59">M185</f>
        <v>0</v>
      </c>
      <c r="N184" s="178">
        <f t="shared" si="44"/>
        <v>0</v>
      </c>
      <c r="O184" s="179">
        <f t="shared" si="47"/>
        <v>0</v>
      </c>
    </row>
    <row r="185" spans="1:15" ht="64.2" hidden="1" customHeight="1" outlineLevel="7" x14ac:dyDescent="0.3">
      <c r="A185" s="202" t="s">
        <v>933</v>
      </c>
      <c r="B185" s="392" t="s">
        <v>455</v>
      </c>
      <c r="C185" s="392" t="s">
        <v>122</v>
      </c>
      <c r="D185" s="392" t="s">
        <v>278</v>
      </c>
      <c r="E185" s="392" t="s">
        <v>6</v>
      </c>
      <c r="F185" s="471">
        <f t="shared" si="58"/>
        <v>0</v>
      </c>
      <c r="G185" s="462">
        <f t="shared" si="58"/>
        <v>0</v>
      </c>
      <c r="H185" s="460">
        <v>0</v>
      </c>
      <c r="I185" s="462">
        <f t="shared" si="58"/>
        <v>0</v>
      </c>
      <c r="J185" s="462">
        <f t="shared" si="58"/>
        <v>0</v>
      </c>
      <c r="K185" s="462" t="e">
        <f t="shared" si="45"/>
        <v>#DIV/0!</v>
      </c>
      <c r="L185" s="462">
        <f t="shared" si="46"/>
        <v>0</v>
      </c>
      <c r="M185" s="462">
        <f t="shared" si="59"/>
        <v>0</v>
      </c>
      <c r="N185" s="178">
        <f t="shared" si="44"/>
        <v>0</v>
      </c>
      <c r="O185" s="179">
        <f t="shared" si="47"/>
        <v>0</v>
      </c>
    </row>
    <row r="186" spans="1:15" ht="34" hidden="1" outlineLevel="7" x14ac:dyDescent="0.3">
      <c r="A186" s="189" t="s">
        <v>15</v>
      </c>
      <c r="B186" s="392" t="s">
        <v>455</v>
      </c>
      <c r="C186" s="392" t="s">
        <v>122</v>
      </c>
      <c r="D186" s="392" t="s">
        <v>278</v>
      </c>
      <c r="E186" s="392" t="s">
        <v>16</v>
      </c>
      <c r="F186" s="471">
        <f t="shared" si="58"/>
        <v>0</v>
      </c>
      <c r="G186" s="462">
        <f t="shared" si="58"/>
        <v>0</v>
      </c>
      <c r="H186" s="460">
        <v>0</v>
      </c>
      <c r="I186" s="462">
        <f t="shared" si="58"/>
        <v>0</v>
      </c>
      <c r="J186" s="462">
        <f t="shared" si="58"/>
        <v>0</v>
      </c>
      <c r="K186" s="462" t="e">
        <f t="shared" si="45"/>
        <v>#DIV/0!</v>
      </c>
      <c r="L186" s="462">
        <f t="shared" si="46"/>
        <v>0</v>
      </c>
      <c r="M186" s="462">
        <f t="shared" si="59"/>
        <v>0</v>
      </c>
      <c r="N186" s="178">
        <f t="shared" si="44"/>
        <v>0</v>
      </c>
      <c r="O186" s="179">
        <f t="shared" si="47"/>
        <v>0</v>
      </c>
    </row>
    <row r="187" spans="1:15" ht="50.95" hidden="1" outlineLevel="7" x14ac:dyDescent="0.3">
      <c r="A187" s="189" t="s">
        <v>17</v>
      </c>
      <c r="B187" s="392" t="s">
        <v>455</v>
      </c>
      <c r="C187" s="392" t="s">
        <v>122</v>
      </c>
      <c r="D187" s="392" t="s">
        <v>278</v>
      </c>
      <c r="E187" s="392" t="s">
        <v>18</v>
      </c>
      <c r="F187" s="475">
        <v>0</v>
      </c>
      <c r="G187" s="462">
        <v>0</v>
      </c>
      <c r="H187" s="460">
        <v>0</v>
      </c>
      <c r="I187" s="462">
        <v>0</v>
      </c>
      <c r="J187" s="449"/>
      <c r="K187" s="462" t="e">
        <f t="shared" si="45"/>
        <v>#DIV/0!</v>
      </c>
      <c r="L187" s="462">
        <f t="shared" si="46"/>
        <v>0</v>
      </c>
      <c r="M187" s="449"/>
      <c r="N187" s="178">
        <f t="shared" si="44"/>
        <v>0</v>
      </c>
      <c r="O187" s="179">
        <f t="shared" si="47"/>
        <v>0</v>
      </c>
    </row>
    <row r="188" spans="1:15" outlineLevel="7" x14ac:dyDescent="0.3">
      <c r="A188" s="189" t="s">
        <v>282</v>
      </c>
      <c r="B188" s="392" t="s">
        <v>455</v>
      </c>
      <c r="C188" s="392" t="s">
        <v>283</v>
      </c>
      <c r="D188" s="392" t="s">
        <v>126</v>
      </c>
      <c r="E188" s="392" t="s">
        <v>6</v>
      </c>
      <c r="F188" s="462">
        <f>F189+F194</f>
        <v>0</v>
      </c>
      <c r="G188" s="462">
        <f>G189+G194</f>
        <v>1485000</v>
      </c>
      <c r="H188" s="460">
        <v>530832.76</v>
      </c>
      <c r="I188" s="462">
        <f>I189+I194</f>
        <v>100000</v>
      </c>
      <c r="J188" s="462">
        <f>J189+J194</f>
        <v>3784000</v>
      </c>
      <c r="K188" s="462">
        <f t="shared" si="45"/>
        <v>254.81481481481484</v>
      </c>
      <c r="L188" s="462">
        <f t="shared" si="46"/>
        <v>2299000</v>
      </c>
      <c r="M188" s="462">
        <f>M189+M194</f>
        <v>1400000</v>
      </c>
      <c r="N188" s="178">
        <f t="shared" si="44"/>
        <v>-2384000</v>
      </c>
      <c r="O188" s="179">
        <f t="shared" si="47"/>
        <v>-85000</v>
      </c>
    </row>
    <row r="189" spans="1:15" ht="34" hidden="1" outlineLevel="7" x14ac:dyDescent="0.3">
      <c r="A189" s="189" t="s">
        <v>132</v>
      </c>
      <c r="B189" s="392" t="s">
        <v>455</v>
      </c>
      <c r="C189" s="392" t="s">
        <v>283</v>
      </c>
      <c r="D189" s="392" t="s">
        <v>127</v>
      </c>
      <c r="E189" s="392" t="s">
        <v>6</v>
      </c>
      <c r="F189" s="471">
        <f>F190</f>
        <v>0</v>
      </c>
      <c r="G189" s="462">
        <f>G191</f>
        <v>0</v>
      </c>
      <c r="H189" s="460">
        <v>530832.76</v>
      </c>
      <c r="I189" s="462">
        <f>I191</f>
        <v>0</v>
      </c>
      <c r="J189" s="462">
        <f>J191</f>
        <v>0</v>
      </c>
      <c r="K189" s="462" t="e">
        <f t="shared" si="45"/>
        <v>#DIV/0!</v>
      </c>
      <c r="L189" s="462">
        <f t="shared" si="46"/>
        <v>0</v>
      </c>
      <c r="M189" s="462">
        <f>M191</f>
        <v>0</v>
      </c>
      <c r="N189" s="178">
        <f t="shared" si="44"/>
        <v>0</v>
      </c>
      <c r="O189" s="179">
        <f t="shared" si="47"/>
        <v>0</v>
      </c>
    </row>
    <row r="190" spans="1:15" ht="20.25" hidden="1" customHeight="1" outlineLevel="7" x14ac:dyDescent="0.3">
      <c r="A190" s="189" t="s">
        <v>269</v>
      </c>
      <c r="B190" s="392" t="s">
        <v>455</v>
      </c>
      <c r="C190" s="392" t="s">
        <v>283</v>
      </c>
      <c r="D190" s="392" t="s">
        <v>268</v>
      </c>
      <c r="E190" s="392" t="s">
        <v>6</v>
      </c>
      <c r="F190" s="471">
        <f>F192</f>
        <v>0</v>
      </c>
      <c r="G190" s="462">
        <f t="shared" ref="G190:J192" si="60">G191</f>
        <v>0</v>
      </c>
      <c r="H190" s="460">
        <v>530832.76</v>
      </c>
      <c r="I190" s="462">
        <f t="shared" si="60"/>
        <v>0</v>
      </c>
      <c r="J190" s="462">
        <f t="shared" si="60"/>
        <v>0</v>
      </c>
      <c r="K190" s="462" t="e">
        <f t="shared" si="45"/>
        <v>#DIV/0!</v>
      </c>
      <c r="L190" s="462">
        <f t="shared" si="46"/>
        <v>0</v>
      </c>
      <c r="M190" s="462">
        <f t="shared" ref="M190:M192" si="61">M191</f>
        <v>0</v>
      </c>
      <c r="N190" s="178">
        <f t="shared" si="44"/>
        <v>0</v>
      </c>
      <c r="O190" s="179">
        <f t="shared" si="47"/>
        <v>0</v>
      </c>
    </row>
    <row r="191" spans="1:15" ht="62.5" hidden="1" customHeight="1" outlineLevel="7" x14ac:dyDescent="0.3">
      <c r="A191" s="185" t="s">
        <v>940</v>
      </c>
      <c r="B191" s="392" t="s">
        <v>455</v>
      </c>
      <c r="C191" s="392" t="s">
        <v>283</v>
      </c>
      <c r="D191" s="392" t="s">
        <v>364</v>
      </c>
      <c r="E191" s="392" t="s">
        <v>6</v>
      </c>
      <c r="F191" s="471">
        <f t="shared" ref="F191:F193" si="62">F192</f>
        <v>0</v>
      </c>
      <c r="G191" s="462">
        <f t="shared" si="60"/>
        <v>0</v>
      </c>
      <c r="H191" s="460">
        <v>0</v>
      </c>
      <c r="I191" s="462">
        <f t="shared" si="60"/>
        <v>0</v>
      </c>
      <c r="J191" s="462">
        <f t="shared" si="60"/>
        <v>0</v>
      </c>
      <c r="K191" s="462" t="e">
        <f t="shared" si="45"/>
        <v>#DIV/0!</v>
      </c>
      <c r="L191" s="462">
        <f t="shared" si="46"/>
        <v>0</v>
      </c>
      <c r="M191" s="462">
        <f t="shared" si="61"/>
        <v>0</v>
      </c>
      <c r="N191" s="178">
        <f t="shared" si="44"/>
        <v>0</v>
      </c>
      <c r="O191" s="179">
        <f t="shared" si="47"/>
        <v>0</v>
      </c>
    </row>
    <row r="192" spans="1:15" ht="34" hidden="1" outlineLevel="7" x14ac:dyDescent="0.3">
      <c r="A192" s="189" t="s">
        <v>15</v>
      </c>
      <c r="B192" s="392" t="s">
        <v>455</v>
      </c>
      <c r="C192" s="392" t="s">
        <v>283</v>
      </c>
      <c r="D192" s="392" t="s">
        <v>364</v>
      </c>
      <c r="E192" s="392" t="s">
        <v>16</v>
      </c>
      <c r="F192" s="471">
        <f t="shared" si="62"/>
        <v>0</v>
      </c>
      <c r="G192" s="462">
        <f t="shared" si="60"/>
        <v>0</v>
      </c>
      <c r="H192" s="460">
        <v>0</v>
      </c>
      <c r="I192" s="462">
        <f t="shared" si="60"/>
        <v>0</v>
      </c>
      <c r="J192" s="462">
        <f t="shared" si="60"/>
        <v>0</v>
      </c>
      <c r="K192" s="462" t="e">
        <f t="shared" si="45"/>
        <v>#DIV/0!</v>
      </c>
      <c r="L192" s="462">
        <f t="shared" si="46"/>
        <v>0</v>
      </c>
      <c r="M192" s="462">
        <f t="shared" si="61"/>
        <v>0</v>
      </c>
      <c r="N192" s="178">
        <f t="shared" si="44"/>
        <v>0</v>
      </c>
      <c r="O192" s="179">
        <f t="shared" si="47"/>
        <v>0</v>
      </c>
    </row>
    <row r="193" spans="1:15" s="224" customFormat="1" ht="50.95" hidden="1" outlineLevel="7" x14ac:dyDescent="0.3">
      <c r="A193" s="189" t="s">
        <v>17</v>
      </c>
      <c r="B193" s="392" t="s">
        <v>455</v>
      </c>
      <c r="C193" s="392" t="s">
        <v>283</v>
      </c>
      <c r="D193" s="392" t="s">
        <v>364</v>
      </c>
      <c r="E193" s="392" t="s">
        <v>18</v>
      </c>
      <c r="F193" s="471">
        <f t="shared" si="62"/>
        <v>0</v>
      </c>
      <c r="G193" s="449"/>
      <c r="H193" s="460">
        <v>0</v>
      </c>
      <c r="I193" s="449">
        <v>0</v>
      </c>
      <c r="J193" s="467"/>
      <c r="K193" s="462" t="e">
        <f t="shared" si="45"/>
        <v>#DIV/0!</v>
      </c>
      <c r="L193" s="462">
        <f t="shared" si="46"/>
        <v>0</v>
      </c>
      <c r="M193" s="467"/>
      <c r="N193" s="178">
        <f t="shared" si="44"/>
        <v>0</v>
      </c>
      <c r="O193" s="179">
        <f t="shared" si="47"/>
        <v>0</v>
      </c>
    </row>
    <row r="194" spans="1:15" s="224" customFormat="1" ht="67.95" outlineLevel="7" x14ac:dyDescent="0.3">
      <c r="A194" s="472" t="s">
        <v>716</v>
      </c>
      <c r="B194" s="392" t="s">
        <v>455</v>
      </c>
      <c r="C194" s="392" t="s">
        <v>283</v>
      </c>
      <c r="D194" s="392" t="s">
        <v>308</v>
      </c>
      <c r="E194" s="392" t="s">
        <v>6</v>
      </c>
      <c r="F194" s="475">
        <v>0</v>
      </c>
      <c r="G194" s="449">
        <f>G195</f>
        <v>1485000</v>
      </c>
      <c r="H194" s="460">
        <v>530832.76</v>
      </c>
      <c r="I194" s="449">
        <f>I195</f>
        <v>100000</v>
      </c>
      <c r="J194" s="449">
        <f>J195</f>
        <v>3784000</v>
      </c>
      <c r="K194" s="462">
        <f t="shared" si="45"/>
        <v>254.81481481481484</v>
      </c>
      <c r="L194" s="462">
        <f t="shared" si="46"/>
        <v>2299000</v>
      </c>
      <c r="M194" s="449">
        <f>M195</f>
        <v>1400000</v>
      </c>
      <c r="N194" s="178">
        <f t="shared" si="44"/>
        <v>-2384000</v>
      </c>
      <c r="O194" s="179">
        <f t="shared" si="47"/>
        <v>-85000</v>
      </c>
    </row>
    <row r="195" spans="1:15" s="224" customFormat="1" ht="38.9" customHeight="1" outlineLevel="7" x14ac:dyDescent="0.3">
      <c r="A195" s="312" t="s">
        <v>711</v>
      </c>
      <c r="B195" s="392" t="s">
        <v>455</v>
      </c>
      <c r="C195" s="392" t="s">
        <v>283</v>
      </c>
      <c r="D195" s="392" t="s">
        <v>712</v>
      </c>
      <c r="E195" s="392" t="s">
        <v>6</v>
      </c>
      <c r="F195" s="462" t="s">
        <v>838</v>
      </c>
      <c r="G195" s="449">
        <f>G196+G199</f>
        <v>1485000</v>
      </c>
      <c r="H195" s="460">
        <v>530832.76</v>
      </c>
      <c r="I195" s="449">
        <f>I196+I199</f>
        <v>100000</v>
      </c>
      <c r="J195" s="449">
        <f>J196+J199</f>
        <v>3784000</v>
      </c>
      <c r="K195" s="462">
        <f t="shared" si="45"/>
        <v>254.81481481481484</v>
      </c>
      <c r="L195" s="462">
        <f t="shared" si="46"/>
        <v>2299000</v>
      </c>
      <c r="M195" s="449">
        <f>M196+M199</f>
        <v>1400000</v>
      </c>
      <c r="N195" s="178">
        <f t="shared" si="44"/>
        <v>-2384000</v>
      </c>
      <c r="O195" s="179">
        <f t="shared" si="47"/>
        <v>-85000</v>
      </c>
    </row>
    <row r="196" spans="1:15" s="224" customFormat="1" ht="37.4" hidden="1" customHeight="1" outlineLevel="7" x14ac:dyDescent="0.3">
      <c r="A196" s="312" t="s">
        <v>688</v>
      </c>
      <c r="B196" s="392" t="s">
        <v>455</v>
      </c>
      <c r="C196" s="392" t="s">
        <v>283</v>
      </c>
      <c r="D196" s="392" t="s">
        <v>713</v>
      </c>
      <c r="E196" s="392" t="s">
        <v>6</v>
      </c>
      <c r="F196" s="462" t="s">
        <v>838</v>
      </c>
      <c r="G196" s="449">
        <f t="shared" ref="G196:J197" si="63">G197</f>
        <v>0</v>
      </c>
      <c r="H196" s="224">
        <v>0</v>
      </c>
      <c r="I196" s="449">
        <f t="shared" si="63"/>
        <v>100000</v>
      </c>
      <c r="J196" s="449">
        <f t="shared" si="63"/>
        <v>0</v>
      </c>
      <c r="K196" s="462" t="e">
        <f t="shared" si="45"/>
        <v>#DIV/0!</v>
      </c>
      <c r="L196" s="462">
        <f t="shared" si="46"/>
        <v>0</v>
      </c>
      <c r="M196" s="449">
        <f t="shared" ref="M196:M197" si="64">M197</f>
        <v>0</v>
      </c>
      <c r="N196" s="178">
        <f t="shared" si="44"/>
        <v>0</v>
      </c>
      <c r="O196" s="179">
        <f t="shared" si="47"/>
        <v>0</v>
      </c>
    </row>
    <row r="197" spans="1:15" s="224" customFormat="1" ht="42.8" hidden="1" customHeight="1" outlineLevel="7" x14ac:dyDescent="0.3">
      <c r="A197" s="312" t="s">
        <v>19</v>
      </c>
      <c r="B197" s="392" t="s">
        <v>455</v>
      </c>
      <c r="C197" s="392" t="s">
        <v>283</v>
      </c>
      <c r="D197" s="392" t="s">
        <v>713</v>
      </c>
      <c r="E197" s="392" t="s">
        <v>20</v>
      </c>
      <c r="F197" s="462" t="s">
        <v>838</v>
      </c>
      <c r="G197" s="449">
        <f t="shared" si="63"/>
        <v>0</v>
      </c>
      <c r="H197" s="460">
        <v>0</v>
      </c>
      <c r="I197" s="449">
        <f t="shared" si="63"/>
        <v>100000</v>
      </c>
      <c r="J197" s="449">
        <f t="shared" si="63"/>
        <v>0</v>
      </c>
      <c r="K197" s="462" t="e">
        <f t="shared" si="45"/>
        <v>#DIV/0!</v>
      </c>
      <c r="L197" s="462">
        <f t="shared" si="46"/>
        <v>0</v>
      </c>
      <c r="M197" s="449">
        <f t="shared" si="64"/>
        <v>0</v>
      </c>
      <c r="N197" s="178">
        <f t="shared" si="44"/>
        <v>0</v>
      </c>
      <c r="O197" s="179">
        <f t="shared" si="47"/>
        <v>0</v>
      </c>
    </row>
    <row r="198" spans="1:15" s="224" customFormat="1" ht="67.75" hidden="1" customHeight="1" outlineLevel="7" x14ac:dyDescent="0.3">
      <c r="A198" s="189" t="s">
        <v>963</v>
      </c>
      <c r="B198" s="392" t="s">
        <v>455</v>
      </c>
      <c r="C198" s="392" t="s">
        <v>283</v>
      </c>
      <c r="D198" s="392" t="s">
        <v>713</v>
      </c>
      <c r="E198" s="392" t="s">
        <v>48</v>
      </c>
      <c r="F198" s="462" t="s">
        <v>838</v>
      </c>
      <c r="G198" s="449">
        <f>'потребность 2023 (5)'!K200+1385000-1485000</f>
        <v>0</v>
      </c>
      <c r="H198" s="460">
        <v>0</v>
      </c>
      <c r="I198" s="449">
        <v>100000</v>
      </c>
      <c r="J198" s="467"/>
      <c r="K198" s="462" t="e">
        <f t="shared" si="45"/>
        <v>#DIV/0!</v>
      </c>
      <c r="L198" s="462">
        <f t="shared" si="46"/>
        <v>0</v>
      </c>
      <c r="M198" s="467"/>
      <c r="N198" s="178">
        <f t="shared" si="44"/>
        <v>0</v>
      </c>
      <c r="O198" s="179">
        <f t="shared" si="47"/>
        <v>0</v>
      </c>
    </row>
    <row r="199" spans="1:15" s="224" customFormat="1" ht="33.450000000000003" customHeight="1" outlineLevel="7" x14ac:dyDescent="0.3">
      <c r="A199" s="189" t="s">
        <v>1085</v>
      </c>
      <c r="B199" s="392" t="s">
        <v>455</v>
      </c>
      <c r="C199" s="392" t="s">
        <v>283</v>
      </c>
      <c r="D199" s="392" t="s">
        <v>1086</v>
      </c>
      <c r="E199" s="392" t="s">
        <v>6</v>
      </c>
      <c r="F199" s="462" t="s">
        <v>838</v>
      </c>
      <c r="G199" s="449">
        <f t="shared" ref="G199:J200" si="65">G200</f>
        <v>1485000</v>
      </c>
      <c r="H199" s="460">
        <f>H200</f>
        <v>530832.76</v>
      </c>
      <c r="I199" s="449">
        <f t="shared" si="65"/>
        <v>0</v>
      </c>
      <c r="J199" s="449">
        <f t="shared" si="65"/>
        <v>3784000</v>
      </c>
      <c r="K199" s="462">
        <f t="shared" si="45"/>
        <v>254.81481481481484</v>
      </c>
      <c r="L199" s="462">
        <f t="shared" si="46"/>
        <v>2299000</v>
      </c>
      <c r="M199" s="449">
        <f t="shared" ref="M199:M200" si="66">M200</f>
        <v>1400000</v>
      </c>
      <c r="N199" s="178">
        <f t="shared" si="44"/>
        <v>-2384000</v>
      </c>
      <c r="O199" s="179">
        <f t="shared" si="47"/>
        <v>-85000</v>
      </c>
    </row>
    <row r="200" spans="1:15" s="224" customFormat="1" ht="33.450000000000003" customHeight="1" outlineLevel="7" x14ac:dyDescent="0.3">
      <c r="A200" s="189" t="s">
        <v>15</v>
      </c>
      <c r="B200" s="392" t="s">
        <v>455</v>
      </c>
      <c r="C200" s="392" t="s">
        <v>283</v>
      </c>
      <c r="D200" s="392" t="s">
        <v>1086</v>
      </c>
      <c r="E200" s="392" t="s">
        <v>16</v>
      </c>
      <c r="F200" s="462" t="s">
        <v>838</v>
      </c>
      <c r="G200" s="449">
        <f t="shared" si="65"/>
        <v>1485000</v>
      </c>
      <c r="H200" s="460">
        <f>H201</f>
        <v>530832.76</v>
      </c>
      <c r="I200" s="449">
        <f t="shared" si="65"/>
        <v>0</v>
      </c>
      <c r="J200" s="449">
        <f t="shared" si="65"/>
        <v>3784000</v>
      </c>
      <c r="K200" s="462">
        <f t="shared" si="45"/>
        <v>254.81481481481484</v>
      </c>
      <c r="L200" s="462">
        <f t="shared" si="46"/>
        <v>2299000</v>
      </c>
      <c r="M200" s="449">
        <f t="shared" si="66"/>
        <v>1400000</v>
      </c>
      <c r="N200" s="178">
        <f t="shared" ref="N200:N263" si="67">M200-J200</f>
        <v>-2384000</v>
      </c>
      <c r="O200" s="179">
        <f t="shared" si="47"/>
        <v>-85000</v>
      </c>
    </row>
    <row r="201" spans="1:15" s="224" customFormat="1" ht="34" customHeight="1" outlineLevel="7" x14ac:dyDescent="0.3">
      <c r="A201" s="189" t="s">
        <v>17</v>
      </c>
      <c r="B201" s="392" t="s">
        <v>455</v>
      </c>
      <c r="C201" s="392" t="s">
        <v>283</v>
      </c>
      <c r="D201" s="392" t="s">
        <v>1086</v>
      </c>
      <c r="E201" s="392" t="s">
        <v>18</v>
      </c>
      <c r="F201" s="462" t="s">
        <v>838</v>
      </c>
      <c r="G201" s="449">
        <v>1485000</v>
      </c>
      <c r="H201" s="460">
        <v>530832.76</v>
      </c>
      <c r="I201" s="449"/>
      <c r="J201" s="467">
        <v>3784000</v>
      </c>
      <c r="K201" s="462">
        <f t="shared" ref="K201:K264" si="68">J201/G201*100</f>
        <v>254.81481481481484</v>
      </c>
      <c r="L201" s="462">
        <f t="shared" ref="L201:L264" si="69">J201-G201</f>
        <v>2299000</v>
      </c>
      <c r="M201" s="467">
        <f>3784000-2384000</f>
        <v>1400000</v>
      </c>
      <c r="N201" s="178">
        <f t="shared" si="67"/>
        <v>-2384000</v>
      </c>
      <c r="O201" s="179">
        <f t="shared" ref="O201:O264" si="70">M201-G201</f>
        <v>-85000</v>
      </c>
    </row>
    <row r="202" spans="1:15" ht="27.7" customHeight="1" outlineLevel="7" x14ac:dyDescent="0.3">
      <c r="A202" s="189" t="s">
        <v>49</v>
      </c>
      <c r="B202" s="392" t="s">
        <v>455</v>
      </c>
      <c r="C202" s="392" t="s">
        <v>50</v>
      </c>
      <c r="D202" s="392" t="s">
        <v>126</v>
      </c>
      <c r="E202" s="392" t="s">
        <v>6</v>
      </c>
      <c r="F202" s="462">
        <f t="shared" ref="F202:J203" si="71">F203</f>
        <v>20668216.140000001</v>
      </c>
      <c r="G202" s="462">
        <f t="shared" si="71"/>
        <v>21116279.5</v>
      </c>
      <c r="H202" s="460">
        <v>9700153.5099999998</v>
      </c>
      <c r="I202" s="462">
        <f t="shared" si="71"/>
        <v>14066000</v>
      </c>
      <c r="J202" s="462">
        <f t="shared" si="71"/>
        <v>14000000</v>
      </c>
      <c r="K202" s="462">
        <f t="shared" si="68"/>
        <v>66.299558120548653</v>
      </c>
      <c r="L202" s="462">
        <f t="shared" si="69"/>
        <v>-7116279.5</v>
      </c>
      <c r="M202" s="462">
        <f t="shared" ref="M202:M203" si="72">M203</f>
        <v>14000000</v>
      </c>
      <c r="N202" s="178">
        <f t="shared" si="67"/>
        <v>0</v>
      </c>
      <c r="O202" s="179">
        <f t="shared" si="70"/>
        <v>-7116279.5</v>
      </c>
    </row>
    <row r="203" spans="1:15" ht="84.9" outlineLevel="7" x14ac:dyDescent="0.3">
      <c r="A203" s="233" t="s">
        <v>1023</v>
      </c>
      <c r="B203" s="397" t="s">
        <v>455</v>
      </c>
      <c r="C203" s="397" t="s">
        <v>50</v>
      </c>
      <c r="D203" s="397" t="s">
        <v>322</v>
      </c>
      <c r="E203" s="397" t="s">
        <v>6</v>
      </c>
      <c r="F203" s="465">
        <f t="shared" si="71"/>
        <v>20668216.140000001</v>
      </c>
      <c r="G203" s="465">
        <f t="shared" si="71"/>
        <v>21116279.5</v>
      </c>
      <c r="H203" s="460">
        <v>9700153.5099999998</v>
      </c>
      <c r="I203" s="465">
        <f t="shared" si="71"/>
        <v>14066000</v>
      </c>
      <c r="J203" s="465">
        <f t="shared" si="71"/>
        <v>14000000</v>
      </c>
      <c r="K203" s="462">
        <f t="shared" si="68"/>
        <v>66.299558120548653</v>
      </c>
      <c r="L203" s="462">
        <f t="shared" si="69"/>
        <v>-7116279.5</v>
      </c>
      <c r="M203" s="465">
        <f t="shared" si="72"/>
        <v>14000000</v>
      </c>
      <c r="N203" s="178">
        <f t="shared" si="67"/>
        <v>0</v>
      </c>
      <c r="O203" s="179">
        <f t="shared" si="70"/>
        <v>-7116279.5</v>
      </c>
    </row>
    <row r="204" spans="1:15" ht="40.75" customHeight="1" outlineLevel="7" x14ac:dyDescent="0.3">
      <c r="A204" s="189" t="s">
        <v>323</v>
      </c>
      <c r="B204" s="392" t="s">
        <v>455</v>
      </c>
      <c r="C204" s="392" t="s">
        <v>50</v>
      </c>
      <c r="D204" s="392" t="s">
        <v>324</v>
      </c>
      <c r="E204" s="392" t="s">
        <v>6</v>
      </c>
      <c r="F204" s="462">
        <f>F205+F211+F208</f>
        <v>20668216.140000001</v>
      </c>
      <c r="G204" s="462">
        <f>G205+G211+G208</f>
        <v>21116279.5</v>
      </c>
      <c r="H204" s="460">
        <v>9700153.5099999998</v>
      </c>
      <c r="I204" s="462">
        <f>I205+I211+I208</f>
        <v>14066000</v>
      </c>
      <c r="J204" s="462">
        <f>J205+J211+J208</f>
        <v>14000000</v>
      </c>
      <c r="K204" s="462">
        <f t="shared" si="68"/>
        <v>66.299558120548653</v>
      </c>
      <c r="L204" s="462">
        <f t="shared" si="69"/>
        <v>-7116279.5</v>
      </c>
      <c r="M204" s="462">
        <f>M205+M211+M208</f>
        <v>14000000</v>
      </c>
      <c r="N204" s="178">
        <f t="shared" si="67"/>
        <v>0</v>
      </c>
      <c r="O204" s="179">
        <f t="shared" si="70"/>
        <v>-7116279.5</v>
      </c>
    </row>
    <row r="205" spans="1:15" ht="67.95" outlineLevel="7" x14ac:dyDescent="0.3">
      <c r="A205" s="189" t="s">
        <v>717</v>
      </c>
      <c r="B205" s="392" t="s">
        <v>455</v>
      </c>
      <c r="C205" s="392" t="s">
        <v>50</v>
      </c>
      <c r="D205" s="392" t="s">
        <v>326</v>
      </c>
      <c r="E205" s="392" t="s">
        <v>6</v>
      </c>
      <c r="F205" s="462">
        <f t="shared" ref="F205:J206" si="73">F206</f>
        <v>20668216.140000001</v>
      </c>
      <c r="G205" s="462">
        <f t="shared" si="73"/>
        <v>20807001.149999999</v>
      </c>
      <c r="H205" s="460">
        <v>9700153.5099999998</v>
      </c>
      <c r="I205" s="462">
        <f t="shared" si="73"/>
        <v>14066000</v>
      </c>
      <c r="J205" s="462">
        <f t="shared" si="73"/>
        <v>14000000</v>
      </c>
      <c r="K205" s="462">
        <f t="shared" si="68"/>
        <v>67.285044582217466</v>
      </c>
      <c r="L205" s="462">
        <f t="shared" si="69"/>
        <v>-6807001.1499999985</v>
      </c>
      <c r="M205" s="462">
        <f t="shared" ref="M205:M206" si="74">M206</f>
        <v>14000000</v>
      </c>
      <c r="N205" s="178">
        <f t="shared" si="67"/>
        <v>0</v>
      </c>
      <c r="O205" s="179">
        <f t="shared" si="70"/>
        <v>-6807001.1499999985</v>
      </c>
    </row>
    <row r="206" spans="1:15" s="224" customFormat="1" ht="34" outlineLevel="7" x14ac:dyDescent="0.3">
      <c r="A206" s="189" t="s">
        <v>15</v>
      </c>
      <c r="B206" s="392" t="s">
        <v>455</v>
      </c>
      <c r="C206" s="392" t="s">
        <v>50</v>
      </c>
      <c r="D206" s="392" t="s">
        <v>326</v>
      </c>
      <c r="E206" s="392" t="s">
        <v>16</v>
      </c>
      <c r="F206" s="462">
        <f t="shared" si="73"/>
        <v>20668216.140000001</v>
      </c>
      <c r="G206" s="462">
        <f t="shared" si="73"/>
        <v>20807001.149999999</v>
      </c>
      <c r="H206" s="460">
        <v>9700153.5099999998</v>
      </c>
      <c r="I206" s="462">
        <f t="shared" si="73"/>
        <v>14066000</v>
      </c>
      <c r="J206" s="462">
        <f t="shared" si="73"/>
        <v>14000000</v>
      </c>
      <c r="K206" s="462">
        <f t="shared" si="68"/>
        <v>67.285044582217466</v>
      </c>
      <c r="L206" s="462">
        <f t="shared" si="69"/>
        <v>-6807001.1499999985</v>
      </c>
      <c r="M206" s="462">
        <f t="shared" si="74"/>
        <v>14000000</v>
      </c>
      <c r="N206" s="178">
        <f t="shared" si="67"/>
        <v>0</v>
      </c>
      <c r="O206" s="179">
        <f t="shared" si="70"/>
        <v>-6807001.1499999985</v>
      </c>
    </row>
    <row r="207" spans="1:15" ht="67.95" customHeight="1" outlineLevel="7" x14ac:dyDescent="0.3">
      <c r="A207" s="189" t="s">
        <v>17</v>
      </c>
      <c r="B207" s="392" t="s">
        <v>455</v>
      </c>
      <c r="C207" s="392" t="s">
        <v>50</v>
      </c>
      <c r="D207" s="392" t="s">
        <v>326</v>
      </c>
      <c r="E207" s="392" t="s">
        <v>18</v>
      </c>
      <c r="F207" s="475">
        <v>20668216.140000001</v>
      </c>
      <c r="G207" s="462">
        <f>'потребность 2023 (5)'!K206+1400000+6350001.15</f>
        <v>20807001.149999999</v>
      </c>
      <c r="H207" s="460">
        <v>9700153.5099999998</v>
      </c>
      <c r="I207" s="462">
        <v>14066000</v>
      </c>
      <c r="J207" s="449">
        <v>14000000</v>
      </c>
      <c r="K207" s="462">
        <f t="shared" si="68"/>
        <v>67.285044582217466</v>
      </c>
      <c r="L207" s="462">
        <f t="shared" si="69"/>
        <v>-6807001.1499999985</v>
      </c>
      <c r="M207" s="449">
        <v>14000000</v>
      </c>
      <c r="N207" s="178">
        <f t="shared" si="67"/>
        <v>0</v>
      </c>
      <c r="O207" s="179">
        <f t="shared" si="70"/>
        <v>-6807001.1499999985</v>
      </c>
    </row>
    <row r="208" spans="1:15" ht="37.4" hidden="1" customHeight="1" outlineLevel="7" x14ac:dyDescent="0.3">
      <c r="A208" s="202" t="s">
        <v>954</v>
      </c>
      <c r="B208" s="392" t="s">
        <v>455</v>
      </c>
      <c r="C208" s="392" t="s">
        <v>50</v>
      </c>
      <c r="D208" s="392" t="s">
        <v>530</v>
      </c>
      <c r="E208" s="392" t="s">
        <v>6</v>
      </c>
      <c r="F208" s="462" t="s">
        <v>838</v>
      </c>
      <c r="G208" s="462">
        <f t="shared" ref="G208:J209" si="75">G209</f>
        <v>0</v>
      </c>
      <c r="H208" s="460">
        <v>0</v>
      </c>
      <c r="I208" s="462">
        <f t="shared" si="75"/>
        <v>0</v>
      </c>
      <c r="J208" s="462">
        <f t="shared" si="75"/>
        <v>0</v>
      </c>
      <c r="K208" s="462" t="e">
        <f t="shared" si="68"/>
        <v>#DIV/0!</v>
      </c>
      <c r="L208" s="462">
        <f t="shared" si="69"/>
        <v>0</v>
      </c>
      <c r="M208" s="462">
        <f t="shared" ref="M208:M209" si="76">M209</f>
        <v>0</v>
      </c>
      <c r="N208" s="178">
        <f t="shared" si="67"/>
        <v>0</v>
      </c>
      <c r="O208" s="179">
        <f t="shared" si="70"/>
        <v>0</v>
      </c>
    </row>
    <row r="209" spans="1:15" ht="48.9" hidden="1" customHeight="1" outlineLevel="7" x14ac:dyDescent="0.3">
      <c r="A209" s="189" t="s">
        <v>15</v>
      </c>
      <c r="B209" s="392" t="s">
        <v>455</v>
      </c>
      <c r="C209" s="392" t="s">
        <v>50</v>
      </c>
      <c r="D209" s="392" t="s">
        <v>530</v>
      </c>
      <c r="E209" s="392" t="s">
        <v>16</v>
      </c>
      <c r="F209" s="462" t="s">
        <v>838</v>
      </c>
      <c r="G209" s="462">
        <f t="shared" si="75"/>
        <v>0</v>
      </c>
      <c r="H209" s="460">
        <v>0</v>
      </c>
      <c r="I209" s="462">
        <f t="shared" si="75"/>
        <v>0</v>
      </c>
      <c r="J209" s="462">
        <f t="shared" si="75"/>
        <v>0</v>
      </c>
      <c r="K209" s="462" t="e">
        <f t="shared" si="68"/>
        <v>#DIV/0!</v>
      </c>
      <c r="L209" s="462">
        <f t="shared" si="69"/>
        <v>0</v>
      </c>
      <c r="M209" s="462">
        <f t="shared" si="76"/>
        <v>0</v>
      </c>
      <c r="N209" s="178">
        <f t="shared" si="67"/>
        <v>0</v>
      </c>
      <c r="O209" s="179">
        <f t="shared" si="70"/>
        <v>0</v>
      </c>
    </row>
    <row r="210" spans="1:15" ht="40.75" hidden="1" customHeight="1" outlineLevel="7" x14ac:dyDescent="0.3">
      <c r="A210" s="189" t="s">
        <v>17</v>
      </c>
      <c r="B210" s="392" t="s">
        <v>455</v>
      </c>
      <c r="C210" s="392" t="s">
        <v>50</v>
      </c>
      <c r="D210" s="392" t="s">
        <v>530</v>
      </c>
      <c r="E210" s="392" t="s">
        <v>18</v>
      </c>
      <c r="F210" s="462" t="s">
        <v>838</v>
      </c>
      <c r="G210" s="462">
        <v>0</v>
      </c>
      <c r="H210" s="460">
        <v>0</v>
      </c>
      <c r="I210" s="462">
        <v>0</v>
      </c>
      <c r="J210" s="449"/>
      <c r="K210" s="462" t="e">
        <f t="shared" si="68"/>
        <v>#DIV/0!</v>
      </c>
      <c r="L210" s="462">
        <f t="shared" si="69"/>
        <v>0</v>
      </c>
      <c r="M210" s="449"/>
      <c r="N210" s="178">
        <f t="shared" si="67"/>
        <v>0</v>
      </c>
      <c r="O210" s="179">
        <f t="shared" si="70"/>
        <v>0</v>
      </c>
    </row>
    <row r="211" spans="1:15" ht="43.5" customHeight="1" outlineLevel="7" x14ac:dyDescent="0.3">
      <c r="A211" s="189" t="s">
        <v>272</v>
      </c>
      <c r="B211" s="392" t="s">
        <v>455</v>
      </c>
      <c r="C211" s="392" t="s">
        <v>50</v>
      </c>
      <c r="D211" s="392" t="s">
        <v>383</v>
      </c>
      <c r="E211" s="392" t="s">
        <v>6</v>
      </c>
      <c r="F211" s="462" t="s">
        <v>838</v>
      </c>
      <c r="G211" s="449">
        <f t="shared" ref="G211:J212" si="77">G212</f>
        <v>309278.34999999998</v>
      </c>
      <c r="H211" s="460">
        <v>0</v>
      </c>
      <c r="I211" s="449">
        <f t="shared" si="77"/>
        <v>0</v>
      </c>
      <c r="J211" s="449">
        <f t="shared" si="77"/>
        <v>0</v>
      </c>
      <c r="K211" s="462">
        <f t="shared" si="68"/>
        <v>0</v>
      </c>
      <c r="L211" s="462">
        <f t="shared" si="69"/>
        <v>-309278.34999999998</v>
      </c>
      <c r="M211" s="449">
        <f t="shared" ref="M211:M212" si="78">M212</f>
        <v>0</v>
      </c>
      <c r="N211" s="178">
        <f t="shared" si="67"/>
        <v>0</v>
      </c>
      <c r="O211" s="179">
        <f t="shared" si="70"/>
        <v>-309278.34999999998</v>
      </c>
    </row>
    <row r="212" spans="1:15" ht="34" outlineLevel="7" x14ac:dyDescent="0.3">
      <c r="A212" s="189" t="s">
        <v>15</v>
      </c>
      <c r="B212" s="392" t="s">
        <v>455</v>
      </c>
      <c r="C212" s="392" t="s">
        <v>50</v>
      </c>
      <c r="D212" s="392" t="s">
        <v>383</v>
      </c>
      <c r="E212" s="392" t="s">
        <v>16</v>
      </c>
      <c r="F212" s="462" t="s">
        <v>838</v>
      </c>
      <c r="G212" s="449">
        <f t="shared" si="77"/>
        <v>309278.34999999998</v>
      </c>
      <c r="H212" s="460">
        <v>0</v>
      </c>
      <c r="I212" s="449">
        <f t="shared" si="77"/>
        <v>0</v>
      </c>
      <c r="J212" s="449">
        <f t="shared" si="77"/>
        <v>0</v>
      </c>
      <c r="K212" s="462">
        <f t="shared" si="68"/>
        <v>0</v>
      </c>
      <c r="L212" s="462">
        <f t="shared" si="69"/>
        <v>-309278.34999999998</v>
      </c>
      <c r="M212" s="449">
        <f t="shared" si="78"/>
        <v>0</v>
      </c>
      <c r="N212" s="178">
        <f t="shared" si="67"/>
        <v>0</v>
      </c>
      <c r="O212" s="179">
        <f t="shared" si="70"/>
        <v>-309278.34999999998</v>
      </c>
    </row>
    <row r="213" spans="1:15" ht="50.95" outlineLevel="7" x14ac:dyDescent="0.3">
      <c r="A213" s="189" t="s">
        <v>17</v>
      </c>
      <c r="B213" s="392" t="s">
        <v>455</v>
      </c>
      <c r="C213" s="392" t="s">
        <v>50</v>
      </c>
      <c r="D213" s="392" t="s">
        <v>383</v>
      </c>
      <c r="E213" s="392" t="s">
        <v>18</v>
      </c>
      <c r="F213" s="462" t="s">
        <v>838</v>
      </c>
      <c r="G213" s="462">
        <v>309278.34999999998</v>
      </c>
      <c r="H213" s="460">
        <v>0</v>
      </c>
      <c r="I213" s="462">
        <v>0</v>
      </c>
      <c r="J213" s="449"/>
      <c r="K213" s="462">
        <f t="shared" si="68"/>
        <v>0</v>
      </c>
      <c r="L213" s="462">
        <f t="shared" si="69"/>
        <v>-309278.34999999998</v>
      </c>
      <c r="M213" s="449"/>
      <c r="N213" s="178">
        <f t="shared" si="67"/>
        <v>0</v>
      </c>
      <c r="O213" s="179">
        <f t="shared" si="70"/>
        <v>-309278.34999999998</v>
      </c>
    </row>
    <row r="214" spans="1:15" ht="31.95" customHeight="1" outlineLevel="7" x14ac:dyDescent="0.3">
      <c r="A214" s="189" t="s">
        <v>52</v>
      </c>
      <c r="B214" s="392" t="s">
        <v>455</v>
      </c>
      <c r="C214" s="392" t="s">
        <v>53</v>
      </c>
      <c r="D214" s="392" t="s">
        <v>126</v>
      </c>
      <c r="E214" s="392" t="s">
        <v>6</v>
      </c>
      <c r="F214" s="462">
        <f>F215+F220</f>
        <v>3781181.28</v>
      </c>
      <c r="G214" s="462">
        <f>G215+G220</f>
        <v>935000</v>
      </c>
      <c r="H214" s="460">
        <v>161007.1</v>
      </c>
      <c r="I214" s="462">
        <f>I215+I220</f>
        <v>530000</v>
      </c>
      <c r="J214" s="462">
        <f>J215+J220</f>
        <v>1500000</v>
      </c>
      <c r="K214" s="462">
        <f t="shared" si="68"/>
        <v>160.42780748663102</v>
      </c>
      <c r="L214" s="462">
        <f t="shared" si="69"/>
        <v>565000</v>
      </c>
      <c r="M214" s="462">
        <f>M215+M220</f>
        <v>1225000</v>
      </c>
      <c r="N214" s="178">
        <f t="shared" si="67"/>
        <v>-275000</v>
      </c>
      <c r="O214" s="179">
        <f t="shared" si="70"/>
        <v>290000</v>
      </c>
    </row>
    <row r="215" spans="1:15" ht="39.25" customHeight="1" outlineLevel="7" x14ac:dyDescent="0.3">
      <c r="A215" s="233" t="s">
        <v>1027</v>
      </c>
      <c r="B215" s="397" t="s">
        <v>455</v>
      </c>
      <c r="C215" s="397" t="s">
        <v>53</v>
      </c>
      <c r="D215" s="397" t="s">
        <v>385</v>
      </c>
      <c r="E215" s="397" t="s">
        <v>6</v>
      </c>
      <c r="F215" s="471">
        <f t="shared" ref="F215:J218" si="79">F216</f>
        <v>100000</v>
      </c>
      <c r="G215" s="462">
        <f t="shared" si="79"/>
        <v>100000</v>
      </c>
      <c r="H215" s="460">
        <v>0</v>
      </c>
      <c r="I215" s="462">
        <f t="shared" si="79"/>
        <v>100000</v>
      </c>
      <c r="J215" s="462">
        <f t="shared" si="79"/>
        <v>100000</v>
      </c>
      <c r="K215" s="462">
        <f t="shared" si="68"/>
        <v>100</v>
      </c>
      <c r="L215" s="462">
        <f t="shared" si="69"/>
        <v>0</v>
      </c>
      <c r="M215" s="462">
        <f t="shared" ref="M215:M218" si="80">M216</f>
        <v>100000</v>
      </c>
      <c r="N215" s="178">
        <f t="shared" si="67"/>
        <v>0</v>
      </c>
      <c r="O215" s="179">
        <f t="shared" si="70"/>
        <v>0</v>
      </c>
    </row>
    <row r="216" spans="1:15" ht="50.95" outlineLevel="7" x14ac:dyDescent="0.3">
      <c r="A216" s="189" t="s">
        <v>692</v>
      </c>
      <c r="B216" s="392" t="s">
        <v>455</v>
      </c>
      <c r="C216" s="392" t="s">
        <v>53</v>
      </c>
      <c r="D216" s="392" t="s">
        <v>387</v>
      </c>
      <c r="E216" s="392" t="s">
        <v>6</v>
      </c>
      <c r="F216" s="471">
        <f t="shared" si="79"/>
        <v>100000</v>
      </c>
      <c r="G216" s="462">
        <f t="shared" si="79"/>
        <v>100000</v>
      </c>
      <c r="H216" s="460">
        <v>0</v>
      </c>
      <c r="I216" s="462">
        <f t="shared" si="79"/>
        <v>100000</v>
      </c>
      <c r="J216" s="462">
        <f t="shared" si="79"/>
        <v>100000</v>
      </c>
      <c r="K216" s="462">
        <f t="shared" si="68"/>
        <v>100</v>
      </c>
      <c r="L216" s="462">
        <f t="shared" si="69"/>
        <v>0</v>
      </c>
      <c r="M216" s="462">
        <f t="shared" si="80"/>
        <v>100000</v>
      </c>
      <c r="N216" s="178">
        <f t="shared" si="67"/>
        <v>0</v>
      </c>
      <c r="O216" s="179">
        <f t="shared" si="70"/>
        <v>0</v>
      </c>
    </row>
    <row r="217" spans="1:15" ht="66.599999999999994" customHeight="1" outlineLevel="7" x14ac:dyDescent="0.3">
      <c r="A217" s="189" t="s">
        <v>693</v>
      </c>
      <c r="B217" s="392" t="s">
        <v>455</v>
      </c>
      <c r="C217" s="392" t="s">
        <v>53</v>
      </c>
      <c r="D217" s="392" t="s">
        <v>694</v>
      </c>
      <c r="E217" s="392" t="s">
        <v>6</v>
      </c>
      <c r="F217" s="471">
        <f t="shared" si="79"/>
        <v>100000</v>
      </c>
      <c r="G217" s="462">
        <f t="shared" si="79"/>
        <v>100000</v>
      </c>
      <c r="H217" s="460">
        <v>0</v>
      </c>
      <c r="I217" s="462">
        <f t="shared" si="79"/>
        <v>100000</v>
      </c>
      <c r="J217" s="462">
        <f t="shared" si="79"/>
        <v>100000</v>
      </c>
      <c r="K217" s="462">
        <f t="shared" si="68"/>
        <v>100</v>
      </c>
      <c r="L217" s="462">
        <f t="shared" si="69"/>
        <v>0</v>
      </c>
      <c r="M217" s="462">
        <f t="shared" si="80"/>
        <v>100000</v>
      </c>
      <c r="N217" s="178">
        <f t="shared" si="67"/>
        <v>0</v>
      </c>
      <c r="O217" s="179">
        <f t="shared" si="70"/>
        <v>0</v>
      </c>
    </row>
    <row r="218" spans="1:15" outlineLevel="2" x14ac:dyDescent="0.3">
      <c r="A218" s="189" t="s">
        <v>19</v>
      </c>
      <c r="B218" s="392" t="s">
        <v>455</v>
      </c>
      <c r="C218" s="392" t="s">
        <v>53</v>
      </c>
      <c r="D218" s="392" t="s">
        <v>694</v>
      </c>
      <c r="E218" s="392" t="s">
        <v>20</v>
      </c>
      <c r="F218" s="471">
        <f t="shared" si="79"/>
        <v>100000</v>
      </c>
      <c r="G218" s="462">
        <f t="shared" si="79"/>
        <v>100000</v>
      </c>
      <c r="H218" s="460">
        <v>0</v>
      </c>
      <c r="I218" s="462">
        <f t="shared" si="79"/>
        <v>100000</v>
      </c>
      <c r="J218" s="462">
        <f t="shared" si="79"/>
        <v>100000</v>
      </c>
      <c r="K218" s="462">
        <f t="shared" si="68"/>
        <v>100</v>
      </c>
      <c r="L218" s="462">
        <f t="shared" si="69"/>
        <v>0</v>
      </c>
      <c r="M218" s="462">
        <f t="shared" si="80"/>
        <v>100000</v>
      </c>
      <c r="N218" s="178">
        <f t="shared" si="67"/>
        <v>0</v>
      </c>
      <c r="O218" s="179">
        <f t="shared" si="70"/>
        <v>0</v>
      </c>
    </row>
    <row r="219" spans="1:15" ht="62.15" customHeight="1" outlineLevel="2" x14ac:dyDescent="0.3">
      <c r="A219" s="189" t="s">
        <v>963</v>
      </c>
      <c r="B219" s="392" t="s">
        <v>455</v>
      </c>
      <c r="C219" s="392" t="s">
        <v>53</v>
      </c>
      <c r="D219" s="392" t="s">
        <v>694</v>
      </c>
      <c r="E219" s="392" t="s">
        <v>48</v>
      </c>
      <c r="F219" s="475">
        <v>100000</v>
      </c>
      <c r="G219" s="462">
        <f>'потребность 2023 (5)'!K218</f>
        <v>100000</v>
      </c>
      <c r="H219" s="460">
        <v>0</v>
      </c>
      <c r="I219" s="462">
        <v>100000</v>
      </c>
      <c r="J219" s="449">
        <v>100000</v>
      </c>
      <c r="K219" s="462">
        <f t="shared" si="68"/>
        <v>100</v>
      </c>
      <c r="L219" s="462">
        <f t="shared" si="69"/>
        <v>0</v>
      </c>
      <c r="M219" s="449">
        <v>100000</v>
      </c>
      <c r="N219" s="178">
        <f t="shared" si="67"/>
        <v>0</v>
      </c>
      <c r="O219" s="179">
        <f t="shared" si="70"/>
        <v>0</v>
      </c>
    </row>
    <row r="220" spans="1:15" ht="55.2" customHeight="1" outlineLevel="2" x14ac:dyDescent="0.3">
      <c r="A220" s="233" t="s">
        <v>1030</v>
      </c>
      <c r="B220" s="397" t="s">
        <v>455</v>
      </c>
      <c r="C220" s="397" t="s">
        <v>53</v>
      </c>
      <c r="D220" s="397" t="s">
        <v>327</v>
      </c>
      <c r="E220" s="397" t="s">
        <v>6</v>
      </c>
      <c r="F220" s="473">
        <f>F221+F225</f>
        <v>3681181.28</v>
      </c>
      <c r="G220" s="465">
        <f>G221+G225</f>
        <v>835000</v>
      </c>
      <c r="H220" s="460">
        <v>161007.1</v>
      </c>
      <c r="I220" s="465">
        <f>I221+I225</f>
        <v>430000</v>
      </c>
      <c r="J220" s="465">
        <f>J221+J225</f>
        <v>1400000</v>
      </c>
      <c r="K220" s="462">
        <f t="shared" si="68"/>
        <v>167.66467065868261</v>
      </c>
      <c r="L220" s="462">
        <f t="shared" si="69"/>
        <v>565000</v>
      </c>
      <c r="M220" s="465">
        <f>M221+M225</f>
        <v>1125000</v>
      </c>
      <c r="N220" s="178">
        <f t="shared" si="67"/>
        <v>-275000</v>
      </c>
      <c r="O220" s="179">
        <f t="shared" si="70"/>
        <v>290000</v>
      </c>
    </row>
    <row r="221" spans="1:15" ht="34" outlineLevel="2" x14ac:dyDescent="0.3">
      <c r="A221" s="189" t="s">
        <v>366</v>
      </c>
      <c r="B221" s="392" t="s">
        <v>455</v>
      </c>
      <c r="C221" s="392" t="s">
        <v>53</v>
      </c>
      <c r="D221" s="392" t="s">
        <v>328</v>
      </c>
      <c r="E221" s="392" t="s">
        <v>6</v>
      </c>
      <c r="F221" s="476">
        <f t="shared" ref="F221:J223" si="81">F222</f>
        <v>3422100</v>
      </c>
      <c r="G221" s="449">
        <f t="shared" si="81"/>
        <v>235000</v>
      </c>
      <c r="H221" s="460">
        <v>120800</v>
      </c>
      <c r="I221" s="449">
        <f t="shared" si="81"/>
        <v>300000</v>
      </c>
      <c r="J221" s="449">
        <f t="shared" si="81"/>
        <v>270000</v>
      </c>
      <c r="K221" s="462">
        <f t="shared" si="68"/>
        <v>114.89361702127661</v>
      </c>
      <c r="L221" s="462">
        <f t="shared" si="69"/>
        <v>35000</v>
      </c>
      <c r="M221" s="449">
        <f t="shared" ref="M221:M223" si="82">M222</f>
        <v>270000</v>
      </c>
      <c r="N221" s="178">
        <f t="shared" si="67"/>
        <v>0</v>
      </c>
      <c r="O221" s="179">
        <f t="shared" si="70"/>
        <v>35000</v>
      </c>
    </row>
    <row r="222" spans="1:15" ht="34" outlineLevel="2" x14ac:dyDescent="0.3">
      <c r="A222" s="189" t="s">
        <v>329</v>
      </c>
      <c r="B222" s="392" t="s">
        <v>455</v>
      </c>
      <c r="C222" s="392" t="s">
        <v>53</v>
      </c>
      <c r="D222" s="392" t="s">
        <v>330</v>
      </c>
      <c r="E222" s="392" t="s">
        <v>6</v>
      </c>
      <c r="F222" s="476">
        <f t="shared" si="81"/>
        <v>3422100</v>
      </c>
      <c r="G222" s="449">
        <f t="shared" si="81"/>
        <v>235000</v>
      </c>
      <c r="H222" s="460">
        <v>120800</v>
      </c>
      <c r="I222" s="449">
        <f t="shared" si="81"/>
        <v>300000</v>
      </c>
      <c r="J222" s="449">
        <f t="shared" si="81"/>
        <v>270000</v>
      </c>
      <c r="K222" s="462">
        <f t="shared" si="68"/>
        <v>114.89361702127661</v>
      </c>
      <c r="L222" s="462">
        <f t="shared" si="69"/>
        <v>35000</v>
      </c>
      <c r="M222" s="449">
        <f t="shared" si="82"/>
        <v>270000</v>
      </c>
      <c r="N222" s="178">
        <f t="shared" si="67"/>
        <v>0</v>
      </c>
      <c r="O222" s="179">
        <f t="shared" si="70"/>
        <v>35000</v>
      </c>
    </row>
    <row r="223" spans="1:15" s="224" customFormat="1" ht="34" outlineLevel="3" x14ac:dyDescent="0.3">
      <c r="A223" s="189" t="s">
        <v>15</v>
      </c>
      <c r="B223" s="392" t="s">
        <v>455</v>
      </c>
      <c r="C223" s="392" t="s">
        <v>53</v>
      </c>
      <c r="D223" s="392" t="s">
        <v>330</v>
      </c>
      <c r="E223" s="392" t="s">
        <v>16</v>
      </c>
      <c r="F223" s="476">
        <f t="shared" si="81"/>
        <v>3422100</v>
      </c>
      <c r="G223" s="449">
        <f t="shared" si="81"/>
        <v>235000</v>
      </c>
      <c r="H223" s="460">
        <v>120800</v>
      </c>
      <c r="I223" s="449">
        <f t="shared" si="81"/>
        <v>300000</v>
      </c>
      <c r="J223" s="449">
        <f t="shared" si="81"/>
        <v>270000</v>
      </c>
      <c r="K223" s="462">
        <f t="shared" si="68"/>
        <v>114.89361702127661</v>
      </c>
      <c r="L223" s="462">
        <f t="shared" si="69"/>
        <v>35000</v>
      </c>
      <c r="M223" s="449">
        <f t="shared" si="82"/>
        <v>270000</v>
      </c>
      <c r="N223" s="178">
        <f t="shared" si="67"/>
        <v>0</v>
      </c>
      <c r="O223" s="179">
        <f t="shared" si="70"/>
        <v>35000</v>
      </c>
    </row>
    <row r="224" spans="1:15" ht="50.95" outlineLevel="3" x14ac:dyDescent="0.3">
      <c r="A224" s="189" t="s">
        <v>17</v>
      </c>
      <c r="B224" s="392" t="s">
        <v>455</v>
      </c>
      <c r="C224" s="392" t="s">
        <v>53</v>
      </c>
      <c r="D224" s="392" t="s">
        <v>330</v>
      </c>
      <c r="E224" s="392" t="s">
        <v>18</v>
      </c>
      <c r="F224" s="475">
        <v>3422100</v>
      </c>
      <c r="G224" s="462">
        <f>'потребность 2023 (5)'!K223</f>
        <v>235000</v>
      </c>
      <c r="H224" s="460">
        <v>120800</v>
      </c>
      <c r="I224" s="462">
        <v>300000</v>
      </c>
      <c r="J224" s="449">
        <v>270000</v>
      </c>
      <c r="K224" s="462">
        <f t="shared" si="68"/>
        <v>114.89361702127661</v>
      </c>
      <c r="L224" s="462">
        <f t="shared" si="69"/>
        <v>35000</v>
      </c>
      <c r="M224" s="449">
        <v>270000</v>
      </c>
      <c r="N224" s="178">
        <f t="shared" si="67"/>
        <v>0</v>
      </c>
      <c r="O224" s="179">
        <f t="shared" si="70"/>
        <v>35000</v>
      </c>
    </row>
    <row r="225" spans="1:15" ht="34" outlineLevel="3" x14ac:dyDescent="0.3">
      <c r="A225" s="189" t="s">
        <v>368</v>
      </c>
      <c r="B225" s="392" t="s">
        <v>455</v>
      </c>
      <c r="C225" s="392" t="s">
        <v>53</v>
      </c>
      <c r="D225" s="392" t="s">
        <v>367</v>
      </c>
      <c r="E225" s="392" t="s">
        <v>6</v>
      </c>
      <c r="F225" s="471">
        <f t="shared" ref="F225:J227" si="83">F226</f>
        <v>259081.28</v>
      </c>
      <c r="G225" s="462">
        <f t="shared" si="83"/>
        <v>600000</v>
      </c>
      <c r="H225" s="460">
        <v>40207.1</v>
      </c>
      <c r="I225" s="462">
        <f t="shared" si="83"/>
        <v>130000</v>
      </c>
      <c r="J225" s="462">
        <f t="shared" si="83"/>
        <v>1130000</v>
      </c>
      <c r="K225" s="462">
        <f t="shared" si="68"/>
        <v>188.33333333333334</v>
      </c>
      <c r="L225" s="462">
        <f t="shared" si="69"/>
        <v>530000</v>
      </c>
      <c r="M225" s="462">
        <f t="shared" ref="M225:M227" si="84">M226</f>
        <v>855000</v>
      </c>
      <c r="N225" s="178">
        <f t="shared" si="67"/>
        <v>-275000</v>
      </c>
      <c r="O225" s="179">
        <f t="shared" si="70"/>
        <v>255000</v>
      </c>
    </row>
    <row r="226" spans="1:15" ht="34" outlineLevel="3" x14ac:dyDescent="0.3">
      <c r="A226" s="189" t="s">
        <v>331</v>
      </c>
      <c r="B226" s="392" t="s">
        <v>455</v>
      </c>
      <c r="C226" s="392" t="s">
        <v>53</v>
      </c>
      <c r="D226" s="392" t="s">
        <v>389</v>
      </c>
      <c r="E226" s="392" t="s">
        <v>6</v>
      </c>
      <c r="F226" s="471">
        <f t="shared" si="83"/>
        <v>259081.28</v>
      </c>
      <c r="G226" s="462">
        <f t="shared" si="83"/>
        <v>600000</v>
      </c>
      <c r="H226" s="460">
        <v>40207.1</v>
      </c>
      <c r="I226" s="462">
        <f t="shared" si="83"/>
        <v>130000</v>
      </c>
      <c r="J226" s="462">
        <f t="shared" si="83"/>
        <v>1130000</v>
      </c>
      <c r="K226" s="462">
        <f t="shared" si="68"/>
        <v>188.33333333333334</v>
      </c>
      <c r="L226" s="462">
        <f t="shared" si="69"/>
        <v>530000</v>
      </c>
      <c r="M226" s="462">
        <f t="shared" si="84"/>
        <v>855000</v>
      </c>
      <c r="N226" s="178">
        <f t="shared" si="67"/>
        <v>-275000</v>
      </c>
      <c r="O226" s="179">
        <f t="shared" si="70"/>
        <v>255000</v>
      </c>
    </row>
    <row r="227" spans="1:15" ht="18.7" customHeight="1" outlineLevel="3" x14ac:dyDescent="0.3">
      <c r="A227" s="189" t="s">
        <v>15</v>
      </c>
      <c r="B227" s="392" t="s">
        <v>455</v>
      </c>
      <c r="C227" s="392" t="s">
        <v>53</v>
      </c>
      <c r="D227" s="392" t="s">
        <v>389</v>
      </c>
      <c r="E227" s="392" t="s">
        <v>16</v>
      </c>
      <c r="F227" s="471">
        <f t="shared" si="83"/>
        <v>259081.28</v>
      </c>
      <c r="G227" s="462">
        <f t="shared" si="83"/>
        <v>600000</v>
      </c>
      <c r="H227" s="460">
        <v>40207.1</v>
      </c>
      <c r="I227" s="462">
        <f t="shared" si="83"/>
        <v>130000</v>
      </c>
      <c r="J227" s="462">
        <f t="shared" si="83"/>
        <v>1130000</v>
      </c>
      <c r="K227" s="462">
        <f t="shared" si="68"/>
        <v>188.33333333333334</v>
      </c>
      <c r="L227" s="462">
        <f t="shared" si="69"/>
        <v>530000</v>
      </c>
      <c r="M227" s="462">
        <f t="shared" si="84"/>
        <v>855000</v>
      </c>
      <c r="N227" s="178">
        <f t="shared" si="67"/>
        <v>-275000</v>
      </c>
      <c r="O227" s="179">
        <f t="shared" si="70"/>
        <v>255000</v>
      </c>
    </row>
    <row r="228" spans="1:15" ht="19.55" customHeight="1" outlineLevel="3" x14ac:dyDescent="0.3">
      <c r="A228" s="189" t="s">
        <v>17</v>
      </c>
      <c r="B228" s="392" t="s">
        <v>455</v>
      </c>
      <c r="C228" s="392" t="s">
        <v>53</v>
      </c>
      <c r="D228" s="392" t="s">
        <v>389</v>
      </c>
      <c r="E228" s="392" t="s">
        <v>18</v>
      </c>
      <c r="F228" s="475">
        <v>259081.28</v>
      </c>
      <c r="G228" s="462">
        <f>'потребность 2023 (5)'!K227</f>
        <v>600000</v>
      </c>
      <c r="H228" s="460">
        <v>40207.1</v>
      </c>
      <c r="I228" s="462">
        <v>130000</v>
      </c>
      <c r="J228" s="449">
        <v>1130000</v>
      </c>
      <c r="K228" s="462">
        <f t="shared" si="68"/>
        <v>188.33333333333334</v>
      </c>
      <c r="L228" s="462">
        <f t="shared" si="69"/>
        <v>530000</v>
      </c>
      <c r="M228" s="449">
        <f>1130000-275000</f>
        <v>855000</v>
      </c>
      <c r="N228" s="178">
        <f t="shared" si="67"/>
        <v>-275000</v>
      </c>
      <c r="O228" s="179">
        <f t="shared" si="70"/>
        <v>255000</v>
      </c>
    </row>
    <row r="229" spans="1:15" ht="34" outlineLevel="5" x14ac:dyDescent="0.3">
      <c r="A229" s="233" t="s">
        <v>54</v>
      </c>
      <c r="B229" s="397" t="s">
        <v>455</v>
      </c>
      <c r="C229" s="397" t="s">
        <v>55</v>
      </c>
      <c r="D229" s="397" t="s">
        <v>126</v>
      </c>
      <c r="E229" s="397" t="s">
        <v>6</v>
      </c>
      <c r="F229" s="465">
        <f>F230+F236+F267+F316</f>
        <v>77730576.179999992</v>
      </c>
      <c r="G229" s="465">
        <f>G230+G236+G267+G316</f>
        <v>50687804.199999996</v>
      </c>
      <c r="H229" s="460">
        <v>59680408.060000002</v>
      </c>
      <c r="I229" s="465">
        <f>I230+I236+I267+I316</f>
        <v>9614185.9800000004</v>
      </c>
      <c r="J229" s="465">
        <f>J230+J236+J267+J316</f>
        <v>68227342.040000007</v>
      </c>
      <c r="K229" s="462">
        <f t="shared" si="68"/>
        <v>134.60307290249517</v>
      </c>
      <c r="L229" s="462">
        <f t="shared" si="69"/>
        <v>17539537.840000011</v>
      </c>
      <c r="M229" s="465">
        <f>M230+M236+M267+M316</f>
        <v>19101030.43</v>
      </c>
      <c r="N229" s="178">
        <f t="shared" si="67"/>
        <v>-49126311.610000007</v>
      </c>
      <c r="O229" s="179">
        <f t="shared" si="70"/>
        <v>-31586773.769999996</v>
      </c>
    </row>
    <row r="230" spans="1:15" outlineLevel="6" x14ac:dyDescent="0.3">
      <c r="A230" s="189" t="s">
        <v>56</v>
      </c>
      <c r="B230" s="392" t="s">
        <v>455</v>
      </c>
      <c r="C230" s="392" t="s">
        <v>57</v>
      </c>
      <c r="D230" s="392" t="s">
        <v>126</v>
      </c>
      <c r="E230" s="392" t="s">
        <v>6</v>
      </c>
      <c r="F230" s="471">
        <f>F231</f>
        <v>4435521.75</v>
      </c>
      <c r="G230" s="462">
        <f t="shared" ref="G230:J234" si="85">G231</f>
        <v>3083113.73</v>
      </c>
      <c r="H230" s="460">
        <v>2066937.11</v>
      </c>
      <c r="I230" s="462">
        <f t="shared" si="85"/>
        <v>1000000</v>
      </c>
      <c r="J230" s="462">
        <f t="shared" si="85"/>
        <v>9037550</v>
      </c>
      <c r="K230" s="462">
        <f t="shared" si="68"/>
        <v>293.13060728382538</v>
      </c>
      <c r="L230" s="462">
        <f t="shared" si="69"/>
        <v>5954436.2699999996</v>
      </c>
      <c r="M230" s="462">
        <f t="shared" ref="M230:M234" si="86">M231</f>
        <v>3037550</v>
      </c>
      <c r="N230" s="178">
        <f t="shared" si="67"/>
        <v>-6000000</v>
      </c>
      <c r="O230" s="179">
        <f t="shared" si="70"/>
        <v>-45563.729999999981</v>
      </c>
    </row>
    <row r="231" spans="1:15" ht="48.25" customHeight="1" outlineLevel="7" x14ac:dyDescent="0.3">
      <c r="A231" s="233" t="s">
        <v>1031</v>
      </c>
      <c r="B231" s="397" t="s">
        <v>455</v>
      </c>
      <c r="C231" s="397" t="s">
        <v>57</v>
      </c>
      <c r="D231" s="397" t="s">
        <v>319</v>
      </c>
      <c r="E231" s="397" t="s">
        <v>6</v>
      </c>
      <c r="F231" s="473">
        <f t="shared" ref="F231:F234" si="87">F232</f>
        <v>4435521.75</v>
      </c>
      <c r="G231" s="465">
        <f t="shared" si="85"/>
        <v>3083113.73</v>
      </c>
      <c r="H231" s="460">
        <v>2066937.11</v>
      </c>
      <c r="I231" s="465">
        <f t="shared" si="85"/>
        <v>1000000</v>
      </c>
      <c r="J231" s="465">
        <f t="shared" si="85"/>
        <v>9037550</v>
      </c>
      <c r="K231" s="462">
        <f t="shared" si="68"/>
        <v>293.13060728382538</v>
      </c>
      <c r="L231" s="462">
        <f t="shared" si="69"/>
        <v>5954436.2699999996</v>
      </c>
      <c r="M231" s="465">
        <f t="shared" si="86"/>
        <v>3037550</v>
      </c>
      <c r="N231" s="178">
        <f t="shared" si="67"/>
        <v>-6000000</v>
      </c>
      <c r="O231" s="179">
        <f t="shared" si="70"/>
        <v>-45563.729999999981</v>
      </c>
    </row>
    <row r="232" spans="1:15" s="224" customFormat="1" ht="50.95" outlineLevel="1" x14ac:dyDescent="0.3">
      <c r="A232" s="189" t="s">
        <v>332</v>
      </c>
      <c r="B232" s="392" t="s">
        <v>455</v>
      </c>
      <c r="C232" s="392" t="s">
        <v>57</v>
      </c>
      <c r="D232" s="392" t="s">
        <v>320</v>
      </c>
      <c r="E232" s="392" t="s">
        <v>6</v>
      </c>
      <c r="F232" s="471">
        <f t="shared" si="87"/>
        <v>4435521.75</v>
      </c>
      <c r="G232" s="462">
        <f t="shared" si="85"/>
        <v>3083113.73</v>
      </c>
      <c r="H232" s="460">
        <v>2066937.11</v>
      </c>
      <c r="I232" s="462">
        <f t="shared" si="85"/>
        <v>1000000</v>
      </c>
      <c r="J232" s="462">
        <f t="shared" si="85"/>
        <v>9037550</v>
      </c>
      <c r="K232" s="462">
        <f t="shared" si="68"/>
        <v>293.13060728382538</v>
      </c>
      <c r="L232" s="462">
        <f t="shared" si="69"/>
        <v>5954436.2699999996</v>
      </c>
      <c r="M232" s="462">
        <f t="shared" si="86"/>
        <v>3037550</v>
      </c>
      <c r="N232" s="178">
        <f t="shared" si="67"/>
        <v>-6000000</v>
      </c>
      <c r="O232" s="179">
        <f t="shared" si="70"/>
        <v>-45563.729999999981</v>
      </c>
    </row>
    <row r="233" spans="1:15" ht="34" outlineLevel="1" x14ac:dyDescent="0.3">
      <c r="A233" s="189" t="s">
        <v>333</v>
      </c>
      <c r="B233" s="392" t="s">
        <v>455</v>
      </c>
      <c r="C233" s="392" t="s">
        <v>57</v>
      </c>
      <c r="D233" s="392" t="s">
        <v>334</v>
      </c>
      <c r="E233" s="392" t="s">
        <v>6</v>
      </c>
      <c r="F233" s="471">
        <f t="shared" si="87"/>
        <v>4435521.75</v>
      </c>
      <c r="G233" s="462">
        <f t="shared" si="85"/>
        <v>3083113.73</v>
      </c>
      <c r="H233" s="460">
        <v>2066937.11</v>
      </c>
      <c r="I233" s="462">
        <f t="shared" si="85"/>
        <v>1000000</v>
      </c>
      <c r="J233" s="462">
        <f t="shared" si="85"/>
        <v>9037550</v>
      </c>
      <c r="K233" s="462">
        <f t="shared" si="68"/>
        <v>293.13060728382538</v>
      </c>
      <c r="L233" s="462">
        <f t="shared" si="69"/>
        <v>5954436.2699999996</v>
      </c>
      <c r="M233" s="462">
        <f t="shared" si="86"/>
        <v>3037550</v>
      </c>
      <c r="N233" s="178">
        <f t="shared" si="67"/>
        <v>-6000000</v>
      </c>
      <c r="O233" s="179">
        <f t="shared" si="70"/>
        <v>-45563.729999999981</v>
      </c>
    </row>
    <row r="234" spans="1:15" s="224" customFormat="1" ht="34" outlineLevel="1" x14ac:dyDescent="0.3">
      <c r="A234" s="189" t="s">
        <v>15</v>
      </c>
      <c r="B234" s="392" t="s">
        <v>455</v>
      </c>
      <c r="C234" s="392" t="s">
        <v>57</v>
      </c>
      <c r="D234" s="392" t="s">
        <v>334</v>
      </c>
      <c r="E234" s="392" t="s">
        <v>16</v>
      </c>
      <c r="F234" s="471">
        <f t="shared" si="87"/>
        <v>4435521.75</v>
      </c>
      <c r="G234" s="462">
        <f t="shared" si="85"/>
        <v>3083113.73</v>
      </c>
      <c r="H234" s="460">
        <v>2066937.11</v>
      </c>
      <c r="I234" s="462">
        <f t="shared" si="85"/>
        <v>1000000</v>
      </c>
      <c r="J234" s="462">
        <f t="shared" si="85"/>
        <v>9037550</v>
      </c>
      <c r="K234" s="462">
        <f t="shared" si="68"/>
        <v>293.13060728382538</v>
      </c>
      <c r="L234" s="462">
        <f t="shared" si="69"/>
        <v>5954436.2699999996</v>
      </c>
      <c r="M234" s="462">
        <f t="shared" si="86"/>
        <v>3037550</v>
      </c>
      <c r="N234" s="178">
        <f t="shared" si="67"/>
        <v>-6000000</v>
      </c>
      <c r="O234" s="179">
        <f t="shared" si="70"/>
        <v>-45563.729999999981</v>
      </c>
    </row>
    <row r="235" spans="1:15" ht="36.700000000000003" customHeight="1" outlineLevel="1" x14ac:dyDescent="0.3">
      <c r="A235" s="189" t="s">
        <v>17</v>
      </c>
      <c r="B235" s="392" t="s">
        <v>455</v>
      </c>
      <c r="C235" s="392" t="s">
        <v>57</v>
      </c>
      <c r="D235" s="392" t="s">
        <v>334</v>
      </c>
      <c r="E235" s="392" t="s">
        <v>18</v>
      </c>
      <c r="F235" s="475">
        <v>4435521.75</v>
      </c>
      <c r="G235" s="449">
        <f>'потребность 2023 (5)'!K234-16886.27+600000</f>
        <v>3083113.73</v>
      </c>
      <c r="H235" s="460">
        <v>2066937.11</v>
      </c>
      <c r="I235" s="449">
        <v>1000000</v>
      </c>
      <c r="J235" s="449">
        <f>3037550+6000000</f>
        <v>9037550</v>
      </c>
      <c r="K235" s="462">
        <f t="shared" si="68"/>
        <v>293.13060728382538</v>
      </c>
      <c r="L235" s="462">
        <f t="shared" si="69"/>
        <v>5954436.2699999996</v>
      </c>
      <c r="M235" s="449">
        <f>3037550+6000000-6000000</f>
        <v>3037550</v>
      </c>
      <c r="N235" s="178">
        <f t="shared" si="67"/>
        <v>-6000000</v>
      </c>
      <c r="O235" s="179">
        <f t="shared" si="70"/>
        <v>-45563.729999999981</v>
      </c>
    </row>
    <row r="236" spans="1:15" ht="18.7" customHeight="1" outlineLevel="7" x14ac:dyDescent="0.3">
      <c r="A236" s="189" t="s">
        <v>58</v>
      </c>
      <c r="B236" s="392" t="s">
        <v>455</v>
      </c>
      <c r="C236" s="392" t="s">
        <v>59</v>
      </c>
      <c r="D236" s="392" t="s">
        <v>126</v>
      </c>
      <c r="E236" s="392" t="s">
        <v>6</v>
      </c>
      <c r="F236" s="462">
        <f t="shared" ref="F236:J237" si="88">F237</f>
        <v>39133013.280000001</v>
      </c>
      <c r="G236" s="462">
        <f t="shared" si="88"/>
        <v>32193687.460000001</v>
      </c>
      <c r="H236" s="460">
        <v>32467780.23</v>
      </c>
      <c r="I236" s="462">
        <f t="shared" si="88"/>
        <v>4000000</v>
      </c>
      <c r="J236" s="462">
        <f t="shared" si="88"/>
        <v>35060606.060000002</v>
      </c>
      <c r="K236" s="462">
        <f t="shared" si="68"/>
        <v>108.90521970669589</v>
      </c>
      <c r="L236" s="462">
        <f t="shared" si="69"/>
        <v>2866918.6000000015</v>
      </c>
      <c r="M236" s="462">
        <f t="shared" ref="M236:M237" si="89">M237</f>
        <v>4060606.06</v>
      </c>
      <c r="N236" s="178">
        <f t="shared" si="67"/>
        <v>-31000000.000000004</v>
      </c>
      <c r="O236" s="179">
        <f t="shared" si="70"/>
        <v>-28133081.400000002</v>
      </c>
    </row>
    <row r="237" spans="1:15" ht="67.95" outlineLevel="7" x14ac:dyDescent="0.3">
      <c r="A237" s="233" t="s">
        <v>1032</v>
      </c>
      <c r="B237" s="397" t="s">
        <v>455</v>
      </c>
      <c r="C237" s="397" t="s">
        <v>59</v>
      </c>
      <c r="D237" s="397" t="s">
        <v>134</v>
      </c>
      <c r="E237" s="397" t="s">
        <v>6</v>
      </c>
      <c r="F237" s="473">
        <f>F238+F253</f>
        <v>39133013.280000001</v>
      </c>
      <c r="G237" s="465">
        <f t="shared" si="88"/>
        <v>32193687.460000001</v>
      </c>
      <c r="H237" s="460">
        <v>32467780.23</v>
      </c>
      <c r="I237" s="465">
        <f t="shared" si="88"/>
        <v>4000000</v>
      </c>
      <c r="J237" s="465">
        <f t="shared" si="88"/>
        <v>35060606.060000002</v>
      </c>
      <c r="K237" s="462">
        <f t="shared" si="68"/>
        <v>108.90521970669589</v>
      </c>
      <c r="L237" s="462">
        <f t="shared" si="69"/>
        <v>2866918.6000000015</v>
      </c>
      <c r="M237" s="465">
        <f t="shared" si="89"/>
        <v>4060606.06</v>
      </c>
      <c r="N237" s="178">
        <f t="shared" si="67"/>
        <v>-31000000.000000004</v>
      </c>
      <c r="O237" s="179">
        <f t="shared" si="70"/>
        <v>-28133081.400000002</v>
      </c>
    </row>
    <row r="238" spans="1:15" ht="67.95" outlineLevel="7" x14ac:dyDescent="0.3">
      <c r="A238" s="189" t="s">
        <v>1033</v>
      </c>
      <c r="B238" s="392" t="s">
        <v>455</v>
      </c>
      <c r="C238" s="392" t="s">
        <v>59</v>
      </c>
      <c r="D238" s="392" t="s">
        <v>335</v>
      </c>
      <c r="E238" s="392" t="s">
        <v>6</v>
      </c>
      <c r="F238" s="471">
        <f>F239+F246+F249</f>
        <v>39133013.280000001</v>
      </c>
      <c r="G238" s="462">
        <f>G239+G246+G249+G255+G252+G258+G264+G261</f>
        <v>32193687.460000001</v>
      </c>
      <c r="H238" s="460">
        <v>32467780.23</v>
      </c>
      <c r="I238" s="462">
        <f>I239+I246+I249+I255+I252+I258+I264+I261</f>
        <v>4000000</v>
      </c>
      <c r="J238" s="462">
        <f>J239+J246+J249+J255+J252+J258+J264+J261</f>
        <v>35060606.060000002</v>
      </c>
      <c r="K238" s="462">
        <f t="shared" si="68"/>
        <v>108.90521970669589</v>
      </c>
      <c r="L238" s="462">
        <f t="shared" si="69"/>
        <v>2866918.6000000015</v>
      </c>
      <c r="M238" s="462">
        <f>M239+M246+M249+M255+M252+M258+M264+M261</f>
        <v>4060606.06</v>
      </c>
      <c r="N238" s="178">
        <f t="shared" si="67"/>
        <v>-31000000.000000004</v>
      </c>
      <c r="O238" s="179">
        <f t="shared" si="70"/>
        <v>-28133081.400000002</v>
      </c>
    </row>
    <row r="239" spans="1:15" ht="101.9" outlineLevel="1" x14ac:dyDescent="0.3">
      <c r="A239" s="189" t="s">
        <v>60</v>
      </c>
      <c r="B239" s="392" t="s">
        <v>455</v>
      </c>
      <c r="C239" s="392" t="s">
        <v>59</v>
      </c>
      <c r="D239" s="392" t="s">
        <v>336</v>
      </c>
      <c r="E239" s="392" t="s">
        <v>6</v>
      </c>
      <c r="F239" s="471">
        <f>F240+F242+F244</f>
        <v>13643362.870000001</v>
      </c>
      <c r="G239" s="462">
        <f>G240+G242+G244</f>
        <v>11659292.050000001</v>
      </c>
      <c r="H239" s="460">
        <v>10719560.43</v>
      </c>
      <c r="I239" s="462">
        <f>I240+I242+I244</f>
        <v>500000</v>
      </c>
      <c r="J239" s="462">
        <f>J240+J242+J244</f>
        <v>10000000</v>
      </c>
      <c r="K239" s="462">
        <f t="shared" si="68"/>
        <v>85.768500841352534</v>
      </c>
      <c r="L239" s="462">
        <f t="shared" si="69"/>
        <v>-1659292.0500000007</v>
      </c>
      <c r="M239" s="462">
        <f>M240+M242+M244</f>
        <v>0</v>
      </c>
      <c r="N239" s="178">
        <f t="shared" si="67"/>
        <v>-10000000</v>
      </c>
      <c r="O239" s="179">
        <f t="shared" si="70"/>
        <v>-11659292.050000001</v>
      </c>
    </row>
    <row r="240" spans="1:15" s="224" customFormat="1" ht="34" outlineLevel="1" x14ac:dyDescent="0.3">
      <c r="A240" s="189" t="s">
        <v>15</v>
      </c>
      <c r="B240" s="392" t="s">
        <v>455</v>
      </c>
      <c r="C240" s="392" t="s">
        <v>59</v>
      </c>
      <c r="D240" s="392" t="s">
        <v>336</v>
      </c>
      <c r="E240" s="392" t="s">
        <v>16</v>
      </c>
      <c r="F240" s="471">
        <f>F241</f>
        <v>2744102.88</v>
      </c>
      <c r="G240" s="462">
        <f>G241</f>
        <v>1180603.8700000001</v>
      </c>
      <c r="H240" s="460">
        <v>240872.25</v>
      </c>
      <c r="I240" s="462">
        <f>I241</f>
        <v>500000</v>
      </c>
      <c r="J240" s="462">
        <f>J241</f>
        <v>10000000</v>
      </c>
      <c r="K240" s="462">
        <f t="shared" si="68"/>
        <v>847.02415891623309</v>
      </c>
      <c r="L240" s="462">
        <f t="shared" si="69"/>
        <v>8819396.129999999</v>
      </c>
      <c r="M240" s="462">
        <f>M241</f>
        <v>0</v>
      </c>
      <c r="N240" s="178">
        <f t="shared" si="67"/>
        <v>-10000000</v>
      </c>
      <c r="O240" s="179">
        <f t="shared" si="70"/>
        <v>-1180603.8700000001</v>
      </c>
    </row>
    <row r="241" spans="1:15" ht="39.25" customHeight="1" outlineLevel="1" x14ac:dyDescent="0.3">
      <c r="A241" s="189" t="s">
        <v>17</v>
      </c>
      <c r="B241" s="392" t="s">
        <v>455</v>
      </c>
      <c r="C241" s="392" t="s">
        <v>59</v>
      </c>
      <c r="D241" s="392" t="s">
        <v>336</v>
      </c>
      <c r="E241" s="392" t="s">
        <v>18</v>
      </c>
      <c r="F241" s="475">
        <v>2744102.88</v>
      </c>
      <c r="G241" s="449">
        <f>'потребность 2023 (5)'!K245-1040707.95-178688.18+6200000-5300000</f>
        <v>1180603.8700000001</v>
      </c>
      <c r="H241" s="460">
        <v>240872.25</v>
      </c>
      <c r="I241" s="449">
        <v>500000</v>
      </c>
      <c r="J241" s="449">
        <v>10000000</v>
      </c>
      <c r="K241" s="462">
        <f t="shared" si="68"/>
        <v>847.02415891623309</v>
      </c>
      <c r="L241" s="462">
        <f t="shared" si="69"/>
        <v>8819396.129999999</v>
      </c>
      <c r="M241" s="449">
        <f>10000000-10000000</f>
        <v>0</v>
      </c>
      <c r="N241" s="178">
        <f t="shared" si="67"/>
        <v>-10000000</v>
      </c>
      <c r="O241" s="179">
        <f t="shared" si="70"/>
        <v>-1180603.8700000001</v>
      </c>
    </row>
    <row r="242" spans="1:15" ht="41.3" hidden="1" customHeight="1" outlineLevel="1" x14ac:dyDescent="0.3">
      <c r="A242" s="189" t="s">
        <v>258</v>
      </c>
      <c r="B242" s="392" t="s">
        <v>455</v>
      </c>
      <c r="C242" s="392" t="s">
        <v>59</v>
      </c>
      <c r="D242" s="392" t="s">
        <v>336</v>
      </c>
      <c r="E242" s="392" t="s">
        <v>259</v>
      </c>
      <c r="F242" s="476">
        <f>F243</f>
        <v>899259.99</v>
      </c>
      <c r="G242" s="449">
        <f>G243</f>
        <v>478688.18</v>
      </c>
      <c r="H242" s="460">
        <v>478688.18</v>
      </c>
      <c r="I242" s="449">
        <f>I243</f>
        <v>0</v>
      </c>
      <c r="J242" s="449">
        <f>J243</f>
        <v>0</v>
      </c>
      <c r="K242" s="462">
        <f t="shared" si="68"/>
        <v>0</v>
      </c>
      <c r="L242" s="462">
        <f t="shared" si="69"/>
        <v>-478688.18</v>
      </c>
      <c r="M242" s="449">
        <f>M243</f>
        <v>0</v>
      </c>
      <c r="N242" s="178">
        <f t="shared" si="67"/>
        <v>0</v>
      </c>
      <c r="O242" s="179">
        <f t="shared" si="70"/>
        <v>-478688.18</v>
      </c>
    </row>
    <row r="243" spans="1:15" ht="24.8" hidden="1" customHeight="1" outlineLevel="1" x14ac:dyDescent="0.3">
      <c r="A243" s="189" t="s">
        <v>260</v>
      </c>
      <c r="B243" s="392" t="s">
        <v>455</v>
      </c>
      <c r="C243" s="392" t="s">
        <v>59</v>
      </c>
      <c r="D243" s="392" t="s">
        <v>336</v>
      </c>
      <c r="E243" s="392" t="s">
        <v>261</v>
      </c>
      <c r="F243" s="475">
        <v>899259.99</v>
      </c>
      <c r="G243" s="449">
        <f>178688.18+300000</f>
        <v>478688.18</v>
      </c>
      <c r="H243" s="460">
        <v>478688.18</v>
      </c>
      <c r="I243" s="449">
        <v>0</v>
      </c>
      <c r="J243" s="449"/>
      <c r="K243" s="462">
        <f t="shared" si="68"/>
        <v>0</v>
      </c>
      <c r="L243" s="462">
        <f t="shared" si="69"/>
        <v>-478688.18</v>
      </c>
      <c r="M243" s="449"/>
      <c r="N243" s="178">
        <f t="shared" si="67"/>
        <v>0</v>
      </c>
      <c r="O243" s="179">
        <f t="shared" si="70"/>
        <v>-478688.18</v>
      </c>
    </row>
    <row r="244" spans="1:15" ht="27.7" customHeight="1" outlineLevel="1" x14ac:dyDescent="0.3">
      <c r="A244" s="189" t="s">
        <v>19</v>
      </c>
      <c r="B244" s="392" t="s">
        <v>455</v>
      </c>
      <c r="C244" s="392" t="s">
        <v>59</v>
      </c>
      <c r="D244" s="392" t="s">
        <v>336</v>
      </c>
      <c r="E244" s="392" t="s">
        <v>20</v>
      </c>
      <c r="F244" s="475">
        <v>10000000</v>
      </c>
      <c r="G244" s="449">
        <f>G245</f>
        <v>10000000</v>
      </c>
      <c r="H244" s="460">
        <v>10000000</v>
      </c>
      <c r="I244" s="449">
        <f>I245</f>
        <v>0</v>
      </c>
      <c r="J244" s="449">
        <f>J245</f>
        <v>0</v>
      </c>
      <c r="K244" s="462">
        <f t="shared" si="68"/>
        <v>0</v>
      </c>
      <c r="L244" s="462">
        <f t="shared" si="69"/>
        <v>-10000000</v>
      </c>
      <c r="M244" s="449">
        <f>M245</f>
        <v>0</v>
      </c>
      <c r="N244" s="178">
        <f t="shared" si="67"/>
        <v>0</v>
      </c>
      <c r="O244" s="179">
        <f t="shared" si="70"/>
        <v>-10000000</v>
      </c>
    </row>
    <row r="245" spans="1:15" ht="57.75" customHeight="1" outlineLevel="1" x14ac:dyDescent="0.3">
      <c r="A245" s="189" t="s">
        <v>963</v>
      </c>
      <c r="B245" s="392" t="s">
        <v>455</v>
      </c>
      <c r="C245" s="392" t="s">
        <v>59</v>
      </c>
      <c r="D245" s="392" t="s">
        <v>336</v>
      </c>
      <c r="E245" s="392" t="s">
        <v>48</v>
      </c>
      <c r="F245" s="475">
        <v>10000000</v>
      </c>
      <c r="G245" s="449">
        <f>'потребность 2023 (5)'!K249</f>
        <v>10000000</v>
      </c>
      <c r="H245" s="460">
        <v>10000000</v>
      </c>
      <c r="I245" s="449">
        <v>0</v>
      </c>
      <c r="J245" s="449"/>
      <c r="K245" s="462">
        <f t="shared" si="68"/>
        <v>0</v>
      </c>
      <c r="L245" s="462">
        <f t="shared" si="69"/>
        <v>-10000000</v>
      </c>
      <c r="M245" s="449">
        <v>0</v>
      </c>
      <c r="N245" s="178">
        <f t="shared" si="67"/>
        <v>0</v>
      </c>
      <c r="O245" s="179">
        <f t="shared" si="70"/>
        <v>-10000000</v>
      </c>
    </row>
    <row r="246" spans="1:15" ht="21.25" customHeight="1" outlineLevel="1" x14ac:dyDescent="0.3">
      <c r="A246" s="189" t="s">
        <v>246</v>
      </c>
      <c r="B246" s="392" t="s">
        <v>455</v>
      </c>
      <c r="C246" s="392" t="s">
        <v>59</v>
      </c>
      <c r="D246" s="392" t="s">
        <v>337</v>
      </c>
      <c r="E246" s="392" t="s">
        <v>6</v>
      </c>
      <c r="F246" s="475">
        <v>3838391.19</v>
      </c>
      <c r="G246" s="449">
        <f t="shared" ref="G246:J247" si="90">G247</f>
        <v>4400000</v>
      </c>
      <c r="H246" s="460">
        <v>2982177.06</v>
      </c>
      <c r="I246" s="449">
        <f t="shared" si="90"/>
        <v>3500000</v>
      </c>
      <c r="J246" s="449">
        <f t="shared" si="90"/>
        <v>4000000</v>
      </c>
      <c r="K246" s="462">
        <f t="shared" si="68"/>
        <v>90.909090909090907</v>
      </c>
      <c r="L246" s="462">
        <f t="shared" si="69"/>
        <v>-400000</v>
      </c>
      <c r="M246" s="449">
        <f t="shared" ref="M246:M247" si="91">M247</f>
        <v>4000000</v>
      </c>
      <c r="N246" s="178">
        <f t="shared" si="67"/>
        <v>0</v>
      </c>
      <c r="O246" s="179">
        <f t="shared" si="70"/>
        <v>-400000</v>
      </c>
    </row>
    <row r="247" spans="1:15" ht="21.25" customHeight="1" outlineLevel="1" x14ac:dyDescent="0.3">
      <c r="A247" s="189" t="s">
        <v>19</v>
      </c>
      <c r="B247" s="392" t="s">
        <v>455</v>
      </c>
      <c r="C247" s="392" t="s">
        <v>59</v>
      </c>
      <c r="D247" s="392" t="s">
        <v>337</v>
      </c>
      <c r="E247" s="392" t="s">
        <v>20</v>
      </c>
      <c r="F247" s="475">
        <v>3838391.19</v>
      </c>
      <c r="G247" s="449">
        <f t="shared" si="90"/>
        <v>4400000</v>
      </c>
      <c r="H247" s="460">
        <v>2982177.06</v>
      </c>
      <c r="I247" s="449">
        <f t="shared" si="90"/>
        <v>3500000</v>
      </c>
      <c r="J247" s="449">
        <f t="shared" si="90"/>
        <v>4000000</v>
      </c>
      <c r="K247" s="462">
        <f t="shared" si="68"/>
        <v>90.909090909090907</v>
      </c>
      <c r="L247" s="462">
        <f t="shared" si="69"/>
        <v>-400000</v>
      </c>
      <c r="M247" s="449">
        <f t="shared" si="91"/>
        <v>4000000</v>
      </c>
      <c r="N247" s="178">
        <f t="shared" si="67"/>
        <v>0</v>
      </c>
      <c r="O247" s="179">
        <f t="shared" si="70"/>
        <v>-400000</v>
      </c>
    </row>
    <row r="248" spans="1:15" ht="55.55" customHeight="1" outlineLevel="1" x14ac:dyDescent="0.3">
      <c r="A248" s="189" t="s">
        <v>963</v>
      </c>
      <c r="B248" s="392" t="s">
        <v>455</v>
      </c>
      <c r="C248" s="392" t="s">
        <v>59</v>
      </c>
      <c r="D248" s="392" t="s">
        <v>337</v>
      </c>
      <c r="E248" s="392" t="s">
        <v>48</v>
      </c>
      <c r="F248" s="475">
        <v>3838391.19</v>
      </c>
      <c r="G248" s="462">
        <f>'потребность 2023 (5)'!K252</f>
        <v>4400000</v>
      </c>
      <c r="H248" s="460">
        <v>2982177.06</v>
      </c>
      <c r="I248" s="462">
        <v>3500000</v>
      </c>
      <c r="J248" s="449">
        <v>4000000</v>
      </c>
      <c r="K248" s="462">
        <f t="shared" si="68"/>
        <v>90.909090909090907</v>
      </c>
      <c r="L248" s="462">
        <f t="shared" si="69"/>
        <v>-400000</v>
      </c>
      <c r="M248" s="449">
        <v>4000000</v>
      </c>
      <c r="N248" s="178">
        <f t="shared" si="67"/>
        <v>0</v>
      </c>
      <c r="O248" s="179">
        <f t="shared" si="70"/>
        <v>-400000</v>
      </c>
    </row>
    <row r="249" spans="1:15" ht="36.700000000000003" customHeight="1" outlineLevel="1" x14ac:dyDescent="0.3">
      <c r="A249" s="189" t="s">
        <v>256</v>
      </c>
      <c r="B249" s="392" t="s">
        <v>455</v>
      </c>
      <c r="C249" s="392" t="s">
        <v>59</v>
      </c>
      <c r="D249" s="392" t="s">
        <v>338</v>
      </c>
      <c r="E249" s="392" t="s">
        <v>6</v>
      </c>
      <c r="F249" s="475">
        <v>21651259.219999999</v>
      </c>
      <c r="G249" s="449">
        <f t="shared" ref="G249:J250" si="92">G250</f>
        <v>15999000</v>
      </c>
      <c r="H249" s="460">
        <v>15234254.439999999</v>
      </c>
      <c r="I249" s="449">
        <f t="shared" si="92"/>
        <v>0</v>
      </c>
      <c r="J249" s="449">
        <f t="shared" si="92"/>
        <v>21000000</v>
      </c>
      <c r="K249" s="462">
        <f t="shared" si="68"/>
        <v>131.25820363772735</v>
      </c>
      <c r="L249" s="462">
        <f t="shared" si="69"/>
        <v>5001000</v>
      </c>
      <c r="M249" s="449">
        <f t="shared" ref="M249:M250" si="93">M250</f>
        <v>0</v>
      </c>
      <c r="N249" s="178">
        <f t="shared" si="67"/>
        <v>-21000000</v>
      </c>
      <c r="O249" s="179">
        <f t="shared" si="70"/>
        <v>-15999000</v>
      </c>
    </row>
    <row r="250" spans="1:15" outlineLevel="1" x14ac:dyDescent="0.3">
      <c r="A250" s="189" t="s">
        <v>19</v>
      </c>
      <c r="B250" s="392" t="s">
        <v>455</v>
      </c>
      <c r="C250" s="392" t="s">
        <v>59</v>
      </c>
      <c r="D250" s="392" t="s">
        <v>338</v>
      </c>
      <c r="E250" s="392" t="s">
        <v>20</v>
      </c>
      <c r="F250" s="475">
        <v>21651259.219999999</v>
      </c>
      <c r="G250" s="449">
        <f t="shared" si="92"/>
        <v>15999000</v>
      </c>
      <c r="H250" s="460">
        <v>15234254.439999999</v>
      </c>
      <c r="I250" s="449">
        <f t="shared" si="92"/>
        <v>0</v>
      </c>
      <c r="J250" s="449">
        <f t="shared" si="92"/>
        <v>21000000</v>
      </c>
      <c r="K250" s="462">
        <f t="shared" si="68"/>
        <v>131.25820363772735</v>
      </c>
      <c r="L250" s="462">
        <f t="shared" si="69"/>
        <v>5001000</v>
      </c>
      <c r="M250" s="449">
        <f t="shared" si="93"/>
        <v>0</v>
      </c>
      <c r="N250" s="178">
        <f t="shared" si="67"/>
        <v>-21000000</v>
      </c>
      <c r="O250" s="179">
        <f t="shared" si="70"/>
        <v>-15999000</v>
      </c>
    </row>
    <row r="251" spans="1:15" ht="60.45" customHeight="1" outlineLevel="1" x14ac:dyDescent="0.3">
      <c r="A251" s="189" t="s">
        <v>963</v>
      </c>
      <c r="B251" s="392" t="s">
        <v>455</v>
      </c>
      <c r="C251" s="392" t="s">
        <v>59</v>
      </c>
      <c r="D251" s="392" t="s">
        <v>338</v>
      </c>
      <c r="E251" s="392" t="s">
        <v>48</v>
      </c>
      <c r="F251" s="475">
        <v>21651259.219999999</v>
      </c>
      <c r="G251" s="462">
        <f>'потребность 2023 (5)'!K255+560000</f>
        <v>15999000</v>
      </c>
      <c r="H251" s="460">
        <v>15234254.439999999</v>
      </c>
      <c r="I251" s="462">
        <v>0</v>
      </c>
      <c r="J251" s="449">
        <v>21000000</v>
      </c>
      <c r="K251" s="462">
        <f t="shared" si="68"/>
        <v>131.25820363772735</v>
      </c>
      <c r="L251" s="462">
        <f t="shared" si="69"/>
        <v>5001000</v>
      </c>
      <c r="M251" s="449">
        <v>0</v>
      </c>
      <c r="N251" s="178">
        <f t="shared" si="67"/>
        <v>-21000000</v>
      </c>
      <c r="O251" s="179">
        <f t="shared" si="70"/>
        <v>-15999000</v>
      </c>
    </row>
    <row r="252" spans="1:15" ht="50.95" hidden="1" customHeight="1" outlineLevel="1" x14ac:dyDescent="0.3">
      <c r="A252" s="189" t="s">
        <v>289</v>
      </c>
      <c r="B252" s="392" t="s">
        <v>455</v>
      </c>
      <c r="C252" s="392" t="s">
        <v>59</v>
      </c>
      <c r="D252" s="392" t="s">
        <v>369</v>
      </c>
      <c r="E252" s="392" t="s">
        <v>6</v>
      </c>
      <c r="F252" s="462"/>
      <c r="G252" s="462">
        <f t="shared" ref="G252:J253" si="94">G253</f>
        <v>0</v>
      </c>
      <c r="H252" s="460">
        <v>0</v>
      </c>
      <c r="I252" s="462">
        <f t="shared" si="94"/>
        <v>0</v>
      </c>
      <c r="J252" s="462">
        <f t="shared" si="94"/>
        <v>0</v>
      </c>
      <c r="K252" s="462" t="e">
        <f t="shared" si="68"/>
        <v>#DIV/0!</v>
      </c>
      <c r="L252" s="462">
        <f t="shared" si="69"/>
        <v>0</v>
      </c>
      <c r="M252" s="462">
        <f t="shared" ref="M252:M253" si="95">M253</f>
        <v>0</v>
      </c>
      <c r="N252" s="178">
        <f t="shared" si="67"/>
        <v>0</v>
      </c>
      <c r="O252" s="179">
        <f t="shared" si="70"/>
        <v>0</v>
      </c>
    </row>
    <row r="253" spans="1:15" ht="34" hidden="1" customHeight="1" outlineLevel="1" x14ac:dyDescent="0.3">
      <c r="A253" s="189" t="s">
        <v>15</v>
      </c>
      <c r="B253" s="392" t="s">
        <v>455</v>
      </c>
      <c r="C253" s="392" t="s">
        <v>59</v>
      </c>
      <c r="D253" s="392" t="s">
        <v>369</v>
      </c>
      <c r="E253" s="392" t="s">
        <v>16</v>
      </c>
      <c r="F253" s="462"/>
      <c r="G253" s="462">
        <f t="shared" si="94"/>
        <v>0</v>
      </c>
      <c r="H253" s="460">
        <v>0</v>
      </c>
      <c r="I253" s="462">
        <f t="shared" si="94"/>
        <v>0</v>
      </c>
      <c r="J253" s="462">
        <f t="shared" si="94"/>
        <v>0</v>
      </c>
      <c r="K253" s="462" t="e">
        <f t="shared" si="68"/>
        <v>#DIV/0!</v>
      </c>
      <c r="L253" s="462">
        <f t="shared" si="69"/>
        <v>0</v>
      </c>
      <c r="M253" s="462">
        <f t="shared" si="95"/>
        <v>0</v>
      </c>
      <c r="N253" s="178">
        <f t="shared" si="67"/>
        <v>0</v>
      </c>
      <c r="O253" s="179">
        <f t="shared" si="70"/>
        <v>0</v>
      </c>
    </row>
    <row r="254" spans="1:15" ht="49.75" hidden="1" customHeight="1" outlineLevel="1" x14ac:dyDescent="0.3">
      <c r="A254" s="189" t="s">
        <v>17</v>
      </c>
      <c r="B254" s="392" t="s">
        <v>455</v>
      </c>
      <c r="C254" s="392" t="s">
        <v>59</v>
      </c>
      <c r="D254" s="392" t="s">
        <v>369</v>
      </c>
      <c r="E254" s="392" t="s">
        <v>18</v>
      </c>
      <c r="F254" s="462"/>
      <c r="G254" s="462">
        <f>'потребность 2023 (5)'!K258-151444.28</f>
        <v>0</v>
      </c>
      <c r="H254" s="468">
        <v>0</v>
      </c>
      <c r="I254" s="462">
        <v>0</v>
      </c>
      <c r="J254" s="449"/>
      <c r="K254" s="462" t="e">
        <f t="shared" si="68"/>
        <v>#DIV/0!</v>
      </c>
      <c r="L254" s="462">
        <f t="shared" si="69"/>
        <v>0</v>
      </c>
      <c r="M254" s="449"/>
      <c r="N254" s="178">
        <f t="shared" si="67"/>
        <v>0</v>
      </c>
      <c r="O254" s="179">
        <f t="shared" si="70"/>
        <v>0</v>
      </c>
    </row>
    <row r="255" spans="1:15" ht="56.25" hidden="1" customHeight="1" outlineLevel="1" x14ac:dyDescent="0.3">
      <c r="A255" s="189" t="s">
        <v>257</v>
      </c>
      <c r="B255" s="392" t="s">
        <v>455</v>
      </c>
      <c r="C255" s="392" t="s">
        <v>59</v>
      </c>
      <c r="D255" s="392" t="s">
        <v>370</v>
      </c>
      <c r="E255" s="392" t="s">
        <v>6</v>
      </c>
      <c r="F255" s="462"/>
      <c r="G255" s="462">
        <f t="shared" ref="G255:J256" si="96">G256</f>
        <v>0</v>
      </c>
      <c r="H255" s="449"/>
      <c r="I255" s="462">
        <f t="shared" si="96"/>
        <v>0</v>
      </c>
      <c r="J255" s="462">
        <f t="shared" si="96"/>
        <v>0</v>
      </c>
      <c r="K255" s="462" t="e">
        <f t="shared" si="68"/>
        <v>#DIV/0!</v>
      </c>
      <c r="L255" s="462">
        <f t="shared" si="69"/>
        <v>0</v>
      </c>
      <c r="M255" s="462">
        <f t="shared" ref="M255:M256" si="97">M256</f>
        <v>0</v>
      </c>
      <c r="N255" s="178">
        <f t="shared" si="67"/>
        <v>0</v>
      </c>
      <c r="O255" s="179">
        <f t="shared" si="70"/>
        <v>0</v>
      </c>
    </row>
    <row r="256" spans="1:15" ht="37.549999999999997" hidden="1" customHeight="1" outlineLevel="1" x14ac:dyDescent="0.3">
      <c r="A256" s="189" t="s">
        <v>15</v>
      </c>
      <c r="B256" s="392" t="s">
        <v>455</v>
      </c>
      <c r="C256" s="392" t="s">
        <v>59</v>
      </c>
      <c r="D256" s="392" t="s">
        <v>370</v>
      </c>
      <c r="E256" s="392" t="s">
        <v>16</v>
      </c>
      <c r="F256" s="462"/>
      <c r="G256" s="462">
        <f t="shared" si="96"/>
        <v>0</v>
      </c>
      <c r="H256" s="449"/>
      <c r="I256" s="462">
        <f t="shared" si="96"/>
        <v>0</v>
      </c>
      <c r="J256" s="462">
        <f t="shared" si="96"/>
        <v>0</v>
      </c>
      <c r="K256" s="462" t="e">
        <f t="shared" si="68"/>
        <v>#DIV/0!</v>
      </c>
      <c r="L256" s="462">
        <f t="shared" si="69"/>
        <v>0</v>
      </c>
      <c r="M256" s="462">
        <f t="shared" si="97"/>
        <v>0</v>
      </c>
      <c r="N256" s="178">
        <f t="shared" si="67"/>
        <v>0</v>
      </c>
      <c r="O256" s="179">
        <f t="shared" si="70"/>
        <v>0</v>
      </c>
    </row>
    <row r="257" spans="1:15" ht="37.549999999999997" hidden="1" customHeight="1" outlineLevel="1" x14ac:dyDescent="0.3">
      <c r="A257" s="189" t="s">
        <v>17</v>
      </c>
      <c r="B257" s="392" t="s">
        <v>455</v>
      </c>
      <c r="C257" s="392" t="s">
        <v>59</v>
      </c>
      <c r="D257" s="392" t="s">
        <v>370</v>
      </c>
      <c r="E257" s="392" t="s">
        <v>18</v>
      </c>
      <c r="F257" s="462"/>
      <c r="G257" s="462">
        <f>'потребность 2023 (5)'!K261-200000</f>
        <v>0</v>
      </c>
      <c r="H257" s="449"/>
      <c r="I257" s="462">
        <v>0</v>
      </c>
      <c r="J257" s="449"/>
      <c r="K257" s="462" t="e">
        <f t="shared" si="68"/>
        <v>#DIV/0!</v>
      </c>
      <c r="L257" s="462">
        <f t="shared" si="69"/>
        <v>0</v>
      </c>
      <c r="M257" s="449"/>
      <c r="N257" s="178">
        <f t="shared" si="67"/>
        <v>0</v>
      </c>
      <c r="O257" s="179">
        <f t="shared" si="70"/>
        <v>0</v>
      </c>
    </row>
    <row r="258" spans="1:15" ht="127.7" customHeight="1" outlineLevel="1" x14ac:dyDescent="0.3">
      <c r="A258" s="469" t="s">
        <v>981</v>
      </c>
      <c r="B258" s="392" t="s">
        <v>455</v>
      </c>
      <c r="C258" s="392" t="s">
        <v>59</v>
      </c>
      <c r="D258" s="392" t="s">
        <v>1007</v>
      </c>
      <c r="E258" s="392" t="s">
        <v>6</v>
      </c>
      <c r="F258" s="462"/>
      <c r="G258" s="462">
        <f t="shared" ref="G258:J259" si="98">G259</f>
        <v>105092.38</v>
      </c>
      <c r="H258" s="474"/>
      <c r="I258" s="462">
        <f t="shared" si="98"/>
        <v>0</v>
      </c>
      <c r="J258" s="462">
        <f t="shared" si="98"/>
        <v>0</v>
      </c>
      <c r="K258" s="462">
        <f t="shared" si="68"/>
        <v>0</v>
      </c>
      <c r="L258" s="462">
        <f t="shared" si="69"/>
        <v>-105092.38</v>
      </c>
      <c r="M258" s="462">
        <f t="shared" ref="M258:M259" si="99">M259</f>
        <v>0</v>
      </c>
      <c r="N258" s="178">
        <f t="shared" si="67"/>
        <v>0</v>
      </c>
      <c r="O258" s="179">
        <f t="shared" si="70"/>
        <v>-105092.38</v>
      </c>
    </row>
    <row r="259" spans="1:15" ht="37.549999999999997" customHeight="1" outlineLevel="1" x14ac:dyDescent="0.3">
      <c r="A259" s="189" t="s">
        <v>15</v>
      </c>
      <c r="B259" s="392" t="s">
        <v>455</v>
      </c>
      <c r="C259" s="392" t="s">
        <v>59</v>
      </c>
      <c r="D259" s="392" t="s">
        <v>1007</v>
      </c>
      <c r="E259" s="392" t="s">
        <v>16</v>
      </c>
      <c r="F259" s="462"/>
      <c r="G259" s="462">
        <f t="shared" si="98"/>
        <v>105092.38</v>
      </c>
      <c r="H259" s="460"/>
      <c r="I259" s="462">
        <f t="shared" si="98"/>
        <v>0</v>
      </c>
      <c r="J259" s="462">
        <f t="shared" si="98"/>
        <v>0</v>
      </c>
      <c r="K259" s="462">
        <f t="shared" si="68"/>
        <v>0</v>
      </c>
      <c r="L259" s="462">
        <f t="shared" si="69"/>
        <v>-105092.38</v>
      </c>
      <c r="M259" s="462">
        <f t="shared" si="99"/>
        <v>0</v>
      </c>
      <c r="N259" s="178">
        <f t="shared" si="67"/>
        <v>0</v>
      </c>
      <c r="O259" s="179">
        <f t="shared" si="70"/>
        <v>-105092.38</v>
      </c>
    </row>
    <row r="260" spans="1:15" ht="37.549999999999997" customHeight="1" outlineLevel="1" x14ac:dyDescent="0.3">
      <c r="A260" s="189" t="s">
        <v>17</v>
      </c>
      <c r="B260" s="392" t="s">
        <v>455</v>
      </c>
      <c r="C260" s="392" t="s">
        <v>59</v>
      </c>
      <c r="D260" s="392" t="s">
        <v>1007</v>
      </c>
      <c r="E260" s="392" t="s">
        <v>18</v>
      </c>
      <c r="F260" s="462"/>
      <c r="G260" s="462">
        <f>105092.38</f>
        <v>105092.38</v>
      </c>
      <c r="H260" s="460"/>
      <c r="I260" s="462">
        <v>0</v>
      </c>
      <c r="J260" s="449"/>
      <c r="K260" s="462">
        <f t="shared" si="68"/>
        <v>0</v>
      </c>
      <c r="L260" s="462">
        <f t="shared" si="69"/>
        <v>-105092.38</v>
      </c>
      <c r="M260" s="449"/>
      <c r="N260" s="178">
        <f t="shared" si="67"/>
        <v>0</v>
      </c>
      <c r="O260" s="179">
        <f t="shared" si="70"/>
        <v>-105092.38</v>
      </c>
    </row>
    <row r="261" spans="1:15" ht="42.8" hidden="1" customHeight="1" outlineLevel="1" x14ac:dyDescent="0.3">
      <c r="A261" s="189" t="s">
        <v>956</v>
      </c>
      <c r="B261" s="392" t="s">
        <v>455</v>
      </c>
      <c r="C261" s="392" t="s">
        <v>59</v>
      </c>
      <c r="D261" s="392" t="s">
        <v>639</v>
      </c>
      <c r="E261" s="392" t="s">
        <v>6</v>
      </c>
      <c r="F261" s="462"/>
      <c r="G261" s="462">
        <f t="shared" ref="G261:J262" si="100">G262</f>
        <v>0</v>
      </c>
      <c r="H261" s="460">
        <v>0</v>
      </c>
      <c r="I261" s="462">
        <f t="shared" si="100"/>
        <v>0</v>
      </c>
      <c r="J261" s="462">
        <f t="shared" si="100"/>
        <v>0</v>
      </c>
      <c r="K261" s="462" t="e">
        <f t="shared" si="68"/>
        <v>#DIV/0!</v>
      </c>
      <c r="L261" s="462">
        <f t="shared" si="69"/>
        <v>0</v>
      </c>
      <c r="M261" s="462">
        <f t="shared" ref="M261:M262" si="101">M262</f>
        <v>0</v>
      </c>
      <c r="N261" s="178">
        <f t="shared" si="67"/>
        <v>0</v>
      </c>
      <c r="O261" s="179">
        <f t="shared" si="70"/>
        <v>0</v>
      </c>
    </row>
    <row r="262" spans="1:15" ht="37.549999999999997" hidden="1" customHeight="1" outlineLevel="1" x14ac:dyDescent="0.3">
      <c r="A262" s="189" t="s">
        <v>15</v>
      </c>
      <c r="B262" s="392" t="s">
        <v>455</v>
      </c>
      <c r="C262" s="392" t="s">
        <v>59</v>
      </c>
      <c r="D262" s="392" t="s">
        <v>639</v>
      </c>
      <c r="E262" s="392" t="s">
        <v>16</v>
      </c>
      <c r="F262" s="462"/>
      <c r="G262" s="462">
        <f t="shared" si="100"/>
        <v>0</v>
      </c>
      <c r="H262" s="460">
        <v>0</v>
      </c>
      <c r="I262" s="462">
        <f t="shared" si="100"/>
        <v>0</v>
      </c>
      <c r="J262" s="462">
        <f t="shared" si="100"/>
        <v>0</v>
      </c>
      <c r="K262" s="462" t="e">
        <f t="shared" si="68"/>
        <v>#DIV/0!</v>
      </c>
      <c r="L262" s="462">
        <f t="shared" si="69"/>
        <v>0</v>
      </c>
      <c r="M262" s="462">
        <f t="shared" si="101"/>
        <v>0</v>
      </c>
      <c r="N262" s="178">
        <f t="shared" si="67"/>
        <v>0</v>
      </c>
      <c r="O262" s="179">
        <f t="shared" si="70"/>
        <v>0</v>
      </c>
    </row>
    <row r="263" spans="1:15" ht="37.549999999999997" hidden="1" customHeight="1" outlineLevel="1" x14ac:dyDescent="0.3">
      <c r="A263" s="189" t="s">
        <v>17</v>
      </c>
      <c r="B263" s="392" t="s">
        <v>455</v>
      </c>
      <c r="C263" s="392" t="s">
        <v>59</v>
      </c>
      <c r="D263" s="392" t="s">
        <v>639</v>
      </c>
      <c r="E263" s="392" t="s">
        <v>18</v>
      </c>
      <c r="F263" s="462"/>
      <c r="G263" s="462"/>
      <c r="H263" s="460">
        <v>0</v>
      </c>
      <c r="I263" s="462">
        <v>0</v>
      </c>
      <c r="J263" s="449"/>
      <c r="K263" s="462" t="e">
        <f t="shared" si="68"/>
        <v>#DIV/0!</v>
      </c>
      <c r="L263" s="462">
        <f t="shared" si="69"/>
        <v>0</v>
      </c>
      <c r="M263" s="449"/>
      <c r="N263" s="178">
        <f t="shared" si="67"/>
        <v>0</v>
      </c>
      <c r="O263" s="179">
        <f t="shared" si="70"/>
        <v>0</v>
      </c>
    </row>
    <row r="264" spans="1:15" ht="42.45" customHeight="1" outlineLevel="1" x14ac:dyDescent="0.3">
      <c r="A264" s="189" t="s">
        <v>616</v>
      </c>
      <c r="B264" s="392" t="s">
        <v>455</v>
      </c>
      <c r="C264" s="392" t="s">
        <v>59</v>
      </c>
      <c r="D264" s="392" t="s">
        <v>615</v>
      </c>
      <c r="E264" s="392" t="s">
        <v>6</v>
      </c>
      <c r="F264" s="462"/>
      <c r="G264" s="462">
        <f t="shared" ref="G264:J265" si="102">G265</f>
        <v>30303.03</v>
      </c>
      <c r="H264" s="460">
        <v>0</v>
      </c>
      <c r="I264" s="462">
        <f t="shared" si="102"/>
        <v>0</v>
      </c>
      <c r="J264" s="462">
        <f t="shared" si="102"/>
        <v>60606.06</v>
      </c>
      <c r="K264" s="462">
        <f t="shared" si="68"/>
        <v>200</v>
      </c>
      <c r="L264" s="462">
        <f t="shared" si="69"/>
        <v>30303.03</v>
      </c>
      <c r="M264" s="462">
        <f t="shared" ref="M264:M265" si="103">M265</f>
        <v>60606.06</v>
      </c>
      <c r="N264" s="178">
        <f t="shared" ref="N264:N327" si="104">M264-J264</f>
        <v>0</v>
      </c>
      <c r="O264" s="179">
        <f t="shared" si="70"/>
        <v>30303.03</v>
      </c>
    </row>
    <row r="265" spans="1:15" ht="23.95" customHeight="1" outlineLevel="1" x14ac:dyDescent="0.3">
      <c r="A265" s="189" t="s">
        <v>15</v>
      </c>
      <c r="B265" s="392" t="s">
        <v>455</v>
      </c>
      <c r="C265" s="392" t="s">
        <v>59</v>
      </c>
      <c r="D265" s="392" t="s">
        <v>615</v>
      </c>
      <c r="E265" s="392" t="s">
        <v>16</v>
      </c>
      <c r="F265" s="462"/>
      <c r="G265" s="462">
        <f t="shared" si="102"/>
        <v>30303.03</v>
      </c>
      <c r="H265" s="460">
        <v>0</v>
      </c>
      <c r="I265" s="462">
        <f t="shared" si="102"/>
        <v>0</v>
      </c>
      <c r="J265" s="462">
        <f t="shared" si="102"/>
        <v>60606.06</v>
      </c>
      <c r="K265" s="462">
        <f t="shared" ref="K265:K328" si="105">J265/G265*100</f>
        <v>200</v>
      </c>
      <c r="L265" s="462">
        <f t="shared" ref="L265:L328" si="106">J265-G265</f>
        <v>30303.03</v>
      </c>
      <c r="M265" s="462">
        <f t="shared" si="103"/>
        <v>60606.06</v>
      </c>
      <c r="N265" s="178">
        <f t="shared" si="104"/>
        <v>0</v>
      </c>
      <c r="O265" s="179">
        <f t="shared" ref="O265:O328" si="107">M265-G265</f>
        <v>30303.03</v>
      </c>
    </row>
    <row r="266" spans="1:15" ht="20.399999999999999" customHeight="1" outlineLevel="1" x14ac:dyDescent="0.3">
      <c r="A266" s="189" t="s">
        <v>17</v>
      </c>
      <c r="B266" s="392" t="s">
        <v>455</v>
      </c>
      <c r="C266" s="392" t="s">
        <v>59</v>
      </c>
      <c r="D266" s="392" t="s">
        <v>615</v>
      </c>
      <c r="E266" s="392" t="s">
        <v>18</v>
      </c>
      <c r="F266" s="462"/>
      <c r="G266" s="462">
        <v>30303.03</v>
      </c>
      <c r="H266" s="460">
        <v>0</v>
      </c>
      <c r="I266" s="462">
        <v>0</v>
      </c>
      <c r="J266" s="449">
        <v>60606.06</v>
      </c>
      <c r="K266" s="462">
        <f t="shared" si="105"/>
        <v>200</v>
      </c>
      <c r="L266" s="462">
        <f t="shared" si="106"/>
        <v>30303.03</v>
      </c>
      <c r="M266" s="449">
        <v>60606.06</v>
      </c>
      <c r="N266" s="178">
        <f t="shared" si="104"/>
        <v>0</v>
      </c>
      <c r="O266" s="179">
        <f t="shared" si="107"/>
        <v>30303.03</v>
      </c>
    </row>
    <row r="267" spans="1:15" ht="20.399999999999999" customHeight="1" outlineLevel="1" x14ac:dyDescent="0.3">
      <c r="A267" s="189" t="s">
        <v>61</v>
      </c>
      <c r="B267" s="392" t="s">
        <v>455</v>
      </c>
      <c r="C267" s="392" t="s">
        <v>62</v>
      </c>
      <c r="D267" s="392" t="s">
        <v>126</v>
      </c>
      <c r="E267" s="392" t="s">
        <v>6</v>
      </c>
      <c r="F267" s="462">
        <f>F268+F282+F296</f>
        <v>33936957.659999996</v>
      </c>
      <c r="G267" s="462">
        <f>G268+G282+G296</f>
        <v>15111003.01</v>
      </c>
      <c r="H267" s="460">
        <v>22300515.539999999</v>
      </c>
      <c r="I267" s="462">
        <f>I268+I282+I296</f>
        <v>4322356.1399999997</v>
      </c>
      <c r="J267" s="462">
        <f>J268+J282+J296</f>
        <v>23837356.140000001</v>
      </c>
      <c r="K267" s="462">
        <f t="shared" si="105"/>
        <v>157.74833824217473</v>
      </c>
      <c r="L267" s="462">
        <f t="shared" si="106"/>
        <v>8726353.1300000008</v>
      </c>
      <c r="M267" s="462">
        <f>M268+M282+M296</f>
        <v>11928285.16</v>
      </c>
      <c r="N267" s="178">
        <f t="shared" si="104"/>
        <v>-11909070.98</v>
      </c>
      <c r="O267" s="179">
        <f t="shared" si="107"/>
        <v>-3182717.8499999996</v>
      </c>
    </row>
    <row r="268" spans="1:15" ht="38.049999999999997" customHeight="1" outlineLevel="1" x14ac:dyDescent="0.3">
      <c r="A268" s="233" t="s">
        <v>1032</v>
      </c>
      <c r="B268" s="392" t="s">
        <v>455</v>
      </c>
      <c r="C268" s="397" t="s">
        <v>62</v>
      </c>
      <c r="D268" s="397" t="s">
        <v>134</v>
      </c>
      <c r="E268" s="397" t="s">
        <v>6</v>
      </c>
      <c r="F268" s="471">
        <f>F269</f>
        <v>2079400</v>
      </c>
      <c r="G268" s="462">
        <f>G269</f>
        <v>3044292.5700000003</v>
      </c>
      <c r="H268" s="460">
        <v>2051975.26</v>
      </c>
      <c r="I268" s="462">
        <f>I269</f>
        <v>900000</v>
      </c>
      <c r="J268" s="462">
        <f>J269</f>
        <v>9400000</v>
      </c>
      <c r="K268" s="462">
        <f t="shared" si="105"/>
        <v>308.77452754154962</v>
      </c>
      <c r="L268" s="462">
        <f t="shared" si="106"/>
        <v>6355707.4299999997</v>
      </c>
      <c r="M268" s="462">
        <f>M269</f>
        <v>500000</v>
      </c>
      <c r="N268" s="178">
        <f t="shared" si="104"/>
        <v>-8900000</v>
      </c>
      <c r="O268" s="179">
        <f t="shared" si="107"/>
        <v>-2544292.5700000003</v>
      </c>
    </row>
    <row r="269" spans="1:15" ht="23.3" customHeight="1" outlineLevel="1" x14ac:dyDescent="0.3">
      <c r="A269" s="189" t="s">
        <v>339</v>
      </c>
      <c r="B269" s="392" t="s">
        <v>455</v>
      </c>
      <c r="C269" s="392" t="s">
        <v>62</v>
      </c>
      <c r="D269" s="392" t="s">
        <v>229</v>
      </c>
      <c r="E269" s="392" t="s">
        <v>6</v>
      </c>
      <c r="F269" s="471">
        <f>F270+F273</f>
        <v>2079400</v>
      </c>
      <c r="G269" s="462">
        <f>G270+G276+G273+G279</f>
        <v>3044292.5700000003</v>
      </c>
      <c r="H269" s="460">
        <v>2051975.26</v>
      </c>
      <c r="I269" s="462">
        <f>I270+I276+I273+I279</f>
        <v>900000</v>
      </c>
      <c r="J269" s="462">
        <f>J270+J276+J273+J279</f>
        <v>9400000</v>
      </c>
      <c r="K269" s="462">
        <f t="shared" si="105"/>
        <v>308.77452754154962</v>
      </c>
      <c r="L269" s="462">
        <f t="shared" si="106"/>
        <v>6355707.4299999997</v>
      </c>
      <c r="M269" s="462">
        <f>M270+M276+M273+M279</f>
        <v>500000</v>
      </c>
      <c r="N269" s="178">
        <f t="shared" si="104"/>
        <v>-8900000</v>
      </c>
      <c r="O269" s="179">
        <f t="shared" si="107"/>
        <v>-2544292.5700000003</v>
      </c>
    </row>
    <row r="270" spans="1:15" ht="27.7" customHeight="1" outlineLevel="1" x14ac:dyDescent="0.3">
      <c r="A270" s="189" t="s">
        <v>343</v>
      </c>
      <c r="B270" s="392" t="s">
        <v>455</v>
      </c>
      <c r="C270" s="392" t="s">
        <v>62</v>
      </c>
      <c r="D270" s="392" t="s">
        <v>418</v>
      </c>
      <c r="E270" s="392" t="s">
        <v>6</v>
      </c>
      <c r="F270" s="471">
        <f>F271</f>
        <v>2079400</v>
      </c>
      <c r="G270" s="462">
        <f t="shared" ref="G270:J271" si="108">G271</f>
        <v>2000000</v>
      </c>
      <c r="H270" s="460">
        <v>0</v>
      </c>
      <c r="I270" s="462">
        <f t="shared" si="108"/>
        <v>400000</v>
      </c>
      <c r="J270" s="462">
        <f t="shared" si="108"/>
        <v>2400000</v>
      </c>
      <c r="K270" s="462">
        <f t="shared" si="105"/>
        <v>120</v>
      </c>
      <c r="L270" s="462">
        <f t="shared" si="106"/>
        <v>400000</v>
      </c>
      <c r="M270" s="462">
        <f t="shared" ref="M270:M271" si="109">M271</f>
        <v>0</v>
      </c>
      <c r="N270" s="178">
        <f t="shared" si="104"/>
        <v>-2400000</v>
      </c>
      <c r="O270" s="179">
        <f t="shared" si="107"/>
        <v>-2000000</v>
      </c>
    </row>
    <row r="271" spans="1:15" s="224" customFormat="1" ht="34" outlineLevel="1" x14ac:dyDescent="0.3">
      <c r="A271" s="189" t="s">
        <v>15</v>
      </c>
      <c r="B271" s="392" t="s">
        <v>455</v>
      </c>
      <c r="C271" s="392" t="s">
        <v>62</v>
      </c>
      <c r="D271" s="392" t="s">
        <v>418</v>
      </c>
      <c r="E271" s="392" t="s">
        <v>16</v>
      </c>
      <c r="F271" s="471">
        <f>F272</f>
        <v>2079400</v>
      </c>
      <c r="G271" s="462">
        <f t="shared" si="108"/>
        <v>2000000</v>
      </c>
      <c r="H271" s="460">
        <v>0</v>
      </c>
      <c r="I271" s="462">
        <f t="shared" si="108"/>
        <v>400000</v>
      </c>
      <c r="J271" s="462">
        <f t="shared" si="108"/>
        <v>2400000</v>
      </c>
      <c r="K271" s="462">
        <f t="shared" si="105"/>
        <v>120</v>
      </c>
      <c r="L271" s="462">
        <f t="shared" si="106"/>
        <v>400000</v>
      </c>
      <c r="M271" s="462">
        <f t="shared" si="109"/>
        <v>0</v>
      </c>
      <c r="N271" s="178">
        <f t="shared" si="104"/>
        <v>-2400000</v>
      </c>
      <c r="O271" s="179">
        <f t="shared" si="107"/>
        <v>-2000000</v>
      </c>
    </row>
    <row r="272" spans="1:15" ht="50.95" outlineLevel="1" x14ac:dyDescent="0.3">
      <c r="A272" s="189" t="s">
        <v>17</v>
      </c>
      <c r="B272" s="392" t="s">
        <v>455</v>
      </c>
      <c r="C272" s="392" t="s">
        <v>62</v>
      </c>
      <c r="D272" s="392" t="s">
        <v>418</v>
      </c>
      <c r="E272" s="392" t="s">
        <v>18</v>
      </c>
      <c r="F272" s="475">
        <v>2079400</v>
      </c>
      <c r="G272" s="462">
        <v>2000000</v>
      </c>
      <c r="H272" s="460">
        <v>0</v>
      </c>
      <c r="I272" s="462">
        <v>400000</v>
      </c>
      <c r="J272" s="462">
        <v>2400000</v>
      </c>
      <c r="K272" s="462">
        <f t="shared" si="105"/>
        <v>120</v>
      </c>
      <c r="L272" s="462">
        <f t="shared" si="106"/>
        <v>400000</v>
      </c>
      <c r="M272" s="462">
        <v>0</v>
      </c>
      <c r="N272" s="178">
        <f t="shared" si="104"/>
        <v>-2400000</v>
      </c>
      <c r="O272" s="179">
        <f t="shared" si="107"/>
        <v>-2000000</v>
      </c>
    </row>
    <row r="273" spans="1:15" ht="46.9" customHeight="1" outlineLevel="1" x14ac:dyDescent="0.3">
      <c r="A273" s="202" t="s">
        <v>684</v>
      </c>
      <c r="B273" s="392" t="s">
        <v>455</v>
      </c>
      <c r="C273" s="392" t="s">
        <v>62</v>
      </c>
      <c r="D273" s="392" t="s">
        <v>814</v>
      </c>
      <c r="E273" s="392" t="s">
        <v>6</v>
      </c>
      <c r="F273" s="462"/>
      <c r="G273" s="462">
        <f t="shared" ref="G273:J274" si="110">G274</f>
        <v>544292.57000000007</v>
      </c>
      <c r="H273" s="460">
        <v>1822641.9</v>
      </c>
      <c r="I273" s="462">
        <f t="shared" si="110"/>
        <v>0</v>
      </c>
      <c r="J273" s="462">
        <f t="shared" si="110"/>
        <v>0</v>
      </c>
      <c r="K273" s="462">
        <f t="shared" si="105"/>
        <v>0</v>
      </c>
      <c r="L273" s="462">
        <f t="shared" si="106"/>
        <v>-544292.57000000007</v>
      </c>
      <c r="M273" s="462">
        <f t="shared" ref="M273:M274" si="111">M274</f>
        <v>0</v>
      </c>
      <c r="N273" s="178">
        <f t="shared" si="104"/>
        <v>0</v>
      </c>
      <c r="O273" s="179">
        <f t="shared" si="107"/>
        <v>-544292.57000000007</v>
      </c>
    </row>
    <row r="274" spans="1:15" ht="34" outlineLevel="1" x14ac:dyDescent="0.3">
      <c r="A274" s="189" t="s">
        <v>15</v>
      </c>
      <c r="B274" s="392" t="s">
        <v>455</v>
      </c>
      <c r="C274" s="392" t="s">
        <v>62</v>
      </c>
      <c r="D274" s="392" t="s">
        <v>814</v>
      </c>
      <c r="E274" s="392" t="s">
        <v>16</v>
      </c>
      <c r="F274" s="462"/>
      <c r="G274" s="462">
        <f t="shared" si="110"/>
        <v>544292.57000000007</v>
      </c>
      <c r="H274" s="460">
        <v>1822641.9</v>
      </c>
      <c r="I274" s="462">
        <f t="shared" si="110"/>
        <v>0</v>
      </c>
      <c r="J274" s="462">
        <f t="shared" si="110"/>
        <v>0</v>
      </c>
      <c r="K274" s="462">
        <f t="shared" si="105"/>
        <v>0</v>
      </c>
      <c r="L274" s="462">
        <f t="shared" si="106"/>
        <v>-544292.57000000007</v>
      </c>
      <c r="M274" s="462">
        <f t="shared" si="111"/>
        <v>0</v>
      </c>
      <c r="N274" s="178">
        <f t="shared" si="104"/>
        <v>0</v>
      </c>
      <c r="O274" s="179">
        <f t="shared" si="107"/>
        <v>-544292.57000000007</v>
      </c>
    </row>
    <row r="275" spans="1:15" ht="18.7" customHeight="1" outlineLevel="1" x14ac:dyDescent="0.3">
      <c r="A275" s="189" t="s">
        <v>17</v>
      </c>
      <c r="B275" s="392" t="s">
        <v>455</v>
      </c>
      <c r="C275" s="392" t="s">
        <v>62</v>
      </c>
      <c r="D275" s="392" t="s">
        <v>814</v>
      </c>
      <c r="E275" s="392" t="s">
        <v>18</v>
      </c>
      <c r="F275" s="462"/>
      <c r="G275" s="462">
        <f>789950+2500+1849060-573210.67-245657.43-1275849.33-2500</f>
        <v>544292.57000000007</v>
      </c>
      <c r="H275" s="460">
        <v>1822641.9</v>
      </c>
      <c r="I275" s="462">
        <v>0</v>
      </c>
      <c r="J275" s="449"/>
      <c r="K275" s="462">
        <f t="shared" si="105"/>
        <v>0</v>
      </c>
      <c r="L275" s="462">
        <f t="shared" si="106"/>
        <v>-544292.57000000007</v>
      </c>
      <c r="M275" s="449"/>
      <c r="N275" s="178">
        <f t="shared" si="104"/>
        <v>0</v>
      </c>
      <c r="O275" s="179">
        <f t="shared" si="107"/>
        <v>-544292.57000000007</v>
      </c>
    </row>
    <row r="276" spans="1:15" ht="34" outlineLevel="1" x14ac:dyDescent="0.3">
      <c r="A276" s="189" t="s">
        <v>63</v>
      </c>
      <c r="B276" s="392" t="s">
        <v>455</v>
      </c>
      <c r="C276" s="392" t="s">
        <v>62</v>
      </c>
      <c r="D276" s="392" t="s">
        <v>340</v>
      </c>
      <c r="E276" s="392" t="s">
        <v>6</v>
      </c>
      <c r="F276" s="471">
        <f>F277</f>
        <v>228780.17</v>
      </c>
      <c r="G276" s="462">
        <f t="shared" ref="G276:J277" si="112">G277</f>
        <v>500000</v>
      </c>
      <c r="H276" s="460">
        <v>229333.36</v>
      </c>
      <c r="I276" s="462">
        <f t="shared" si="112"/>
        <v>500000</v>
      </c>
      <c r="J276" s="462">
        <f t="shared" si="112"/>
        <v>7000000</v>
      </c>
      <c r="K276" s="462">
        <f t="shared" si="105"/>
        <v>1400</v>
      </c>
      <c r="L276" s="462">
        <f t="shared" si="106"/>
        <v>6500000</v>
      </c>
      <c r="M276" s="462">
        <f t="shared" ref="M276:M277" si="113">M277</f>
        <v>500000</v>
      </c>
      <c r="N276" s="178">
        <f t="shared" si="104"/>
        <v>-6500000</v>
      </c>
      <c r="O276" s="179">
        <f t="shared" si="107"/>
        <v>0</v>
      </c>
    </row>
    <row r="277" spans="1:15" ht="34" outlineLevel="1" x14ac:dyDescent="0.3">
      <c r="A277" s="189" t="s">
        <v>15</v>
      </c>
      <c r="B277" s="392" t="s">
        <v>455</v>
      </c>
      <c r="C277" s="392" t="s">
        <v>62</v>
      </c>
      <c r="D277" s="392" t="s">
        <v>340</v>
      </c>
      <c r="E277" s="392" t="s">
        <v>16</v>
      </c>
      <c r="F277" s="471">
        <f>F278</f>
        <v>228780.17</v>
      </c>
      <c r="G277" s="462">
        <f t="shared" si="112"/>
        <v>500000</v>
      </c>
      <c r="H277" s="460">
        <v>229333.36</v>
      </c>
      <c r="I277" s="462">
        <f t="shared" si="112"/>
        <v>500000</v>
      </c>
      <c r="J277" s="462">
        <f t="shared" si="112"/>
        <v>7000000</v>
      </c>
      <c r="K277" s="462">
        <f t="shared" si="105"/>
        <v>1400</v>
      </c>
      <c r="L277" s="462">
        <f t="shared" si="106"/>
        <v>6500000</v>
      </c>
      <c r="M277" s="462">
        <f t="shared" si="113"/>
        <v>500000</v>
      </c>
      <c r="N277" s="178">
        <f t="shared" si="104"/>
        <v>-6500000</v>
      </c>
      <c r="O277" s="179">
        <f t="shared" si="107"/>
        <v>0</v>
      </c>
    </row>
    <row r="278" spans="1:15" ht="22.75" customHeight="1" outlineLevel="1" x14ac:dyDescent="0.3">
      <c r="A278" s="189" t="s">
        <v>17</v>
      </c>
      <c r="B278" s="392" t="s">
        <v>455</v>
      </c>
      <c r="C278" s="392" t="s">
        <v>62</v>
      </c>
      <c r="D278" s="392" t="s">
        <v>340</v>
      </c>
      <c r="E278" s="392" t="s">
        <v>18</v>
      </c>
      <c r="F278" s="475">
        <v>228780.17</v>
      </c>
      <c r="G278" s="449">
        <f>'потребность 2023 (5)'!K283</f>
        <v>500000</v>
      </c>
      <c r="H278" s="460">
        <v>229333.36</v>
      </c>
      <c r="I278" s="449">
        <v>500000</v>
      </c>
      <c r="J278" s="449">
        <v>7000000</v>
      </c>
      <c r="K278" s="462">
        <f t="shared" si="105"/>
        <v>1400</v>
      </c>
      <c r="L278" s="462">
        <f t="shared" si="106"/>
        <v>6500000</v>
      </c>
      <c r="M278" s="449">
        <f>7000000-6500000</f>
        <v>500000</v>
      </c>
      <c r="N278" s="178">
        <f t="shared" si="104"/>
        <v>-6500000</v>
      </c>
      <c r="O278" s="179">
        <f t="shared" si="107"/>
        <v>0</v>
      </c>
    </row>
    <row r="279" spans="1:15" ht="40.1" hidden="1" customHeight="1" outlineLevel="1" x14ac:dyDescent="0.3">
      <c r="A279" s="189" t="s">
        <v>815</v>
      </c>
      <c r="B279" s="392" t="s">
        <v>455</v>
      </c>
      <c r="C279" s="392" t="s">
        <v>62</v>
      </c>
      <c r="D279" s="392" t="s">
        <v>816</v>
      </c>
      <c r="E279" s="392" t="s">
        <v>6</v>
      </c>
      <c r="F279" s="462" t="s">
        <v>838</v>
      </c>
      <c r="G279" s="449">
        <f t="shared" ref="G279:J280" si="114">G280</f>
        <v>0</v>
      </c>
      <c r="H279" s="449"/>
      <c r="I279" s="449">
        <f t="shared" si="114"/>
        <v>0</v>
      </c>
      <c r="J279" s="449">
        <f t="shared" si="114"/>
        <v>0</v>
      </c>
      <c r="K279" s="462" t="e">
        <f t="shared" si="105"/>
        <v>#DIV/0!</v>
      </c>
      <c r="L279" s="462">
        <f t="shared" si="106"/>
        <v>0</v>
      </c>
      <c r="M279" s="449">
        <f t="shared" ref="M279:M280" si="115">M280</f>
        <v>0</v>
      </c>
      <c r="N279" s="178">
        <f t="shared" si="104"/>
        <v>0</v>
      </c>
      <c r="O279" s="179">
        <f t="shared" si="107"/>
        <v>0</v>
      </c>
    </row>
    <row r="280" spans="1:15" ht="22.75" hidden="1" customHeight="1" outlineLevel="1" x14ac:dyDescent="0.3">
      <c r="A280" s="189" t="s">
        <v>15</v>
      </c>
      <c r="B280" s="392" t="s">
        <v>455</v>
      </c>
      <c r="C280" s="392" t="s">
        <v>62</v>
      </c>
      <c r="D280" s="392" t="s">
        <v>816</v>
      </c>
      <c r="E280" s="392" t="s">
        <v>16</v>
      </c>
      <c r="F280" s="462" t="s">
        <v>838</v>
      </c>
      <c r="G280" s="449">
        <f t="shared" si="114"/>
        <v>0</v>
      </c>
      <c r="H280" s="449"/>
      <c r="I280" s="449">
        <f t="shared" si="114"/>
        <v>0</v>
      </c>
      <c r="J280" s="449">
        <f t="shared" si="114"/>
        <v>0</v>
      </c>
      <c r="K280" s="462" t="e">
        <f t="shared" si="105"/>
        <v>#DIV/0!</v>
      </c>
      <c r="L280" s="462">
        <f t="shared" si="106"/>
        <v>0</v>
      </c>
      <c r="M280" s="449">
        <f t="shared" si="115"/>
        <v>0</v>
      </c>
      <c r="N280" s="178">
        <f t="shared" si="104"/>
        <v>0</v>
      </c>
      <c r="O280" s="179">
        <f t="shared" si="107"/>
        <v>0</v>
      </c>
    </row>
    <row r="281" spans="1:15" ht="22.75" hidden="1" customHeight="1" outlineLevel="1" x14ac:dyDescent="0.3">
      <c r="A281" s="189" t="s">
        <v>17</v>
      </c>
      <c r="B281" s="392" t="s">
        <v>455</v>
      </c>
      <c r="C281" s="392" t="s">
        <v>62</v>
      </c>
      <c r="D281" s="392" t="s">
        <v>816</v>
      </c>
      <c r="E281" s="392" t="s">
        <v>18</v>
      </c>
      <c r="F281" s="462" t="s">
        <v>838</v>
      </c>
      <c r="G281" s="449">
        <v>0</v>
      </c>
      <c r="H281" s="449"/>
      <c r="I281" s="449">
        <v>0</v>
      </c>
      <c r="J281" s="449"/>
      <c r="K281" s="462" t="e">
        <f t="shared" si="105"/>
        <v>#DIV/0!</v>
      </c>
      <c r="L281" s="462">
        <f t="shared" si="106"/>
        <v>0</v>
      </c>
      <c r="M281" s="449"/>
      <c r="N281" s="178">
        <f t="shared" si="104"/>
        <v>0</v>
      </c>
      <c r="O281" s="179">
        <f t="shared" si="107"/>
        <v>0</v>
      </c>
    </row>
    <row r="282" spans="1:15" s="224" customFormat="1" ht="46.9" customHeight="1" outlineLevel="1" x14ac:dyDescent="0.3">
      <c r="A282" s="233" t="s">
        <v>463</v>
      </c>
      <c r="B282" s="397" t="s">
        <v>455</v>
      </c>
      <c r="C282" s="397" t="s">
        <v>62</v>
      </c>
      <c r="D282" s="397" t="s">
        <v>464</v>
      </c>
      <c r="E282" s="397" t="s">
        <v>6</v>
      </c>
      <c r="F282" s="471">
        <f>F283</f>
        <v>30302162.460000001</v>
      </c>
      <c r="G282" s="462">
        <f>G283</f>
        <v>11102296.719999999</v>
      </c>
      <c r="H282" s="460">
        <v>7730697.9199999999</v>
      </c>
      <c r="I282" s="462">
        <f>I283</f>
        <v>2984900</v>
      </c>
      <c r="J282" s="462">
        <f>J283</f>
        <v>13999900</v>
      </c>
      <c r="K282" s="462">
        <f t="shared" si="105"/>
        <v>126.09913383759755</v>
      </c>
      <c r="L282" s="462">
        <f t="shared" si="106"/>
        <v>2897603.2800000012</v>
      </c>
      <c r="M282" s="462">
        <f>M283</f>
        <v>11261900</v>
      </c>
      <c r="N282" s="178">
        <f t="shared" si="104"/>
        <v>-2738000</v>
      </c>
      <c r="O282" s="179">
        <f t="shared" si="107"/>
        <v>159603.28000000119</v>
      </c>
    </row>
    <row r="283" spans="1:15" ht="34" outlineLevel="1" x14ac:dyDescent="0.3">
      <c r="A283" s="189" t="s">
        <v>465</v>
      </c>
      <c r="B283" s="392" t="s">
        <v>455</v>
      </c>
      <c r="C283" s="392" t="s">
        <v>62</v>
      </c>
      <c r="D283" s="392" t="s">
        <v>466</v>
      </c>
      <c r="E283" s="392" t="s">
        <v>6</v>
      </c>
      <c r="F283" s="471">
        <f>F284+F287+F290+F296+F293</f>
        <v>30302162.460000001</v>
      </c>
      <c r="G283" s="462">
        <f>G284+G287+G290+G293</f>
        <v>11102296.719999999</v>
      </c>
      <c r="H283" s="460">
        <v>7730697.9199999999</v>
      </c>
      <c r="I283" s="462">
        <f>I284+I287+I290+I293</f>
        <v>2984900</v>
      </c>
      <c r="J283" s="462">
        <f>J284+J287+J290+J293</f>
        <v>13999900</v>
      </c>
      <c r="K283" s="462">
        <f t="shared" si="105"/>
        <v>126.09913383759755</v>
      </c>
      <c r="L283" s="462">
        <f t="shared" si="106"/>
        <v>2897603.2800000012</v>
      </c>
      <c r="M283" s="462">
        <f>M284+M287+M290+M293</f>
        <v>11261900</v>
      </c>
      <c r="N283" s="178">
        <f t="shared" si="104"/>
        <v>-2738000</v>
      </c>
      <c r="O283" s="179">
        <f t="shared" si="107"/>
        <v>159603.28000000119</v>
      </c>
    </row>
    <row r="284" spans="1:15" ht="56.25" customHeight="1" outlineLevel="1" x14ac:dyDescent="0.3">
      <c r="A284" s="189" t="s">
        <v>467</v>
      </c>
      <c r="B284" s="392" t="s">
        <v>455</v>
      </c>
      <c r="C284" s="392" t="s">
        <v>62</v>
      </c>
      <c r="D284" s="392" t="s">
        <v>468</v>
      </c>
      <c r="E284" s="392" t="s">
        <v>6</v>
      </c>
      <c r="F284" s="471">
        <f>F285</f>
        <v>2288115.27</v>
      </c>
      <c r="G284" s="462">
        <f t="shared" ref="G284:J285" si="116">G285</f>
        <v>2170900</v>
      </c>
      <c r="H284" s="460">
        <v>1105799.46</v>
      </c>
      <c r="I284" s="462">
        <f t="shared" si="116"/>
        <v>2159900</v>
      </c>
      <c r="J284" s="462">
        <f t="shared" si="116"/>
        <v>2329900</v>
      </c>
      <c r="K284" s="462">
        <f t="shared" si="105"/>
        <v>107.32415127366531</v>
      </c>
      <c r="L284" s="462">
        <f t="shared" si="106"/>
        <v>159000</v>
      </c>
      <c r="M284" s="462">
        <f t="shared" ref="M284:M285" si="117">M285</f>
        <v>2329900</v>
      </c>
      <c r="N284" s="178">
        <f t="shared" si="104"/>
        <v>0</v>
      </c>
      <c r="O284" s="179">
        <f t="shared" si="107"/>
        <v>159000</v>
      </c>
    </row>
    <row r="285" spans="1:15" ht="34" outlineLevel="1" x14ac:dyDescent="0.3">
      <c r="A285" s="189" t="s">
        <v>15</v>
      </c>
      <c r="B285" s="392" t="s">
        <v>455</v>
      </c>
      <c r="C285" s="392" t="s">
        <v>62</v>
      </c>
      <c r="D285" s="392" t="s">
        <v>468</v>
      </c>
      <c r="E285" s="392" t="s">
        <v>16</v>
      </c>
      <c r="F285" s="471">
        <f>F286</f>
        <v>2288115.27</v>
      </c>
      <c r="G285" s="462">
        <f t="shared" si="116"/>
        <v>2170900</v>
      </c>
      <c r="H285" s="460">
        <v>1105799.46</v>
      </c>
      <c r="I285" s="462">
        <f t="shared" si="116"/>
        <v>2159900</v>
      </c>
      <c r="J285" s="462">
        <f t="shared" si="116"/>
        <v>2329900</v>
      </c>
      <c r="K285" s="462">
        <f t="shared" si="105"/>
        <v>107.32415127366531</v>
      </c>
      <c r="L285" s="462">
        <f t="shared" si="106"/>
        <v>159000</v>
      </c>
      <c r="M285" s="462">
        <f t="shared" si="117"/>
        <v>2329900</v>
      </c>
      <c r="N285" s="178">
        <f t="shared" si="104"/>
        <v>0</v>
      </c>
      <c r="O285" s="179">
        <f t="shared" si="107"/>
        <v>159000</v>
      </c>
    </row>
    <row r="286" spans="1:15" ht="50.95" outlineLevel="1" x14ac:dyDescent="0.3">
      <c r="A286" s="189" t="s">
        <v>17</v>
      </c>
      <c r="B286" s="392" t="s">
        <v>455</v>
      </c>
      <c r="C286" s="392" t="s">
        <v>62</v>
      </c>
      <c r="D286" s="392" t="s">
        <v>468</v>
      </c>
      <c r="E286" s="392" t="s">
        <v>18</v>
      </c>
      <c r="F286" s="475">
        <v>2288115.27</v>
      </c>
      <c r="G286" s="449">
        <f>'потребность 2023 (5)'!K291</f>
        <v>2170900</v>
      </c>
      <c r="H286" s="460">
        <v>1105799.46</v>
      </c>
      <c r="I286" s="449">
        <v>2159900</v>
      </c>
      <c r="J286" s="449">
        <v>2329900</v>
      </c>
      <c r="K286" s="462">
        <f t="shared" si="105"/>
        <v>107.32415127366531</v>
      </c>
      <c r="L286" s="462">
        <f t="shared" si="106"/>
        <v>159000</v>
      </c>
      <c r="M286" s="449">
        <v>2329900</v>
      </c>
      <c r="N286" s="178">
        <f t="shared" si="104"/>
        <v>0</v>
      </c>
      <c r="O286" s="179">
        <f t="shared" si="107"/>
        <v>159000</v>
      </c>
    </row>
    <row r="287" spans="1:15" ht="38.25" customHeight="1" outlineLevel="1" x14ac:dyDescent="0.3">
      <c r="A287" s="189" t="s">
        <v>469</v>
      </c>
      <c r="B287" s="392" t="s">
        <v>455</v>
      </c>
      <c r="C287" s="392" t="s">
        <v>62</v>
      </c>
      <c r="D287" s="392" t="s">
        <v>470</v>
      </c>
      <c r="E287" s="392" t="s">
        <v>6</v>
      </c>
      <c r="F287" s="471">
        <f>F288</f>
        <v>5083362.62</v>
      </c>
      <c r="G287" s="462">
        <f t="shared" ref="G287:J288" si="118">G288</f>
        <v>4948000</v>
      </c>
      <c r="H287" s="460">
        <v>4034746.67</v>
      </c>
      <c r="I287" s="462">
        <f t="shared" si="118"/>
        <v>0</v>
      </c>
      <c r="J287" s="462">
        <f t="shared" si="118"/>
        <v>4675000</v>
      </c>
      <c r="K287" s="462">
        <f t="shared" si="105"/>
        <v>94.482619240097009</v>
      </c>
      <c r="L287" s="462">
        <f t="shared" si="106"/>
        <v>-273000</v>
      </c>
      <c r="M287" s="462">
        <f t="shared" ref="M287:M288" si="119">M288</f>
        <v>4937000</v>
      </c>
      <c r="N287" s="178">
        <f t="shared" si="104"/>
        <v>262000</v>
      </c>
      <c r="O287" s="179">
        <f t="shared" si="107"/>
        <v>-11000</v>
      </c>
    </row>
    <row r="288" spans="1:15" ht="34" outlineLevel="1" x14ac:dyDescent="0.3">
      <c r="A288" s="189" t="s">
        <v>15</v>
      </c>
      <c r="B288" s="392" t="s">
        <v>455</v>
      </c>
      <c r="C288" s="392" t="s">
        <v>62</v>
      </c>
      <c r="D288" s="392" t="s">
        <v>470</v>
      </c>
      <c r="E288" s="392" t="s">
        <v>16</v>
      </c>
      <c r="F288" s="471">
        <f>F289</f>
        <v>5083362.62</v>
      </c>
      <c r="G288" s="462">
        <f t="shared" si="118"/>
        <v>4948000</v>
      </c>
      <c r="H288" s="460">
        <v>4034746.67</v>
      </c>
      <c r="I288" s="462">
        <f t="shared" si="118"/>
        <v>0</v>
      </c>
      <c r="J288" s="462">
        <f t="shared" si="118"/>
        <v>4675000</v>
      </c>
      <c r="K288" s="462">
        <f t="shared" si="105"/>
        <v>94.482619240097009</v>
      </c>
      <c r="L288" s="462">
        <f t="shared" si="106"/>
        <v>-273000</v>
      </c>
      <c r="M288" s="462">
        <f t="shared" si="119"/>
        <v>4937000</v>
      </c>
      <c r="N288" s="178">
        <f t="shared" si="104"/>
        <v>262000</v>
      </c>
      <c r="O288" s="179">
        <f t="shared" si="107"/>
        <v>-11000</v>
      </c>
    </row>
    <row r="289" spans="1:15" ht="50.95" outlineLevel="1" x14ac:dyDescent="0.3">
      <c r="A289" s="189" t="s">
        <v>17</v>
      </c>
      <c r="B289" s="392" t="s">
        <v>455</v>
      </c>
      <c r="C289" s="392" t="s">
        <v>62</v>
      </c>
      <c r="D289" s="392" t="s">
        <v>470</v>
      </c>
      <c r="E289" s="392" t="s">
        <v>18</v>
      </c>
      <c r="F289" s="475">
        <v>5083362.62</v>
      </c>
      <c r="G289" s="449">
        <f>'потребность 2023 (5)'!K294+1600000</f>
        <v>4948000</v>
      </c>
      <c r="H289" s="460">
        <v>4034746.67</v>
      </c>
      <c r="I289" s="449">
        <v>0</v>
      </c>
      <c r="J289" s="449">
        <v>4675000</v>
      </c>
      <c r="K289" s="462">
        <f t="shared" si="105"/>
        <v>94.482619240097009</v>
      </c>
      <c r="L289" s="462">
        <f t="shared" si="106"/>
        <v>-273000</v>
      </c>
      <c r="M289" s="449">
        <v>4937000</v>
      </c>
      <c r="N289" s="178">
        <f t="shared" si="104"/>
        <v>262000</v>
      </c>
      <c r="O289" s="179">
        <f t="shared" si="107"/>
        <v>-11000</v>
      </c>
    </row>
    <row r="290" spans="1:15" ht="34" outlineLevel="1" x14ac:dyDescent="0.3">
      <c r="A290" s="189" t="s">
        <v>471</v>
      </c>
      <c r="B290" s="392" t="s">
        <v>455</v>
      </c>
      <c r="C290" s="392" t="s">
        <v>62</v>
      </c>
      <c r="D290" s="392" t="s">
        <v>472</v>
      </c>
      <c r="E290" s="392" t="s">
        <v>6</v>
      </c>
      <c r="F290" s="471">
        <f>F291</f>
        <v>21375289.370000001</v>
      </c>
      <c r="G290" s="462">
        <f t="shared" ref="G290:J291" si="120">G291</f>
        <v>3983396.7199999997</v>
      </c>
      <c r="H290" s="460">
        <v>2568527.14</v>
      </c>
      <c r="I290" s="462">
        <f t="shared" si="120"/>
        <v>825000</v>
      </c>
      <c r="J290" s="462">
        <f t="shared" si="120"/>
        <v>6995000</v>
      </c>
      <c r="K290" s="462">
        <f t="shared" si="105"/>
        <v>175.6039001809491</v>
      </c>
      <c r="L290" s="462">
        <f t="shared" si="106"/>
        <v>3011603.2800000003</v>
      </c>
      <c r="M290" s="462">
        <f t="shared" ref="M290:M291" si="121">M291</f>
        <v>3995000</v>
      </c>
      <c r="N290" s="178">
        <f t="shared" si="104"/>
        <v>-3000000</v>
      </c>
      <c r="O290" s="179">
        <f t="shared" si="107"/>
        <v>11603.280000000261</v>
      </c>
    </row>
    <row r="291" spans="1:15" ht="34" outlineLevel="1" x14ac:dyDescent="0.3">
      <c r="A291" s="189" t="s">
        <v>15</v>
      </c>
      <c r="B291" s="392" t="s">
        <v>455</v>
      </c>
      <c r="C291" s="392" t="s">
        <v>62</v>
      </c>
      <c r="D291" s="392" t="s">
        <v>472</v>
      </c>
      <c r="E291" s="392" t="s">
        <v>16</v>
      </c>
      <c r="F291" s="471">
        <f>F292</f>
        <v>21375289.370000001</v>
      </c>
      <c r="G291" s="462">
        <f t="shared" si="120"/>
        <v>3983396.7199999997</v>
      </c>
      <c r="H291" s="460">
        <v>2568527.14</v>
      </c>
      <c r="I291" s="462">
        <f t="shared" si="120"/>
        <v>825000</v>
      </c>
      <c r="J291" s="462">
        <f t="shared" si="120"/>
        <v>6995000</v>
      </c>
      <c r="K291" s="462">
        <f t="shared" si="105"/>
        <v>175.6039001809491</v>
      </c>
      <c r="L291" s="462">
        <f t="shared" si="106"/>
        <v>3011603.2800000003</v>
      </c>
      <c r="M291" s="462">
        <f t="shared" si="121"/>
        <v>3995000</v>
      </c>
      <c r="N291" s="178">
        <f t="shared" si="104"/>
        <v>-3000000</v>
      </c>
      <c r="O291" s="179">
        <f t="shared" si="107"/>
        <v>11603.280000000261</v>
      </c>
    </row>
    <row r="292" spans="1:15" ht="40.75" customHeight="1" outlineLevel="1" x14ac:dyDescent="0.3">
      <c r="A292" s="189" t="s">
        <v>17</v>
      </c>
      <c r="B292" s="392" t="s">
        <v>455</v>
      </c>
      <c r="C292" s="392" t="s">
        <v>62</v>
      </c>
      <c r="D292" s="392" t="s">
        <v>472</v>
      </c>
      <c r="E292" s="392" t="s">
        <v>18</v>
      </c>
      <c r="F292" s="475">
        <v>21375289.370000001</v>
      </c>
      <c r="G292" s="449">
        <f>'потребность 2023 (5)'!K297+348396.72</f>
        <v>3983396.7199999997</v>
      </c>
      <c r="H292" s="460">
        <v>2568527.14</v>
      </c>
      <c r="I292" s="449">
        <v>825000</v>
      </c>
      <c r="J292" s="449">
        <v>6995000</v>
      </c>
      <c r="K292" s="462">
        <f t="shared" si="105"/>
        <v>175.6039001809491</v>
      </c>
      <c r="L292" s="462">
        <f t="shared" si="106"/>
        <v>3011603.2800000003</v>
      </c>
      <c r="M292" s="449">
        <f>6995000-3000000</f>
        <v>3995000</v>
      </c>
      <c r="N292" s="178">
        <f t="shared" si="104"/>
        <v>-3000000</v>
      </c>
      <c r="O292" s="179">
        <f t="shared" si="107"/>
        <v>11603.280000000261</v>
      </c>
    </row>
    <row r="293" spans="1:15" ht="39.75" customHeight="1" outlineLevel="1" x14ac:dyDescent="0.3">
      <c r="A293" s="235" t="s">
        <v>1082</v>
      </c>
      <c r="B293" s="392" t="s">
        <v>455</v>
      </c>
      <c r="C293" s="392" t="s">
        <v>62</v>
      </c>
      <c r="D293" s="239">
        <v>1895894030</v>
      </c>
      <c r="E293" s="392" t="s">
        <v>6</v>
      </c>
      <c r="F293" s="462" t="s">
        <v>838</v>
      </c>
      <c r="G293" s="449">
        <f t="shared" ref="G293:J294" si="122">G294</f>
        <v>0</v>
      </c>
      <c r="H293" s="460"/>
      <c r="I293" s="449">
        <f t="shared" si="122"/>
        <v>0</v>
      </c>
      <c r="J293" s="449">
        <f t="shared" si="122"/>
        <v>0</v>
      </c>
      <c r="K293" s="462" t="e">
        <f t="shared" si="105"/>
        <v>#DIV/0!</v>
      </c>
      <c r="L293" s="462">
        <f t="shared" si="106"/>
        <v>0</v>
      </c>
      <c r="M293" s="449">
        <f t="shared" ref="M293:M294" si="123">M294</f>
        <v>0</v>
      </c>
      <c r="N293" s="178">
        <f t="shared" si="104"/>
        <v>0</v>
      </c>
      <c r="O293" s="179">
        <f t="shared" si="107"/>
        <v>0</v>
      </c>
    </row>
    <row r="294" spans="1:15" ht="38.25" customHeight="1" outlineLevel="1" x14ac:dyDescent="0.3">
      <c r="A294" s="189" t="s">
        <v>15</v>
      </c>
      <c r="B294" s="392" t="s">
        <v>455</v>
      </c>
      <c r="C294" s="392" t="s">
        <v>62</v>
      </c>
      <c r="D294" s="239">
        <v>1895894030</v>
      </c>
      <c r="E294" s="392" t="s">
        <v>16</v>
      </c>
      <c r="F294" s="462" t="s">
        <v>838</v>
      </c>
      <c r="G294" s="449">
        <f t="shared" si="122"/>
        <v>0</v>
      </c>
      <c r="H294" s="460"/>
      <c r="I294" s="449">
        <f t="shared" si="122"/>
        <v>0</v>
      </c>
      <c r="J294" s="449">
        <f t="shared" si="122"/>
        <v>0</v>
      </c>
      <c r="K294" s="462" t="e">
        <f t="shared" si="105"/>
        <v>#DIV/0!</v>
      </c>
      <c r="L294" s="462">
        <f t="shared" si="106"/>
        <v>0</v>
      </c>
      <c r="M294" s="449">
        <f t="shared" si="123"/>
        <v>0</v>
      </c>
      <c r="N294" s="178">
        <f t="shared" si="104"/>
        <v>0</v>
      </c>
      <c r="O294" s="179">
        <f t="shared" si="107"/>
        <v>0</v>
      </c>
    </row>
    <row r="295" spans="1:15" ht="39.25" customHeight="1" outlineLevel="1" x14ac:dyDescent="0.3">
      <c r="A295" s="189" t="s">
        <v>17</v>
      </c>
      <c r="B295" s="392" t="s">
        <v>455</v>
      </c>
      <c r="C295" s="392" t="s">
        <v>62</v>
      </c>
      <c r="D295" s="239">
        <v>1895894030</v>
      </c>
      <c r="E295" s="392" t="s">
        <v>18</v>
      </c>
      <c r="F295" s="462" t="s">
        <v>838</v>
      </c>
      <c r="G295" s="449">
        <f>8991616-8991616</f>
        <v>0</v>
      </c>
      <c r="H295" s="460"/>
      <c r="I295" s="449">
        <v>0</v>
      </c>
      <c r="J295" s="449"/>
      <c r="K295" s="462" t="e">
        <f t="shared" si="105"/>
        <v>#DIV/0!</v>
      </c>
      <c r="L295" s="462">
        <f t="shared" si="106"/>
        <v>0</v>
      </c>
      <c r="M295" s="449"/>
      <c r="N295" s="178">
        <f t="shared" si="104"/>
        <v>0</v>
      </c>
      <c r="O295" s="179">
        <f t="shared" si="107"/>
        <v>0</v>
      </c>
    </row>
    <row r="296" spans="1:15" s="224" customFormat="1" ht="67.95" outlineLevel="1" x14ac:dyDescent="0.3">
      <c r="A296" s="233" t="s">
        <v>473</v>
      </c>
      <c r="B296" s="397" t="s">
        <v>455</v>
      </c>
      <c r="C296" s="397" t="s">
        <v>62</v>
      </c>
      <c r="D296" s="397" t="s">
        <v>474</v>
      </c>
      <c r="E296" s="397" t="s">
        <v>6</v>
      </c>
      <c r="F296" s="471">
        <f>F297+F305</f>
        <v>1555395.1999999993</v>
      </c>
      <c r="G296" s="462">
        <f>G297+G305</f>
        <v>964413.7200000002</v>
      </c>
      <c r="H296" s="460">
        <v>12517842.359999999</v>
      </c>
      <c r="I296" s="462">
        <f>I297+I305</f>
        <v>437456.14</v>
      </c>
      <c r="J296" s="462">
        <f>J297+J305</f>
        <v>437456.14</v>
      </c>
      <c r="K296" s="462">
        <f t="shared" si="105"/>
        <v>45.35980056360043</v>
      </c>
      <c r="L296" s="462">
        <f t="shared" si="106"/>
        <v>-526957.58000000019</v>
      </c>
      <c r="M296" s="462">
        <f>M297+M305</f>
        <v>166385.16000000003</v>
      </c>
      <c r="N296" s="178">
        <f t="shared" si="104"/>
        <v>-271070.98</v>
      </c>
      <c r="O296" s="179">
        <f t="shared" si="107"/>
        <v>-798028.56000000017</v>
      </c>
    </row>
    <row r="297" spans="1:15" s="224" customFormat="1" ht="67.95" outlineLevel="1" x14ac:dyDescent="0.3">
      <c r="A297" s="233" t="s">
        <v>501</v>
      </c>
      <c r="B297" s="397" t="s">
        <v>455</v>
      </c>
      <c r="C297" s="397" t="s">
        <v>62</v>
      </c>
      <c r="D297" s="397" t="s">
        <v>502</v>
      </c>
      <c r="E297" s="397" t="s">
        <v>6</v>
      </c>
      <c r="F297" s="471">
        <f>F298+F302</f>
        <v>33081.949999999255</v>
      </c>
      <c r="G297" s="462">
        <f>G298+G302</f>
        <v>32902.160000000149</v>
      </c>
      <c r="H297" s="460"/>
      <c r="I297" s="462">
        <f>I298+I302</f>
        <v>38021.379999999997</v>
      </c>
      <c r="J297" s="462">
        <f>J298+J302</f>
        <v>38021.379999999997</v>
      </c>
      <c r="K297" s="462">
        <f t="shared" si="105"/>
        <v>115.55891771239281</v>
      </c>
      <c r="L297" s="462">
        <f t="shared" si="106"/>
        <v>5119.2199999998484</v>
      </c>
      <c r="M297" s="462">
        <f>M298+M302</f>
        <v>0</v>
      </c>
      <c r="N297" s="178">
        <f t="shared" si="104"/>
        <v>-38021.379999999997</v>
      </c>
      <c r="O297" s="179">
        <f t="shared" si="107"/>
        <v>-32902.160000000149</v>
      </c>
    </row>
    <row r="298" spans="1:15" ht="34" outlineLevel="1" x14ac:dyDescent="0.3">
      <c r="A298" s="189" t="s">
        <v>931</v>
      </c>
      <c r="B298" s="392" t="s">
        <v>455</v>
      </c>
      <c r="C298" s="392" t="s">
        <v>62</v>
      </c>
      <c r="D298" s="392" t="s">
        <v>503</v>
      </c>
      <c r="E298" s="392" t="s">
        <v>6</v>
      </c>
      <c r="F298" s="471">
        <f t="shared" ref="F298:J300" si="124">F299</f>
        <v>33081.949999999255</v>
      </c>
      <c r="G298" s="462">
        <f t="shared" si="124"/>
        <v>32902.160000000149</v>
      </c>
      <c r="H298" s="460"/>
      <c r="I298" s="462">
        <f t="shared" si="124"/>
        <v>38021.379999999997</v>
      </c>
      <c r="J298" s="462">
        <f t="shared" si="124"/>
        <v>38021.379999999997</v>
      </c>
      <c r="K298" s="462">
        <f t="shared" si="105"/>
        <v>115.55891771239281</v>
      </c>
      <c r="L298" s="462">
        <f t="shared" si="106"/>
        <v>5119.2199999998484</v>
      </c>
      <c r="M298" s="462">
        <f t="shared" ref="M298:M300" si="125">M299</f>
        <v>0</v>
      </c>
      <c r="N298" s="178">
        <f t="shared" si="104"/>
        <v>-38021.379999999997</v>
      </c>
      <c r="O298" s="179">
        <f t="shared" si="107"/>
        <v>-32902.160000000149</v>
      </c>
    </row>
    <row r="299" spans="1:15" ht="34" outlineLevel="1" x14ac:dyDescent="0.3">
      <c r="A299" s="189" t="s">
        <v>499</v>
      </c>
      <c r="B299" s="392" t="s">
        <v>455</v>
      </c>
      <c r="C299" s="392" t="s">
        <v>62</v>
      </c>
      <c r="D299" s="392" t="s">
        <v>504</v>
      </c>
      <c r="E299" s="392" t="s">
        <v>6</v>
      </c>
      <c r="F299" s="471">
        <f t="shared" si="124"/>
        <v>33081.949999999255</v>
      </c>
      <c r="G299" s="462">
        <f t="shared" si="124"/>
        <v>32902.160000000149</v>
      </c>
      <c r="H299" s="460"/>
      <c r="I299" s="462">
        <f t="shared" si="124"/>
        <v>38021.379999999997</v>
      </c>
      <c r="J299" s="462">
        <f t="shared" si="124"/>
        <v>38021.379999999997</v>
      </c>
      <c r="K299" s="462">
        <f t="shared" si="105"/>
        <v>115.55891771239281</v>
      </c>
      <c r="L299" s="462">
        <f t="shared" si="106"/>
        <v>5119.2199999998484</v>
      </c>
      <c r="M299" s="462">
        <f t="shared" si="125"/>
        <v>0</v>
      </c>
      <c r="N299" s="178">
        <f t="shared" si="104"/>
        <v>-38021.379999999997</v>
      </c>
      <c r="O299" s="179">
        <f t="shared" si="107"/>
        <v>-32902.160000000149</v>
      </c>
    </row>
    <row r="300" spans="1:15" ht="34" outlineLevel="1" x14ac:dyDescent="0.3">
      <c r="A300" s="189" t="s">
        <v>15</v>
      </c>
      <c r="B300" s="392" t="s">
        <v>455</v>
      </c>
      <c r="C300" s="392" t="s">
        <v>62</v>
      </c>
      <c r="D300" s="392" t="s">
        <v>504</v>
      </c>
      <c r="E300" s="392" t="s">
        <v>16</v>
      </c>
      <c r="F300" s="471">
        <f t="shared" si="124"/>
        <v>33081.949999999255</v>
      </c>
      <c r="G300" s="462">
        <f t="shared" si="124"/>
        <v>32902.160000000149</v>
      </c>
      <c r="H300" s="460"/>
      <c r="I300" s="462">
        <f t="shared" si="124"/>
        <v>38021.379999999997</v>
      </c>
      <c r="J300" s="462">
        <f t="shared" si="124"/>
        <v>38021.379999999997</v>
      </c>
      <c r="K300" s="462">
        <f t="shared" si="105"/>
        <v>115.55891771239281</v>
      </c>
      <c r="L300" s="462">
        <f t="shared" si="106"/>
        <v>5119.2199999998484</v>
      </c>
      <c r="M300" s="462">
        <f t="shared" si="125"/>
        <v>0</v>
      </c>
      <c r="N300" s="178">
        <f t="shared" si="104"/>
        <v>-38021.379999999997</v>
      </c>
      <c r="O300" s="179">
        <f t="shared" si="107"/>
        <v>-32902.160000000149</v>
      </c>
    </row>
    <row r="301" spans="1:15" ht="50.95" outlineLevel="1" x14ac:dyDescent="0.3">
      <c r="A301" s="189" t="s">
        <v>17</v>
      </c>
      <c r="B301" s="392" t="s">
        <v>455</v>
      </c>
      <c r="C301" s="392" t="s">
        <v>62</v>
      </c>
      <c r="D301" s="392" t="s">
        <v>504</v>
      </c>
      <c r="E301" s="392" t="s">
        <v>18</v>
      </c>
      <c r="F301" s="475">
        <f>6616389.06-6583307.11</f>
        <v>33081.949999999255</v>
      </c>
      <c r="G301" s="462">
        <f>'потребность 2023 (5)'!K309-1951.03-6547529.41</f>
        <v>32902.160000000149</v>
      </c>
      <c r="H301" s="460"/>
      <c r="I301" s="462">
        <f>38021.38</f>
        <v>38021.379999999997</v>
      </c>
      <c r="J301" s="449">
        <f>38021.38</f>
        <v>38021.379999999997</v>
      </c>
      <c r="K301" s="462">
        <f t="shared" si="105"/>
        <v>115.55891771239281</v>
      </c>
      <c r="L301" s="462">
        <f t="shared" si="106"/>
        <v>5119.2199999998484</v>
      </c>
      <c r="M301" s="449">
        <f>38021.38-38021.38</f>
        <v>0</v>
      </c>
      <c r="N301" s="178">
        <f t="shared" si="104"/>
        <v>-38021.379999999997</v>
      </c>
      <c r="O301" s="179">
        <f t="shared" si="107"/>
        <v>-32902.160000000149</v>
      </c>
    </row>
    <row r="302" spans="1:15" ht="50.95" hidden="1" outlineLevel="1" x14ac:dyDescent="0.3">
      <c r="A302" s="189" t="s">
        <v>614</v>
      </c>
      <c r="B302" s="392" t="s">
        <v>455</v>
      </c>
      <c r="C302" s="392" t="s">
        <v>62</v>
      </c>
      <c r="D302" s="392" t="s">
        <v>655</v>
      </c>
      <c r="E302" s="392" t="s">
        <v>6</v>
      </c>
      <c r="F302" s="462" t="s">
        <v>838</v>
      </c>
      <c r="G302" s="462">
        <f t="shared" ref="G302:J303" si="126">G303</f>
        <v>0</v>
      </c>
      <c r="H302" s="460"/>
      <c r="I302" s="462">
        <f t="shared" si="126"/>
        <v>0</v>
      </c>
      <c r="J302" s="462">
        <f t="shared" si="126"/>
        <v>0</v>
      </c>
      <c r="K302" s="462" t="e">
        <f t="shared" si="105"/>
        <v>#DIV/0!</v>
      </c>
      <c r="L302" s="462">
        <f t="shared" si="106"/>
        <v>0</v>
      </c>
      <c r="M302" s="462">
        <f t="shared" ref="M302:M303" si="127">M303</f>
        <v>0</v>
      </c>
      <c r="N302" s="178">
        <f t="shared" si="104"/>
        <v>0</v>
      </c>
      <c r="O302" s="179">
        <f t="shared" si="107"/>
        <v>0</v>
      </c>
    </row>
    <row r="303" spans="1:15" ht="34" hidden="1" outlineLevel="1" x14ac:dyDescent="0.3">
      <c r="A303" s="189" t="s">
        <v>15</v>
      </c>
      <c r="B303" s="392" t="s">
        <v>455</v>
      </c>
      <c r="C303" s="392" t="s">
        <v>62</v>
      </c>
      <c r="D303" s="392" t="s">
        <v>655</v>
      </c>
      <c r="E303" s="392" t="s">
        <v>16</v>
      </c>
      <c r="F303" s="462" t="s">
        <v>838</v>
      </c>
      <c r="G303" s="462">
        <f t="shared" si="126"/>
        <v>0</v>
      </c>
      <c r="H303" s="462"/>
      <c r="I303" s="462">
        <f t="shared" si="126"/>
        <v>0</v>
      </c>
      <c r="J303" s="462">
        <f t="shared" si="126"/>
        <v>0</v>
      </c>
      <c r="K303" s="462" t="e">
        <f t="shared" si="105"/>
        <v>#DIV/0!</v>
      </c>
      <c r="L303" s="462">
        <f t="shared" si="106"/>
        <v>0</v>
      </c>
      <c r="M303" s="462">
        <f t="shared" si="127"/>
        <v>0</v>
      </c>
      <c r="N303" s="178">
        <f t="shared" si="104"/>
        <v>0</v>
      </c>
      <c r="O303" s="179">
        <f t="shared" si="107"/>
        <v>0</v>
      </c>
    </row>
    <row r="304" spans="1:15" ht="50.95" hidden="1" outlineLevel="1" x14ac:dyDescent="0.3">
      <c r="A304" s="189" t="s">
        <v>17</v>
      </c>
      <c r="B304" s="392" t="s">
        <v>455</v>
      </c>
      <c r="C304" s="392" t="s">
        <v>62</v>
      </c>
      <c r="D304" s="392" t="s">
        <v>655</v>
      </c>
      <c r="E304" s="392" t="s">
        <v>18</v>
      </c>
      <c r="F304" s="462" t="s">
        <v>838</v>
      </c>
      <c r="G304" s="462">
        <v>0</v>
      </c>
      <c r="H304" s="462"/>
      <c r="I304" s="462">
        <v>0</v>
      </c>
      <c r="J304" s="449"/>
      <c r="K304" s="462" t="e">
        <f t="shared" si="105"/>
        <v>#DIV/0!</v>
      </c>
      <c r="L304" s="462">
        <f t="shared" si="106"/>
        <v>0</v>
      </c>
      <c r="M304" s="449"/>
      <c r="N304" s="178">
        <f t="shared" si="104"/>
        <v>0</v>
      </c>
      <c r="O304" s="179">
        <f t="shared" si="107"/>
        <v>0</v>
      </c>
    </row>
    <row r="305" spans="1:15" s="224" customFormat="1" ht="50.95" outlineLevel="1" x14ac:dyDescent="0.3">
      <c r="A305" s="233" t="s">
        <v>505</v>
      </c>
      <c r="B305" s="392" t="s">
        <v>455</v>
      </c>
      <c r="C305" s="392" t="s">
        <v>62</v>
      </c>
      <c r="D305" s="397" t="s">
        <v>507</v>
      </c>
      <c r="E305" s="397" t="s">
        <v>6</v>
      </c>
      <c r="F305" s="471">
        <f t="shared" ref="F305:J311" si="128">F306</f>
        <v>1522313.25</v>
      </c>
      <c r="G305" s="462">
        <f t="shared" si="128"/>
        <v>931511.56</v>
      </c>
      <c r="H305" s="460">
        <f>H306</f>
        <v>931511.56</v>
      </c>
      <c r="I305" s="462">
        <f t="shared" si="128"/>
        <v>399434.76</v>
      </c>
      <c r="J305" s="462">
        <f t="shared" si="128"/>
        <v>399434.76</v>
      </c>
      <c r="K305" s="462">
        <f t="shared" si="105"/>
        <v>42.880279446022115</v>
      </c>
      <c r="L305" s="462">
        <f t="shared" si="106"/>
        <v>-532076.80000000005</v>
      </c>
      <c r="M305" s="462">
        <f t="shared" ref="M305:M311" si="129">M306</f>
        <v>166385.16000000003</v>
      </c>
      <c r="N305" s="178">
        <f t="shared" si="104"/>
        <v>-233049.59999999998</v>
      </c>
      <c r="O305" s="179">
        <f t="shared" si="107"/>
        <v>-765126.4</v>
      </c>
    </row>
    <row r="306" spans="1:15" s="224" customFormat="1" ht="30.6" customHeight="1" outlineLevel="1" x14ac:dyDescent="0.3">
      <c r="A306" s="233" t="s">
        <v>506</v>
      </c>
      <c r="B306" s="392" t="s">
        <v>455</v>
      </c>
      <c r="C306" s="392" t="s">
        <v>62</v>
      </c>
      <c r="D306" s="397" t="s">
        <v>508</v>
      </c>
      <c r="E306" s="397" t="s">
        <v>6</v>
      </c>
      <c r="F306" s="473">
        <f>F307+F310+F313</f>
        <v>1522313.25</v>
      </c>
      <c r="G306" s="465">
        <f>G307+G310+G313</f>
        <v>931511.56</v>
      </c>
      <c r="H306" s="460">
        <f>H313+H310</f>
        <v>931511.56</v>
      </c>
      <c r="I306" s="465">
        <f>I307+I310+I313</f>
        <v>399434.76</v>
      </c>
      <c r="J306" s="465">
        <f>J307+J310+J313</f>
        <v>399434.76</v>
      </c>
      <c r="K306" s="462">
        <f t="shared" si="105"/>
        <v>42.880279446022115</v>
      </c>
      <c r="L306" s="462">
        <f t="shared" si="106"/>
        <v>-532076.80000000005</v>
      </c>
      <c r="M306" s="465">
        <f>M307+M310+M313</f>
        <v>166385.16000000003</v>
      </c>
      <c r="N306" s="178">
        <f t="shared" si="104"/>
        <v>-233049.59999999998</v>
      </c>
      <c r="O306" s="179">
        <f t="shared" si="107"/>
        <v>-765126.4</v>
      </c>
    </row>
    <row r="307" spans="1:15" s="224" customFormat="1" ht="50.3" hidden="1" customHeight="1" outlineLevel="1" x14ac:dyDescent="0.3">
      <c r="A307" s="202" t="s">
        <v>951</v>
      </c>
      <c r="B307" s="392" t="s">
        <v>455</v>
      </c>
      <c r="C307" s="392" t="s">
        <v>62</v>
      </c>
      <c r="D307" s="392" t="s">
        <v>531</v>
      </c>
      <c r="E307" s="392" t="s">
        <v>6</v>
      </c>
      <c r="F307" s="471">
        <f>F308</f>
        <v>0</v>
      </c>
      <c r="G307" s="462">
        <f t="shared" ref="G307:J308" si="130">G308</f>
        <v>0</v>
      </c>
      <c r="H307" s="460"/>
      <c r="I307" s="462">
        <f t="shared" si="130"/>
        <v>0</v>
      </c>
      <c r="J307" s="462">
        <f t="shared" si="130"/>
        <v>0</v>
      </c>
      <c r="K307" s="462" t="e">
        <f t="shared" si="105"/>
        <v>#DIV/0!</v>
      </c>
      <c r="L307" s="462">
        <f t="shared" si="106"/>
        <v>0</v>
      </c>
      <c r="M307" s="462">
        <f t="shared" ref="M307:M308" si="131">M308</f>
        <v>0</v>
      </c>
      <c r="N307" s="178">
        <f t="shared" si="104"/>
        <v>0</v>
      </c>
      <c r="O307" s="179">
        <f t="shared" si="107"/>
        <v>0</v>
      </c>
    </row>
    <row r="308" spans="1:15" s="224" customFormat="1" ht="44.15" hidden="1" customHeight="1" outlineLevel="1" x14ac:dyDescent="0.3">
      <c r="A308" s="189" t="s">
        <v>15</v>
      </c>
      <c r="B308" s="392" t="s">
        <v>455</v>
      </c>
      <c r="C308" s="392" t="s">
        <v>62</v>
      </c>
      <c r="D308" s="392" t="s">
        <v>531</v>
      </c>
      <c r="E308" s="392" t="s">
        <v>16</v>
      </c>
      <c r="F308" s="471">
        <f>F309</f>
        <v>0</v>
      </c>
      <c r="G308" s="462">
        <f t="shared" si="130"/>
        <v>0</v>
      </c>
      <c r="H308" s="460"/>
      <c r="I308" s="462">
        <f t="shared" si="130"/>
        <v>0</v>
      </c>
      <c r="J308" s="462">
        <f t="shared" si="130"/>
        <v>0</v>
      </c>
      <c r="K308" s="462" t="e">
        <f t="shared" si="105"/>
        <v>#DIV/0!</v>
      </c>
      <c r="L308" s="462">
        <f t="shared" si="106"/>
        <v>0</v>
      </c>
      <c r="M308" s="462">
        <f t="shared" si="131"/>
        <v>0</v>
      </c>
      <c r="N308" s="178">
        <f t="shared" si="104"/>
        <v>0</v>
      </c>
      <c r="O308" s="179">
        <f t="shared" si="107"/>
        <v>0</v>
      </c>
    </row>
    <row r="309" spans="1:15" s="224" customFormat="1" ht="23.8" hidden="1" customHeight="1" outlineLevel="1" x14ac:dyDescent="0.3">
      <c r="A309" s="189" t="s">
        <v>17</v>
      </c>
      <c r="B309" s="392" t="s">
        <v>455</v>
      </c>
      <c r="C309" s="392" t="s">
        <v>62</v>
      </c>
      <c r="D309" s="392" t="s">
        <v>531</v>
      </c>
      <c r="E309" s="392" t="s">
        <v>18</v>
      </c>
      <c r="F309" s="475">
        <v>0</v>
      </c>
      <c r="G309" s="462">
        <v>0</v>
      </c>
      <c r="H309" s="460"/>
      <c r="I309" s="462">
        <f>12915057.33-12915057.33</f>
        <v>0</v>
      </c>
      <c r="J309" s="467"/>
      <c r="K309" s="462" t="e">
        <f t="shared" si="105"/>
        <v>#DIV/0!</v>
      </c>
      <c r="L309" s="462">
        <f t="shared" si="106"/>
        <v>0</v>
      </c>
      <c r="M309" s="467"/>
      <c r="N309" s="178">
        <f t="shared" si="104"/>
        <v>0</v>
      </c>
      <c r="O309" s="179">
        <f t="shared" si="107"/>
        <v>0</v>
      </c>
    </row>
    <row r="310" spans="1:15" ht="40.75" customHeight="1" outlineLevel="1" x14ac:dyDescent="0.3">
      <c r="A310" s="189" t="s">
        <v>510</v>
      </c>
      <c r="B310" s="392" t="s">
        <v>455</v>
      </c>
      <c r="C310" s="392" t="s">
        <v>62</v>
      </c>
      <c r="D310" s="392" t="s">
        <v>509</v>
      </c>
      <c r="E310" s="392" t="s">
        <v>6</v>
      </c>
      <c r="F310" s="471">
        <f t="shared" si="128"/>
        <v>212028.24</v>
      </c>
      <c r="G310" s="462">
        <f t="shared" si="128"/>
        <v>179475.78999999998</v>
      </c>
      <c r="H310" s="460">
        <v>179475.79</v>
      </c>
      <c r="I310" s="462">
        <f t="shared" si="128"/>
        <v>399434.76</v>
      </c>
      <c r="J310" s="462">
        <f t="shared" si="128"/>
        <v>399434.76</v>
      </c>
      <c r="K310" s="462">
        <f t="shared" si="105"/>
        <v>222.55634590046941</v>
      </c>
      <c r="L310" s="462">
        <f t="shared" si="106"/>
        <v>219958.97000000003</v>
      </c>
      <c r="M310" s="462">
        <f t="shared" si="129"/>
        <v>166385.16000000003</v>
      </c>
      <c r="N310" s="178">
        <f t="shared" si="104"/>
        <v>-233049.59999999998</v>
      </c>
      <c r="O310" s="179">
        <f t="shared" si="107"/>
        <v>-13090.629999999946</v>
      </c>
    </row>
    <row r="311" spans="1:15" ht="34" outlineLevel="1" x14ac:dyDescent="0.3">
      <c r="A311" s="189" t="s">
        <v>15</v>
      </c>
      <c r="B311" s="392" t="s">
        <v>455</v>
      </c>
      <c r="C311" s="392" t="s">
        <v>62</v>
      </c>
      <c r="D311" s="392" t="s">
        <v>509</v>
      </c>
      <c r="E311" s="392" t="s">
        <v>16</v>
      </c>
      <c r="F311" s="471">
        <f t="shared" si="128"/>
        <v>212028.24</v>
      </c>
      <c r="G311" s="462">
        <f t="shared" si="128"/>
        <v>179475.78999999998</v>
      </c>
      <c r="H311" s="460">
        <v>179475.79</v>
      </c>
      <c r="I311" s="462">
        <f t="shared" si="128"/>
        <v>399434.76</v>
      </c>
      <c r="J311" s="462">
        <f t="shared" si="128"/>
        <v>399434.76</v>
      </c>
      <c r="K311" s="462">
        <f t="shared" si="105"/>
        <v>222.55634590046941</v>
      </c>
      <c r="L311" s="462">
        <f t="shared" si="106"/>
        <v>219958.97000000003</v>
      </c>
      <c r="M311" s="462">
        <f t="shared" si="129"/>
        <v>166385.16000000003</v>
      </c>
      <c r="N311" s="178">
        <f t="shared" si="104"/>
        <v>-233049.59999999998</v>
      </c>
      <c r="O311" s="179">
        <f t="shared" si="107"/>
        <v>-13090.629999999946</v>
      </c>
    </row>
    <row r="312" spans="1:15" ht="50.95" outlineLevel="1" x14ac:dyDescent="0.3">
      <c r="A312" s="189" t="s">
        <v>17</v>
      </c>
      <c r="B312" s="392" t="s">
        <v>455</v>
      </c>
      <c r="C312" s="392" t="s">
        <v>62</v>
      </c>
      <c r="D312" s="392" t="s">
        <v>509</v>
      </c>
      <c r="E312" s="392" t="s">
        <v>18</v>
      </c>
      <c r="F312" s="475">
        <v>212028.24</v>
      </c>
      <c r="G312" s="449">
        <f>'потребность 2023 (5)'!K320</f>
        <v>179475.78999999998</v>
      </c>
      <c r="H312" s="460">
        <v>179475.79</v>
      </c>
      <c r="I312" s="449">
        <v>399434.76</v>
      </c>
      <c r="J312" s="449">
        <v>399434.76</v>
      </c>
      <c r="K312" s="462">
        <f t="shared" si="105"/>
        <v>222.55634590046941</v>
      </c>
      <c r="L312" s="462">
        <f t="shared" si="106"/>
        <v>219958.97000000003</v>
      </c>
      <c r="M312" s="449">
        <f>399434.76-284777.6+51728</f>
        <v>166385.16000000003</v>
      </c>
      <c r="N312" s="178">
        <f t="shared" si="104"/>
        <v>-233049.59999999998</v>
      </c>
      <c r="O312" s="179">
        <f t="shared" si="107"/>
        <v>-13090.629999999946</v>
      </c>
    </row>
    <row r="313" spans="1:15" ht="50.95" outlineLevel="1" x14ac:dyDescent="0.3">
      <c r="A313" s="189" t="s">
        <v>614</v>
      </c>
      <c r="B313" s="392" t="s">
        <v>455</v>
      </c>
      <c r="C313" s="392" t="s">
        <v>62</v>
      </c>
      <c r="D313" s="392" t="s">
        <v>613</v>
      </c>
      <c r="E313" s="392" t="s">
        <v>6</v>
      </c>
      <c r="F313" s="471">
        <f>F314</f>
        <v>1310285.01</v>
      </c>
      <c r="G313" s="462">
        <f t="shared" ref="G313:J314" si="132">G314</f>
        <v>752035.77</v>
      </c>
      <c r="H313" s="460">
        <v>752035.77</v>
      </c>
      <c r="I313" s="462">
        <f t="shared" si="132"/>
        <v>0</v>
      </c>
      <c r="J313" s="462">
        <f t="shared" si="132"/>
        <v>0</v>
      </c>
      <c r="K313" s="462">
        <f t="shared" si="105"/>
        <v>0</v>
      </c>
      <c r="L313" s="462">
        <f t="shared" si="106"/>
        <v>-752035.77</v>
      </c>
      <c r="M313" s="462">
        <f t="shared" ref="M313:M314" si="133">M314</f>
        <v>0</v>
      </c>
      <c r="N313" s="178">
        <f t="shared" si="104"/>
        <v>0</v>
      </c>
      <c r="O313" s="179">
        <f t="shared" si="107"/>
        <v>-752035.77</v>
      </c>
    </row>
    <row r="314" spans="1:15" ht="34" outlineLevel="1" x14ac:dyDescent="0.3">
      <c r="A314" s="189" t="s">
        <v>15</v>
      </c>
      <c r="B314" s="392" t="s">
        <v>455</v>
      </c>
      <c r="C314" s="392" t="s">
        <v>62</v>
      </c>
      <c r="D314" s="392" t="s">
        <v>613</v>
      </c>
      <c r="E314" s="392" t="s">
        <v>16</v>
      </c>
      <c r="F314" s="471">
        <f>F315</f>
        <v>1310285.01</v>
      </c>
      <c r="G314" s="462">
        <f t="shared" si="132"/>
        <v>752035.77</v>
      </c>
      <c r="H314" s="460">
        <v>752035.77</v>
      </c>
      <c r="I314" s="462">
        <f t="shared" si="132"/>
        <v>0</v>
      </c>
      <c r="J314" s="462">
        <f t="shared" si="132"/>
        <v>0</v>
      </c>
      <c r="K314" s="462">
        <f t="shared" si="105"/>
        <v>0</v>
      </c>
      <c r="L314" s="462">
        <f t="shared" si="106"/>
        <v>-752035.77</v>
      </c>
      <c r="M314" s="462">
        <f t="shared" si="133"/>
        <v>0</v>
      </c>
      <c r="N314" s="178">
        <f t="shared" si="104"/>
        <v>0</v>
      </c>
      <c r="O314" s="179">
        <f t="shared" si="107"/>
        <v>-752035.77</v>
      </c>
    </row>
    <row r="315" spans="1:15" ht="38.25" customHeight="1" outlineLevel="1" x14ac:dyDescent="0.3">
      <c r="A315" s="189" t="s">
        <v>17</v>
      </c>
      <c r="B315" s="392" t="s">
        <v>455</v>
      </c>
      <c r="C315" s="392" t="s">
        <v>62</v>
      </c>
      <c r="D315" s="392" t="s">
        <v>613</v>
      </c>
      <c r="E315" s="392" t="s">
        <v>18</v>
      </c>
      <c r="F315" s="475">
        <v>1310285.01</v>
      </c>
      <c r="G315" s="449">
        <f>1951.03+1254838.52-504753.78</f>
        <v>752035.77</v>
      </c>
      <c r="H315" s="460">
        <v>752035.77</v>
      </c>
      <c r="I315" s="449">
        <v>0</v>
      </c>
      <c r="J315" s="449">
        <v>0</v>
      </c>
      <c r="K315" s="462">
        <f t="shared" si="105"/>
        <v>0</v>
      </c>
      <c r="L315" s="462">
        <f t="shared" si="106"/>
        <v>-752035.77</v>
      </c>
      <c r="M315" s="449">
        <v>0</v>
      </c>
      <c r="N315" s="178">
        <f t="shared" si="104"/>
        <v>0</v>
      </c>
      <c r="O315" s="179">
        <f t="shared" si="107"/>
        <v>-752035.77</v>
      </c>
    </row>
    <row r="316" spans="1:15" ht="34" outlineLevel="1" x14ac:dyDescent="0.3">
      <c r="A316" s="189" t="s">
        <v>284</v>
      </c>
      <c r="B316" s="392" t="s">
        <v>455</v>
      </c>
      <c r="C316" s="392" t="s">
        <v>285</v>
      </c>
      <c r="D316" s="392" t="s">
        <v>126</v>
      </c>
      <c r="E316" s="392" t="s">
        <v>6</v>
      </c>
      <c r="F316" s="476">
        <f>F317</f>
        <v>225083.49</v>
      </c>
      <c r="G316" s="449">
        <f t="shared" ref="G316:J317" si="134">G317</f>
        <v>300000</v>
      </c>
      <c r="H316" s="460">
        <f>H322</f>
        <v>85355.26</v>
      </c>
      <c r="I316" s="449">
        <f t="shared" si="134"/>
        <v>291829.84000000003</v>
      </c>
      <c r="J316" s="449">
        <f t="shared" si="134"/>
        <v>291829.84000000003</v>
      </c>
      <c r="K316" s="462">
        <f t="shared" si="105"/>
        <v>97.276613333333344</v>
      </c>
      <c r="L316" s="462">
        <f t="shared" si="106"/>
        <v>-8170.1599999999744</v>
      </c>
      <c r="M316" s="449">
        <f t="shared" ref="M316:M317" si="135">M317</f>
        <v>74589.210000000021</v>
      </c>
      <c r="N316" s="178">
        <f t="shared" si="104"/>
        <v>-217240.63</v>
      </c>
      <c r="O316" s="179">
        <f t="shared" si="107"/>
        <v>-225410.78999999998</v>
      </c>
    </row>
    <row r="317" spans="1:15" ht="67.95" outlineLevel="1" x14ac:dyDescent="0.3">
      <c r="A317" s="233" t="s">
        <v>1021</v>
      </c>
      <c r="B317" s="397" t="s">
        <v>455</v>
      </c>
      <c r="C317" s="397" t="s">
        <v>285</v>
      </c>
      <c r="D317" s="397" t="s">
        <v>134</v>
      </c>
      <c r="E317" s="397" t="s">
        <v>6</v>
      </c>
      <c r="F317" s="477">
        <f>F318</f>
        <v>225083.49</v>
      </c>
      <c r="G317" s="467">
        <f t="shared" si="134"/>
        <v>300000</v>
      </c>
      <c r="H317" s="460"/>
      <c r="I317" s="467">
        <f t="shared" si="134"/>
        <v>291829.84000000003</v>
      </c>
      <c r="J317" s="467">
        <f t="shared" si="134"/>
        <v>291829.84000000003</v>
      </c>
      <c r="K317" s="462">
        <f t="shared" si="105"/>
        <v>97.276613333333344</v>
      </c>
      <c r="L317" s="462">
        <f t="shared" si="106"/>
        <v>-8170.1599999999744</v>
      </c>
      <c r="M317" s="467">
        <f t="shared" si="135"/>
        <v>74589.210000000021</v>
      </c>
      <c r="N317" s="178">
        <f t="shared" si="104"/>
        <v>-217240.63</v>
      </c>
      <c r="O317" s="179">
        <f t="shared" si="107"/>
        <v>-225410.78999999998</v>
      </c>
    </row>
    <row r="318" spans="1:15" ht="30.6" customHeight="1" outlineLevel="1" x14ac:dyDescent="0.3">
      <c r="A318" s="189" t="s">
        <v>738</v>
      </c>
      <c r="B318" s="392" t="s">
        <v>455</v>
      </c>
      <c r="C318" s="392" t="s">
        <v>285</v>
      </c>
      <c r="D318" s="392" t="s">
        <v>335</v>
      </c>
      <c r="E318" s="392" t="s">
        <v>6</v>
      </c>
      <c r="F318" s="476">
        <f>F319+F322</f>
        <v>225083.49</v>
      </c>
      <c r="G318" s="449">
        <f>G319+G322</f>
        <v>300000</v>
      </c>
      <c r="H318" s="460"/>
      <c r="I318" s="449">
        <f>I319+I322</f>
        <v>291829.84000000003</v>
      </c>
      <c r="J318" s="449">
        <f>J319+J322</f>
        <v>291829.84000000003</v>
      </c>
      <c r="K318" s="462">
        <f t="shared" si="105"/>
        <v>97.276613333333344</v>
      </c>
      <c r="L318" s="462">
        <f t="shared" si="106"/>
        <v>-8170.1599999999744</v>
      </c>
      <c r="M318" s="449">
        <f>M319+M322</f>
        <v>74589.210000000021</v>
      </c>
      <c r="N318" s="178">
        <f t="shared" si="104"/>
        <v>-217240.63</v>
      </c>
      <c r="O318" s="179">
        <f t="shared" si="107"/>
        <v>-225410.78999999998</v>
      </c>
    </row>
    <row r="319" spans="1:15" ht="44.15" hidden="1" customHeight="1" outlineLevel="1" x14ac:dyDescent="0.3">
      <c r="A319" s="185" t="s">
        <v>952</v>
      </c>
      <c r="B319" s="392" t="s">
        <v>455</v>
      </c>
      <c r="C319" s="392" t="s">
        <v>285</v>
      </c>
      <c r="D319" s="392" t="s">
        <v>532</v>
      </c>
      <c r="E319" s="392" t="s">
        <v>6</v>
      </c>
      <c r="F319" s="476">
        <f>F320</f>
        <v>0</v>
      </c>
      <c r="G319" s="449">
        <f t="shared" ref="G319:J320" si="136">G320</f>
        <v>0</v>
      </c>
      <c r="H319" s="460"/>
      <c r="I319" s="449">
        <f t="shared" si="136"/>
        <v>0</v>
      </c>
      <c r="J319" s="449">
        <f t="shared" si="136"/>
        <v>0</v>
      </c>
      <c r="K319" s="462" t="e">
        <f t="shared" si="105"/>
        <v>#DIV/0!</v>
      </c>
      <c r="L319" s="462">
        <f t="shared" si="106"/>
        <v>0</v>
      </c>
      <c r="M319" s="449">
        <f t="shared" ref="M319:M320" si="137">M320</f>
        <v>0</v>
      </c>
      <c r="N319" s="178">
        <f t="shared" si="104"/>
        <v>0</v>
      </c>
      <c r="O319" s="179">
        <f t="shared" si="107"/>
        <v>0</v>
      </c>
    </row>
    <row r="320" spans="1:15" ht="35.5" hidden="1" customHeight="1" outlineLevel="1" x14ac:dyDescent="0.3">
      <c r="A320" s="189" t="s">
        <v>19</v>
      </c>
      <c r="B320" s="392" t="s">
        <v>455</v>
      </c>
      <c r="C320" s="392" t="s">
        <v>285</v>
      </c>
      <c r="D320" s="392" t="s">
        <v>532</v>
      </c>
      <c r="E320" s="392" t="s">
        <v>20</v>
      </c>
      <c r="F320" s="476">
        <f>F321</f>
        <v>0</v>
      </c>
      <c r="G320" s="449">
        <f t="shared" si="136"/>
        <v>0</v>
      </c>
      <c r="H320" s="460"/>
      <c r="I320" s="449">
        <f t="shared" si="136"/>
        <v>0</v>
      </c>
      <c r="J320" s="449">
        <f t="shared" si="136"/>
        <v>0</v>
      </c>
      <c r="K320" s="462" t="e">
        <f t="shared" si="105"/>
        <v>#DIV/0!</v>
      </c>
      <c r="L320" s="462">
        <f t="shared" si="106"/>
        <v>0</v>
      </c>
      <c r="M320" s="449">
        <f t="shared" si="137"/>
        <v>0</v>
      </c>
      <c r="N320" s="178">
        <f t="shared" si="104"/>
        <v>0</v>
      </c>
      <c r="O320" s="179">
        <f t="shared" si="107"/>
        <v>0</v>
      </c>
    </row>
    <row r="321" spans="1:15" ht="41.45" hidden="1" customHeight="1" outlineLevel="1" x14ac:dyDescent="0.3">
      <c r="A321" s="189" t="s">
        <v>963</v>
      </c>
      <c r="B321" s="392" t="s">
        <v>455</v>
      </c>
      <c r="C321" s="392" t="s">
        <v>285</v>
      </c>
      <c r="D321" s="392" t="s">
        <v>532</v>
      </c>
      <c r="E321" s="392" t="s">
        <v>48</v>
      </c>
      <c r="F321" s="475">
        <f>7277699.21-7277699.21</f>
        <v>0</v>
      </c>
      <c r="G321" s="449">
        <f>'потребность 2023 (5)'!K329+342936.86-3102756.78</f>
        <v>0</v>
      </c>
      <c r="H321" s="460"/>
      <c r="I321" s="449">
        <v>0</v>
      </c>
      <c r="J321" s="449"/>
      <c r="K321" s="462" t="e">
        <f t="shared" si="105"/>
        <v>#DIV/0!</v>
      </c>
      <c r="L321" s="462">
        <f t="shared" si="106"/>
        <v>0</v>
      </c>
      <c r="M321" s="449"/>
      <c r="N321" s="178">
        <f t="shared" si="104"/>
        <v>0</v>
      </c>
      <c r="O321" s="179">
        <f t="shared" si="107"/>
        <v>0</v>
      </c>
    </row>
    <row r="322" spans="1:15" s="224" customFormat="1" ht="42.8" customHeight="1" outlineLevel="1" x14ac:dyDescent="0.3">
      <c r="A322" s="189" t="s">
        <v>295</v>
      </c>
      <c r="B322" s="392" t="s">
        <v>455</v>
      </c>
      <c r="C322" s="392" t="s">
        <v>285</v>
      </c>
      <c r="D322" s="392" t="s">
        <v>341</v>
      </c>
      <c r="E322" s="392" t="s">
        <v>6</v>
      </c>
      <c r="F322" s="476">
        <f>F323</f>
        <v>225083.49</v>
      </c>
      <c r="G322" s="449">
        <f t="shared" ref="G322:J323" si="138">G323</f>
        <v>300000</v>
      </c>
      <c r="H322" s="460">
        <v>85355.26</v>
      </c>
      <c r="I322" s="449">
        <f t="shared" si="138"/>
        <v>291829.84000000003</v>
      </c>
      <c r="J322" s="449">
        <f t="shared" si="138"/>
        <v>291829.84000000003</v>
      </c>
      <c r="K322" s="462">
        <f t="shared" si="105"/>
        <v>97.276613333333344</v>
      </c>
      <c r="L322" s="462">
        <f t="shared" si="106"/>
        <v>-8170.1599999999744</v>
      </c>
      <c r="M322" s="449">
        <f t="shared" ref="M322:M323" si="139">M323</f>
        <v>74589.210000000021</v>
      </c>
      <c r="N322" s="178">
        <f t="shared" si="104"/>
        <v>-217240.63</v>
      </c>
      <c r="O322" s="179">
        <f t="shared" si="107"/>
        <v>-225410.78999999998</v>
      </c>
    </row>
    <row r="323" spans="1:15" outlineLevel="2" x14ac:dyDescent="0.3">
      <c r="A323" s="189" t="s">
        <v>19</v>
      </c>
      <c r="B323" s="392" t="s">
        <v>455</v>
      </c>
      <c r="C323" s="392" t="s">
        <v>285</v>
      </c>
      <c r="D323" s="392" t="s">
        <v>341</v>
      </c>
      <c r="E323" s="392" t="s">
        <v>20</v>
      </c>
      <c r="F323" s="476">
        <f>F324</f>
        <v>225083.49</v>
      </c>
      <c r="G323" s="449">
        <f t="shared" si="138"/>
        <v>300000</v>
      </c>
      <c r="H323" s="460">
        <v>85355.26</v>
      </c>
      <c r="I323" s="449">
        <f t="shared" si="138"/>
        <v>291829.84000000003</v>
      </c>
      <c r="J323" s="449">
        <f t="shared" si="138"/>
        <v>291829.84000000003</v>
      </c>
      <c r="K323" s="462">
        <f t="shared" si="105"/>
        <v>97.276613333333344</v>
      </c>
      <c r="L323" s="462">
        <f t="shared" si="106"/>
        <v>-8170.1599999999744</v>
      </c>
      <c r="M323" s="449">
        <f t="shared" si="139"/>
        <v>74589.210000000021</v>
      </c>
      <c r="N323" s="178">
        <f t="shared" si="104"/>
        <v>-217240.63</v>
      </c>
      <c r="O323" s="179">
        <f t="shared" si="107"/>
        <v>-225410.78999999998</v>
      </c>
    </row>
    <row r="324" spans="1:15" s="224" customFormat="1" ht="59.3" customHeight="1" outlineLevel="3" x14ac:dyDescent="0.3">
      <c r="A324" s="189" t="s">
        <v>963</v>
      </c>
      <c r="B324" s="392" t="s">
        <v>455</v>
      </c>
      <c r="C324" s="392" t="s">
        <v>285</v>
      </c>
      <c r="D324" s="392" t="s">
        <v>341</v>
      </c>
      <c r="E324" s="392" t="s">
        <v>48</v>
      </c>
      <c r="F324" s="475">
        <v>225083.49</v>
      </c>
      <c r="G324" s="449">
        <f>'потребность 2023 (5)'!K332</f>
        <v>300000</v>
      </c>
      <c r="H324" s="460">
        <v>85355.26</v>
      </c>
      <c r="I324" s="449">
        <v>291829.84000000003</v>
      </c>
      <c r="J324" s="467">
        <v>291829.84000000003</v>
      </c>
      <c r="K324" s="462">
        <f t="shared" si="105"/>
        <v>97.276613333333344</v>
      </c>
      <c r="L324" s="462">
        <f t="shared" si="106"/>
        <v>-8170.1599999999744</v>
      </c>
      <c r="M324" s="467">
        <f>291829.84-217240.63</f>
        <v>74589.210000000021</v>
      </c>
      <c r="N324" s="178">
        <f t="shared" si="104"/>
        <v>-217240.63</v>
      </c>
      <c r="O324" s="179">
        <f t="shared" si="107"/>
        <v>-225410.78999999998</v>
      </c>
    </row>
    <row r="325" spans="1:15" ht="27" customHeight="1" outlineLevel="3" x14ac:dyDescent="0.3">
      <c r="A325" s="233" t="s">
        <v>64</v>
      </c>
      <c r="B325" s="392" t="s">
        <v>455</v>
      </c>
      <c r="C325" s="397" t="s">
        <v>65</v>
      </c>
      <c r="D325" s="397" t="s">
        <v>126</v>
      </c>
      <c r="E325" s="397" t="s">
        <v>6</v>
      </c>
      <c r="F325" s="473">
        <f>F326</f>
        <v>554892.4</v>
      </c>
      <c r="G325" s="465">
        <f>G326</f>
        <v>515000</v>
      </c>
      <c r="H325" s="460">
        <v>9253</v>
      </c>
      <c r="I325" s="465">
        <f>I326</f>
        <v>515000</v>
      </c>
      <c r="J325" s="465">
        <f>J326</f>
        <v>515000</v>
      </c>
      <c r="K325" s="462">
        <f t="shared" si="105"/>
        <v>100</v>
      </c>
      <c r="L325" s="462">
        <f t="shared" si="106"/>
        <v>0</v>
      </c>
      <c r="M325" s="465">
        <f>M326</f>
        <v>515000</v>
      </c>
      <c r="N325" s="178">
        <f t="shared" si="104"/>
        <v>0</v>
      </c>
      <c r="O325" s="179">
        <f t="shared" si="107"/>
        <v>0</v>
      </c>
    </row>
    <row r="326" spans="1:15" ht="23.3" customHeight="1" outlineLevel="3" x14ac:dyDescent="0.3">
      <c r="A326" s="189" t="s">
        <v>66</v>
      </c>
      <c r="B326" s="392" t="s">
        <v>455</v>
      </c>
      <c r="C326" s="392" t="s">
        <v>67</v>
      </c>
      <c r="D326" s="392" t="s">
        <v>126</v>
      </c>
      <c r="E326" s="392" t="s">
        <v>6</v>
      </c>
      <c r="F326" s="471">
        <f>F327+F336</f>
        <v>554892.4</v>
      </c>
      <c r="G326" s="462">
        <f>G327+G336</f>
        <v>515000</v>
      </c>
      <c r="H326" s="460">
        <v>9253</v>
      </c>
      <c r="I326" s="462">
        <f>I327+I336</f>
        <v>515000</v>
      </c>
      <c r="J326" s="462">
        <f>J327+J336</f>
        <v>515000</v>
      </c>
      <c r="K326" s="462">
        <f t="shared" si="105"/>
        <v>100</v>
      </c>
      <c r="L326" s="462">
        <f t="shared" si="106"/>
        <v>0</v>
      </c>
      <c r="M326" s="462">
        <f>M327+M336</f>
        <v>515000</v>
      </c>
      <c r="N326" s="178">
        <f t="shared" si="104"/>
        <v>0</v>
      </c>
      <c r="O326" s="179">
        <f t="shared" si="107"/>
        <v>0</v>
      </c>
    </row>
    <row r="327" spans="1:15" ht="43.5" customHeight="1" outlineLevel="3" x14ac:dyDescent="0.3">
      <c r="A327" s="233" t="s">
        <v>1019</v>
      </c>
      <c r="B327" s="397" t="s">
        <v>455</v>
      </c>
      <c r="C327" s="397" t="s">
        <v>67</v>
      </c>
      <c r="D327" s="397" t="s">
        <v>135</v>
      </c>
      <c r="E327" s="397" t="s">
        <v>6</v>
      </c>
      <c r="F327" s="473">
        <f>F328+F332</f>
        <v>469992.4</v>
      </c>
      <c r="G327" s="465">
        <f>G328+G332</f>
        <v>470000</v>
      </c>
      <c r="H327" s="460">
        <v>9253</v>
      </c>
      <c r="I327" s="465">
        <f>I328+I332</f>
        <v>470000</v>
      </c>
      <c r="J327" s="465">
        <f>J328+J332</f>
        <v>470000</v>
      </c>
      <c r="K327" s="462">
        <f t="shared" si="105"/>
        <v>100</v>
      </c>
      <c r="L327" s="462">
        <f t="shared" si="106"/>
        <v>0</v>
      </c>
      <c r="M327" s="465">
        <f>M328+M332</f>
        <v>470000</v>
      </c>
      <c r="N327" s="178">
        <f t="shared" si="104"/>
        <v>0</v>
      </c>
      <c r="O327" s="179">
        <f t="shared" si="107"/>
        <v>0</v>
      </c>
    </row>
    <row r="328" spans="1:15" ht="62.5" customHeight="1" outlineLevel="3" x14ac:dyDescent="0.3">
      <c r="A328" s="189" t="s">
        <v>736</v>
      </c>
      <c r="B328" s="392" t="s">
        <v>455</v>
      </c>
      <c r="C328" s="392" t="s">
        <v>67</v>
      </c>
      <c r="D328" s="392" t="s">
        <v>371</v>
      </c>
      <c r="E328" s="392" t="s">
        <v>6</v>
      </c>
      <c r="F328" s="471">
        <f t="shared" ref="F328:J330" si="140">F329</f>
        <v>439994.4</v>
      </c>
      <c r="G328" s="462">
        <f t="shared" si="140"/>
        <v>440000</v>
      </c>
      <c r="H328" s="460">
        <v>0</v>
      </c>
      <c r="I328" s="462">
        <f t="shared" si="140"/>
        <v>440000</v>
      </c>
      <c r="J328" s="462">
        <f t="shared" si="140"/>
        <v>440000</v>
      </c>
      <c r="K328" s="462">
        <f t="shared" si="105"/>
        <v>100</v>
      </c>
      <c r="L328" s="462">
        <f t="shared" si="106"/>
        <v>0</v>
      </c>
      <c r="M328" s="462">
        <f t="shared" ref="M328:M330" si="141">M329</f>
        <v>440000</v>
      </c>
      <c r="N328" s="178">
        <f t="shared" ref="N328:N391" si="142">M328-J328</f>
        <v>0</v>
      </c>
      <c r="O328" s="179">
        <f t="shared" si="107"/>
        <v>0</v>
      </c>
    </row>
    <row r="329" spans="1:15" ht="30.25" customHeight="1" outlineLevel="7" x14ac:dyDescent="0.3">
      <c r="A329" s="189" t="s">
        <v>240</v>
      </c>
      <c r="B329" s="392" t="s">
        <v>455</v>
      </c>
      <c r="C329" s="392" t="s">
        <v>67</v>
      </c>
      <c r="D329" s="392" t="s">
        <v>344</v>
      </c>
      <c r="E329" s="392" t="s">
        <v>6</v>
      </c>
      <c r="F329" s="471">
        <f t="shared" si="140"/>
        <v>439994.4</v>
      </c>
      <c r="G329" s="462">
        <f t="shared" si="140"/>
        <v>440000</v>
      </c>
      <c r="H329" s="460">
        <v>0</v>
      </c>
      <c r="I329" s="462">
        <f t="shared" si="140"/>
        <v>440000</v>
      </c>
      <c r="J329" s="462">
        <f t="shared" si="140"/>
        <v>440000</v>
      </c>
      <c r="K329" s="462">
        <f t="shared" ref="K329:K392" si="143">J329/G329*100</f>
        <v>100</v>
      </c>
      <c r="L329" s="462">
        <f t="shared" ref="L329:L392" si="144">J329-G329</f>
        <v>0</v>
      </c>
      <c r="M329" s="462">
        <f t="shared" si="141"/>
        <v>440000</v>
      </c>
      <c r="N329" s="178">
        <f t="shared" si="142"/>
        <v>0</v>
      </c>
      <c r="O329" s="179">
        <f t="shared" ref="O329:O392" si="145">M329-G329</f>
        <v>0</v>
      </c>
    </row>
    <row r="330" spans="1:15" ht="25.5" customHeight="1" outlineLevel="5" x14ac:dyDescent="0.3">
      <c r="A330" s="189" t="s">
        <v>15</v>
      </c>
      <c r="B330" s="392" t="s">
        <v>455</v>
      </c>
      <c r="C330" s="392" t="s">
        <v>67</v>
      </c>
      <c r="D330" s="392" t="s">
        <v>344</v>
      </c>
      <c r="E330" s="392" t="s">
        <v>16</v>
      </c>
      <c r="F330" s="471">
        <f t="shared" si="140"/>
        <v>439994.4</v>
      </c>
      <c r="G330" s="462">
        <f t="shared" si="140"/>
        <v>440000</v>
      </c>
      <c r="H330" s="460">
        <v>0</v>
      </c>
      <c r="I330" s="462">
        <f t="shared" si="140"/>
        <v>440000</v>
      </c>
      <c r="J330" s="462">
        <f t="shared" si="140"/>
        <v>440000</v>
      </c>
      <c r="K330" s="462">
        <f t="shared" si="143"/>
        <v>100</v>
      </c>
      <c r="L330" s="462">
        <f t="shared" si="144"/>
        <v>0</v>
      </c>
      <c r="M330" s="462">
        <f t="shared" si="141"/>
        <v>440000</v>
      </c>
      <c r="N330" s="178">
        <f t="shared" si="142"/>
        <v>0</v>
      </c>
      <c r="O330" s="179">
        <f t="shared" si="145"/>
        <v>0</v>
      </c>
    </row>
    <row r="331" spans="1:15" ht="50.95" outlineLevel="6" x14ac:dyDescent="0.3">
      <c r="A331" s="189" t="s">
        <v>17</v>
      </c>
      <c r="B331" s="392" t="s">
        <v>455</v>
      </c>
      <c r="C331" s="392" t="s">
        <v>67</v>
      </c>
      <c r="D331" s="392" t="s">
        <v>344</v>
      </c>
      <c r="E331" s="392" t="s">
        <v>18</v>
      </c>
      <c r="F331" s="475">
        <v>439994.4</v>
      </c>
      <c r="G331" s="462">
        <f>'потребность 2023 (5)'!K339</f>
        <v>440000</v>
      </c>
      <c r="H331" s="460">
        <v>0</v>
      </c>
      <c r="I331" s="462">
        <v>440000</v>
      </c>
      <c r="J331" s="449">
        <v>440000</v>
      </c>
      <c r="K331" s="462">
        <f t="shared" si="143"/>
        <v>100</v>
      </c>
      <c r="L331" s="462">
        <f t="shared" si="144"/>
        <v>0</v>
      </c>
      <c r="M331" s="449">
        <v>440000</v>
      </c>
      <c r="N331" s="178">
        <f t="shared" si="142"/>
        <v>0</v>
      </c>
      <c r="O331" s="179">
        <f t="shared" si="145"/>
        <v>0</v>
      </c>
    </row>
    <row r="332" spans="1:15" ht="44.5" customHeight="1" outlineLevel="7" x14ac:dyDescent="0.3">
      <c r="A332" s="189" t="s">
        <v>345</v>
      </c>
      <c r="B332" s="392" t="s">
        <v>455</v>
      </c>
      <c r="C332" s="392" t="s">
        <v>67</v>
      </c>
      <c r="D332" s="392" t="s">
        <v>242</v>
      </c>
      <c r="E332" s="392" t="s">
        <v>6</v>
      </c>
      <c r="F332" s="476">
        <f t="shared" ref="F332:J334" si="146">F333</f>
        <v>29998</v>
      </c>
      <c r="G332" s="449">
        <f t="shared" si="146"/>
        <v>30000</v>
      </c>
      <c r="H332" s="460">
        <v>9253</v>
      </c>
      <c r="I332" s="449">
        <f t="shared" si="146"/>
        <v>30000</v>
      </c>
      <c r="J332" s="449">
        <f t="shared" si="146"/>
        <v>30000</v>
      </c>
      <c r="K332" s="462">
        <f t="shared" si="143"/>
        <v>100</v>
      </c>
      <c r="L332" s="462">
        <f t="shared" si="144"/>
        <v>0</v>
      </c>
      <c r="M332" s="449">
        <f t="shared" ref="M332:M334" si="147">M333</f>
        <v>30000</v>
      </c>
      <c r="N332" s="178">
        <f t="shared" si="142"/>
        <v>0</v>
      </c>
      <c r="O332" s="179">
        <f t="shared" si="145"/>
        <v>0</v>
      </c>
    </row>
    <row r="333" spans="1:15" s="224" customFormat="1" ht="27" customHeight="1" outlineLevel="3" x14ac:dyDescent="0.3">
      <c r="A333" s="189" t="s">
        <v>68</v>
      </c>
      <c r="B333" s="392" t="s">
        <v>455</v>
      </c>
      <c r="C333" s="392" t="s">
        <v>67</v>
      </c>
      <c r="D333" s="392" t="s">
        <v>241</v>
      </c>
      <c r="E333" s="392" t="s">
        <v>6</v>
      </c>
      <c r="F333" s="471">
        <f t="shared" si="146"/>
        <v>29998</v>
      </c>
      <c r="G333" s="462">
        <f t="shared" si="146"/>
        <v>30000</v>
      </c>
      <c r="H333" s="460">
        <v>9253</v>
      </c>
      <c r="I333" s="462">
        <f t="shared" si="146"/>
        <v>30000</v>
      </c>
      <c r="J333" s="462">
        <f t="shared" si="146"/>
        <v>30000</v>
      </c>
      <c r="K333" s="462">
        <f t="shared" si="143"/>
        <v>100</v>
      </c>
      <c r="L333" s="462">
        <f t="shared" si="144"/>
        <v>0</v>
      </c>
      <c r="M333" s="462">
        <f t="shared" si="147"/>
        <v>30000</v>
      </c>
      <c r="N333" s="178">
        <f t="shared" si="142"/>
        <v>0</v>
      </c>
      <c r="O333" s="179">
        <f t="shared" si="145"/>
        <v>0</v>
      </c>
    </row>
    <row r="334" spans="1:15" ht="34" outlineLevel="5" x14ac:dyDescent="0.3">
      <c r="A334" s="189" t="s">
        <v>15</v>
      </c>
      <c r="B334" s="392" t="s">
        <v>455</v>
      </c>
      <c r="C334" s="392" t="s">
        <v>67</v>
      </c>
      <c r="D334" s="392" t="s">
        <v>241</v>
      </c>
      <c r="E334" s="392" t="s">
        <v>16</v>
      </c>
      <c r="F334" s="471">
        <f t="shared" si="146"/>
        <v>29998</v>
      </c>
      <c r="G334" s="462">
        <f t="shared" si="146"/>
        <v>30000</v>
      </c>
      <c r="H334" s="460">
        <v>9253</v>
      </c>
      <c r="I334" s="462">
        <f t="shared" si="146"/>
        <v>30000</v>
      </c>
      <c r="J334" s="462">
        <f t="shared" si="146"/>
        <v>30000</v>
      </c>
      <c r="K334" s="462">
        <f t="shared" si="143"/>
        <v>100</v>
      </c>
      <c r="L334" s="462">
        <f t="shared" si="144"/>
        <v>0</v>
      </c>
      <c r="M334" s="462">
        <f t="shared" si="147"/>
        <v>30000</v>
      </c>
      <c r="N334" s="178">
        <f t="shared" si="142"/>
        <v>0</v>
      </c>
      <c r="O334" s="179">
        <f t="shared" si="145"/>
        <v>0</v>
      </c>
    </row>
    <row r="335" spans="1:15" ht="50.95" outlineLevel="5" x14ac:dyDescent="0.3">
      <c r="A335" s="189" t="s">
        <v>17</v>
      </c>
      <c r="B335" s="392" t="s">
        <v>455</v>
      </c>
      <c r="C335" s="392" t="s">
        <v>67</v>
      </c>
      <c r="D335" s="392" t="s">
        <v>241</v>
      </c>
      <c r="E335" s="392" t="s">
        <v>18</v>
      </c>
      <c r="F335" s="475">
        <v>29998</v>
      </c>
      <c r="G335" s="462">
        <f>'потребность 2023 (5)'!K343</f>
        <v>30000</v>
      </c>
      <c r="H335" s="460">
        <v>9253</v>
      </c>
      <c r="I335" s="462">
        <v>30000</v>
      </c>
      <c r="J335" s="449">
        <v>30000</v>
      </c>
      <c r="K335" s="462">
        <f t="shared" si="143"/>
        <v>100</v>
      </c>
      <c r="L335" s="462">
        <f t="shared" si="144"/>
        <v>0</v>
      </c>
      <c r="M335" s="449">
        <v>30000</v>
      </c>
      <c r="N335" s="178">
        <f t="shared" si="142"/>
        <v>0</v>
      </c>
      <c r="O335" s="179">
        <f t="shared" si="145"/>
        <v>0</v>
      </c>
    </row>
    <row r="336" spans="1:15" ht="84.9" outlineLevel="6" x14ac:dyDescent="0.3">
      <c r="A336" s="233" t="s">
        <v>1034</v>
      </c>
      <c r="B336" s="397" t="s">
        <v>455</v>
      </c>
      <c r="C336" s="397" t="s">
        <v>67</v>
      </c>
      <c r="D336" s="397" t="s">
        <v>346</v>
      </c>
      <c r="E336" s="397" t="s">
        <v>6</v>
      </c>
      <c r="F336" s="473">
        <f>F337</f>
        <v>84900</v>
      </c>
      <c r="G336" s="465">
        <f>G337</f>
        <v>45000</v>
      </c>
      <c r="H336" s="460">
        <v>0</v>
      </c>
      <c r="I336" s="465">
        <f>I337</f>
        <v>45000</v>
      </c>
      <c r="J336" s="465">
        <f>J337</f>
        <v>45000</v>
      </c>
      <c r="K336" s="462">
        <f t="shared" si="143"/>
        <v>100</v>
      </c>
      <c r="L336" s="462">
        <f t="shared" si="144"/>
        <v>0</v>
      </c>
      <c r="M336" s="465">
        <f>M337</f>
        <v>45000</v>
      </c>
      <c r="N336" s="178">
        <f t="shared" si="142"/>
        <v>0</v>
      </c>
      <c r="O336" s="179">
        <f t="shared" si="145"/>
        <v>0</v>
      </c>
    </row>
    <row r="337" spans="1:15" ht="41.3" customHeight="1" outlineLevel="7" x14ac:dyDescent="0.3">
      <c r="A337" s="189" t="s">
        <v>347</v>
      </c>
      <c r="B337" s="392" t="s">
        <v>455</v>
      </c>
      <c r="C337" s="392" t="s">
        <v>67</v>
      </c>
      <c r="D337" s="392" t="s">
        <v>348</v>
      </c>
      <c r="E337" s="392" t="s">
        <v>6</v>
      </c>
      <c r="F337" s="471">
        <f>F339</f>
        <v>84900</v>
      </c>
      <c r="G337" s="462">
        <f>G339</f>
        <v>45000</v>
      </c>
      <c r="H337" s="460">
        <v>0</v>
      </c>
      <c r="I337" s="462">
        <f>I339</f>
        <v>45000</v>
      </c>
      <c r="J337" s="462">
        <f>J339</f>
        <v>45000</v>
      </c>
      <c r="K337" s="462">
        <f t="shared" si="143"/>
        <v>100</v>
      </c>
      <c r="L337" s="462">
        <f t="shared" si="144"/>
        <v>0</v>
      </c>
      <c r="M337" s="462">
        <f>M339</f>
        <v>45000</v>
      </c>
      <c r="N337" s="178">
        <f t="shared" si="142"/>
        <v>0</v>
      </c>
      <c r="O337" s="179">
        <f t="shared" si="145"/>
        <v>0</v>
      </c>
    </row>
    <row r="338" spans="1:15" s="224" customFormat="1" ht="34" outlineLevel="1" x14ac:dyDescent="0.3">
      <c r="A338" s="189" t="s">
        <v>349</v>
      </c>
      <c r="B338" s="392" t="s">
        <v>455</v>
      </c>
      <c r="C338" s="392" t="s">
        <v>67</v>
      </c>
      <c r="D338" s="392" t="s">
        <v>350</v>
      </c>
      <c r="E338" s="392" t="s">
        <v>6</v>
      </c>
      <c r="F338" s="471">
        <f>F339</f>
        <v>84900</v>
      </c>
      <c r="G338" s="462">
        <f t="shared" ref="G338:J339" si="148">G339</f>
        <v>45000</v>
      </c>
      <c r="H338" s="460">
        <v>0</v>
      </c>
      <c r="I338" s="462">
        <f t="shared" si="148"/>
        <v>45000</v>
      </c>
      <c r="J338" s="462">
        <f t="shared" si="148"/>
        <v>45000</v>
      </c>
      <c r="K338" s="462">
        <f t="shared" si="143"/>
        <v>100</v>
      </c>
      <c r="L338" s="462">
        <f t="shared" si="144"/>
        <v>0</v>
      </c>
      <c r="M338" s="462">
        <f t="shared" ref="M338:M339" si="149">M339</f>
        <v>45000</v>
      </c>
      <c r="N338" s="178">
        <f t="shared" si="142"/>
        <v>0</v>
      </c>
      <c r="O338" s="179">
        <f t="shared" si="145"/>
        <v>0</v>
      </c>
    </row>
    <row r="339" spans="1:15" ht="34" outlineLevel="2" x14ac:dyDescent="0.3">
      <c r="A339" s="189" t="s">
        <v>15</v>
      </c>
      <c r="B339" s="392" t="s">
        <v>455</v>
      </c>
      <c r="C339" s="392" t="s">
        <v>67</v>
      </c>
      <c r="D339" s="392" t="s">
        <v>350</v>
      </c>
      <c r="E339" s="392" t="s">
        <v>16</v>
      </c>
      <c r="F339" s="471">
        <f>F340</f>
        <v>84900</v>
      </c>
      <c r="G339" s="462">
        <f t="shared" si="148"/>
        <v>45000</v>
      </c>
      <c r="H339" s="460">
        <v>0</v>
      </c>
      <c r="I339" s="462">
        <f t="shared" si="148"/>
        <v>45000</v>
      </c>
      <c r="J339" s="462">
        <f t="shared" si="148"/>
        <v>45000</v>
      </c>
      <c r="K339" s="462">
        <f t="shared" si="143"/>
        <v>100</v>
      </c>
      <c r="L339" s="462">
        <f t="shared" si="144"/>
        <v>0</v>
      </c>
      <c r="M339" s="462">
        <f t="shared" si="149"/>
        <v>45000</v>
      </c>
      <c r="N339" s="178">
        <f t="shared" si="142"/>
        <v>0</v>
      </c>
      <c r="O339" s="179">
        <f t="shared" si="145"/>
        <v>0</v>
      </c>
    </row>
    <row r="340" spans="1:15" s="224" customFormat="1" ht="50.95" outlineLevel="3" x14ac:dyDescent="0.3">
      <c r="A340" s="189" t="s">
        <v>17</v>
      </c>
      <c r="B340" s="392" t="s">
        <v>455</v>
      </c>
      <c r="C340" s="392" t="s">
        <v>67</v>
      </c>
      <c r="D340" s="392" t="s">
        <v>350</v>
      </c>
      <c r="E340" s="392" t="s">
        <v>18</v>
      </c>
      <c r="F340" s="475">
        <v>84900</v>
      </c>
      <c r="G340" s="449">
        <f>'потребность 2023 (5)'!K348</f>
        <v>45000</v>
      </c>
      <c r="H340" s="460">
        <v>0</v>
      </c>
      <c r="I340" s="449">
        <v>45000</v>
      </c>
      <c r="J340" s="467">
        <v>45000</v>
      </c>
      <c r="K340" s="462">
        <f t="shared" si="143"/>
        <v>100</v>
      </c>
      <c r="L340" s="462">
        <f t="shared" si="144"/>
        <v>0</v>
      </c>
      <c r="M340" s="467">
        <v>45000</v>
      </c>
      <c r="N340" s="178">
        <f t="shared" si="142"/>
        <v>0</v>
      </c>
      <c r="O340" s="179">
        <f t="shared" si="145"/>
        <v>0</v>
      </c>
    </row>
    <row r="341" spans="1:15" outlineLevel="3" x14ac:dyDescent="0.3">
      <c r="A341" s="233" t="s">
        <v>69</v>
      </c>
      <c r="B341" s="397" t="s">
        <v>455</v>
      </c>
      <c r="C341" s="397" t="s">
        <v>70</v>
      </c>
      <c r="D341" s="397" t="s">
        <v>126</v>
      </c>
      <c r="E341" s="397" t="s">
        <v>6</v>
      </c>
      <c r="F341" s="473">
        <f t="shared" ref="F341:J346" si="150">F342</f>
        <v>19831560.850000001</v>
      </c>
      <c r="G341" s="465">
        <f t="shared" si="150"/>
        <v>21909752.719999999</v>
      </c>
      <c r="H341" s="460">
        <v>22332738.170000002</v>
      </c>
      <c r="I341" s="465">
        <f t="shared" si="150"/>
        <v>20237835.43</v>
      </c>
      <c r="J341" s="465">
        <f t="shared" si="150"/>
        <v>23773667.030000001</v>
      </c>
      <c r="K341" s="462">
        <f t="shared" si="143"/>
        <v>108.50723572201049</v>
      </c>
      <c r="L341" s="462">
        <f t="shared" si="144"/>
        <v>1863914.3100000024</v>
      </c>
      <c r="M341" s="465">
        <f t="shared" ref="M341:M346" si="151">M342</f>
        <v>23376667.030000001</v>
      </c>
      <c r="N341" s="178">
        <f t="shared" si="142"/>
        <v>-397000</v>
      </c>
      <c r="O341" s="179">
        <f t="shared" si="145"/>
        <v>1466914.3100000024</v>
      </c>
    </row>
    <row r="342" spans="1:15" outlineLevel="5" x14ac:dyDescent="0.3">
      <c r="A342" s="189" t="s">
        <v>251</v>
      </c>
      <c r="B342" s="392" t="s">
        <v>455</v>
      </c>
      <c r="C342" s="392" t="s">
        <v>250</v>
      </c>
      <c r="D342" s="392" t="s">
        <v>126</v>
      </c>
      <c r="E342" s="392" t="s">
        <v>6</v>
      </c>
      <c r="F342" s="471">
        <f t="shared" si="150"/>
        <v>19831560.850000001</v>
      </c>
      <c r="G342" s="462">
        <f t="shared" si="150"/>
        <v>21909752.719999999</v>
      </c>
      <c r="H342" s="460">
        <v>22332738.170000002</v>
      </c>
      <c r="I342" s="462">
        <f t="shared" si="150"/>
        <v>20237835.43</v>
      </c>
      <c r="J342" s="462">
        <f t="shared" si="150"/>
        <v>23773667.030000001</v>
      </c>
      <c r="K342" s="462">
        <f t="shared" si="143"/>
        <v>108.50723572201049</v>
      </c>
      <c r="L342" s="462">
        <f t="shared" si="144"/>
        <v>1863914.3100000024</v>
      </c>
      <c r="M342" s="462">
        <f t="shared" si="151"/>
        <v>23376667.030000001</v>
      </c>
      <c r="N342" s="178">
        <f t="shared" si="142"/>
        <v>-397000</v>
      </c>
      <c r="O342" s="179">
        <f t="shared" si="145"/>
        <v>1466914.3100000024</v>
      </c>
    </row>
    <row r="343" spans="1:15" ht="50.95" outlineLevel="6" x14ac:dyDescent="0.3">
      <c r="A343" s="233" t="s">
        <v>1035</v>
      </c>
      <c r="B343" s="397" t="s">
        <v>455</v>
      </c>
      <c r="C343" s="397" t="s">
        <v>250</v>
      </c>
      <c r="D343" s="397" t="s">
        <v>136</v>
      </c>
      <c r="E343" s="397" t="s">
        <v>6</v>
      </c>
      <c r="F343" s="473">
        <f>F344</f>
        <v>19831560.850000001</v>
      </c>
      <c r="G343" s="465">
        <f>G344+G351</f>
        <v>21909752.719999999</v>
      </c>
      <c r="H343" s="460">
        <v>22332738.170000002</v>
      </c>
      <c r="I343" s="465">
        <f>I344+I351</f>
        <v>20237835.43</v>
      </c>
      <c r="J343" s="465">
        <f>J344+J351</f>
        <v>23773667.030000001</v>
      </c>
      <c r="K343" s="462">
        <f t="shared" si="143"/>
        <v>108.50723572201049</v>
      </c>
      <c r="L343" s="462">
        <f t="shared" si="144"/>
        <v>1863914.3100000024</v>
      </c>
      <c r="M343" s="465">
        <f>M344+M351</f>
        <v>23376667.030000001</v>
      </c>
      <c r="N343" s="178">
        <f t="shared" si="142"/>
        <v>-397000</v>
      </c>
      <c r="O343" s="179">
        <f t="shared" si="145"/>
        <v>1466914.3100000024</v>
      </c>
    </row>
    <row r="344" spans="1:15" ht="50.95" outlineLevel="7" x14ac:dyDescent="0.3">
      <c r="A344" s="188" t="s">
        <v>351</v>
      </c>
      <c r="B344" s="392" t="s">
        <v>455</v>
      </c>
      <c r="C344" s="392" t="s">
        <v>250</v>
      </c>
      <c r="D344" s="392" t="s">
        <v>225</v>
      </c>
      <c r="E344" s="392" t="s">
        <v>6</v>
      </c>
      <c r="F344" s="471">
        <f>F345+F348</f>
        <v>19831560.850000001</v>
      </c>
      <c r="G344" s="462">
        <f>G345+G348</f>
        <v>21888161.349999998</v>
      </c>
      <c r="H344" s="460">
        <v>15837013.15</v>
      </c>
      <c r="I344" s="462">
        <f>I345+I348</f>
        <v>20237835.43</v>
      </c>
      <c r="J344" s="462">
        <f>J345+J348</f>
        <v>23773667.030000001</v>
      </c>
      <c r="K344" s="462">
        <f t="shared" si="143"/>
        <v>108.61427165968878</v>
      </c>
      <c r="L344" s="462">
        <f t="shared" si="144"/>
        <v>1885505.6800000034</v>
      </c>
      <c r="M344" s="462">
        <f>M345+M348</f>
        <v>23376667.030000001</v>
      </c>
      <c r="N344" s="178">
        <f t="shared" si="142"/>
        <v>-397000</v>
      </c>
      <c r="O344" s="179">
        <f t="shared" si="145"/>
        <v>1488505.6800000034</v>
      </c>
    </row>
    <row r="345" spans="1:15" ht="67.95" outlineLevel="7" x14ac:dyDescent="0.3">
      <c r="A345" s="189" t="s">
        <v>73</v>
      </c>
      <c r="B345" s="392" t="s">
        <v>455</v>
      </c>
      <c r="C345" s="392" t="s">
        <v>250</v>
      </c>
      <c r="D345" s="392" t="s">
        <v>137</v>
      </c>
      <c r="E345" s="392" t="s">
        <v>6</v>
      </c>
      <c r="F345" s="471">
        <f t="shared" si="150"/>
        <v>18639560.850000001</v>
      </c>
      <c r="G345" s="462">
        <f t="shared" si="150"/>
        <v>20985466.739999998</v>
      </c>
      <c r="H345" s="460">
        <v>15691220.609999999</v>
      </c>
      <c r="I345" s="462">
        <f t="shared" si="150"/>
        <v>20237835.43</v>
      </c>
      <c r="J345" s="462">
        <f t="shared" si="150"/>
        <v>23773667.030000001</v>
      </c>
      <c r="K345" s="462">
        <f t="shared" si="143"/>
        <v>113.28633918198953</v>
      </c>
      <c r="L345" s="462">
        <f t="shared" si="144"/>
        <v>2788200.2900000028</v>
      </c>
      <c r="M345" s="462">
        <f t="shared" si="151"/>
        <v>23376667.030000001</v>
      </c>
      <c r="N345" s="178">
        <f t="shared" si="142"/>
        <v>-397000</v>
      </c>
      <c r="O345" s="179">
        <f t="shared" si="145"/>
        <v>2391200.2900000028</v>
      </c>
    </row>
    <row r="346" spans="1:15" ht="50.95" outlineLevel="7" x14ac:dyDescent="0.3">
      <c r="A346" s="189" t="s">
        <v>37</v>
      </c>
      <c r="B346" s="392" t="s">
        <v>455</v>
      </c>
      <c r="C346" s="392" t="s">
        <v>250</v>
      </c>
      <c r="D346" s="392" t="s">
        <v>137</v>
      </c>
      <c r="E346" s="392" t="s">
        <v>38</v>
      </c>
      <c r="F346" s="471">
        <f t="shared" si="150"/>
        <v>18639560.850000001</v>
      </c>
      <c r="G346" s="462">
        <f t="shared" si="150"/>
        <v>20985466.739999998</v>
      </c>
      <c r="H346" s="460">
        <v>15691220.609999999</v>
      </c>
      <c r="I346" s="462">
        <f t="shared" si="150"/>
        <v>20237835.43</v>
      </c>
      <c r="J346" s="462">
        <f t="shared" si="150"/>
        <v>23773667.030000001</v>
      </c>
      <c r="K346" s="462">
        <f t="shared" si="143"/>
        <v>113.28633918198953</v>
      </c>
      <c r="L346" s="462">
        <f t="shared" si="144"/>
        <v>2788200.2900000028</v>
      </c>
      <c r="M346" s="462">
        <f t="shared" si="151"/>
        <v>23376667.030000001</v>
      </c>
      <c r="N346" s="178">
        <f t="shared" si="142"/>
        <v>-397000</v>
      </c>
      <c r="O346" s="179">
        <f t="shared" si="145"/>
        <v>2391200.2900000028</v>
      </c>
    </row>
    <row r="347" spans="1:15" outlineLevel="7" x14ac:dyDescent="0.3">
      <c r="A347" s="188" t="s">
        <v>74</v>
      </c>
      <c r="B347" s="392" t="s">
        <v>455</v>
      </c>
      <c r="C347" s="392" t="s">
        <v>250</v>
      </c>
      <c r="D347" s="392" t="s">
        <v>137</v>
      </c>
      <c r="E347" s="392" t="s">
        <v>75</v>
      </c>
      <c r="F347" s="475">
        <v>18639560.850000001</v>
      </c>
      <c r="G347" s="462">
        <f>'потребность 2023 (5)'!K355+1158445.27</f>
        <v>20985466.739999998</v>
      </c>
      <c r="H347" s="460">
        <v>15691220.609999999</v>
      </c>
      <c r="I347" s="462">
        <v>20237835.43</v>
      </c>
      <c r="J347" s="449">
        <v>23773667.030000001</v>
      </c>
      <c r="K347" s="462">
        <f t="shared" si="143"/>
        <v>113.28633918198953</v>
      </c>
      <c r="L347" s="462">
        <f t="shared" si="144"/>
        <v>2788200.2900000028</v>
      </c>
      <c r="M347" s="449">
        <f>23773667.03-397000</f>
        <v>23376667.030000001</v>
      </c>
      <c r="N347" s="178">
        <f t="shared" si="142"/>
        <v>-397000</v>
      </c>
      <c r="O347" s="179">
        <f t="shared" si="145"/>
        <v>2391200.2900000028</v>
      </c>
    </row>
    <row r="348" spans="1:15" ht="90.35" customHeight="1" outlineLevel="2" x14ac:dyDescent="0.3">
      <c r="A348" s="189" t="s">
        <v>1048</v>
      </c>
      <c r="B348" s="392" t="s">
        <v>455</v>
      </c>
      <c r="C348" s="392" t="s">
        <v>250</v>
      </c>
      <c r="D348" s="245" t="s">
        <v>884</v>
      </c>
      <c r="E348" s="392" t="s">
        <v>6</v>
      </c>
      <c r="F348" s="471">
        <f>F349</f>
        <v>1192000</v>
      </c>
      <c r="G348" s="462">
        <f t="shared" ref="G348:J349" si="152">G349</f>
        <v>902694.61</v>
      </c>
      <c r="H348" s="460">
        <v>145792.54</v>
      </c>
      <c r="I348" s="462">
        <f t="shared" si="152"/>
        <v>0</v>
      </c>
      <c r="J348" s="462">
        <f t="shared" si="152"/>
        <v>0</v>
      </c>
      <c r="K348" s="462">
        <f t="shared" si="143"/>
        <v>0</v>
      </c>
      <c r="L348" s="462">
        <f t="shared" si="144"/>
        <v>-902694.61</v>
      </c>
      <c r="M348" s="462">
        <f t="shared" ref="M348:M349" si="153">M349</f>
        <v>0</v>
      </c>
      <c r="N348" s="178">
        <f t="shared" si="142"/>
        <v>0</v>
      </c>
      <c r="O348" s="179">
        <f t="shared" si="145"/>
        <v>-902694.61</v>
      </c>
    </row>
    <row r="349" spans="1:15" ht="54.35" customHeight="1" outlineLevel="2" x14ac:dyDescent="0.3">
      <c r="A349" s="189" t="s">
        <v>37</v>
      </c>
      <c r="B349" s="392" t="s">
        <v>455</v>
      </c>
      <c r="C349" s="392" t="s">
        <v>250</v>
      </c>
      <c r="D349" s="245" t="s">
        <v>884</v>
      </c>
      <c r="E349" s="392" t="s">
        <v>38</v>
      </c>
      <c r="F349" s="471">
        <f>F350</f>
        <v>1192000</v>
      </c>
      <c r="G349" s="462">
        <f t="shared" si="152"/>
        <v>902694.61</v>
      </c>
      <c r="H349" s="460">
        <v>145792.54</v>
      </c>
      <c r="I349" s="462">
        <f t="shared" si="152"/>
        <v>0</v>
      </c>
      <c r="J349" s="462">
        <f t="shared" si="152"/>
        <v>0</v>
      </c>
      <c r="K349" s="462">
        <f t="shared" si="143"/>
        <v>0</v>
      </c>
      <c r="L349" s="462">
        <f t="shared" si="144"/>
        <v>-902694.61</v>
      </c>
      <c r="M349" s="462">
        <f t="shared" si="153"/>
        <v>0</v>
      </c>
      <c r="N349" s="178">
        <f t="shared" si="142"/>
        <v>0</v>
      </c>
      <c r="O349" s="179">
        <f t="shared" si="145"/>
        <v>-902694.61</v>
      </c>
    </row>
    <row r="350" spans="1:15" ht="29.25" customHeight="1" outlineLevel="2" x14ac:dyDescent="0.3">
      <c r="A350" s="189" t="s">
        <v>74</v>
      </c>
      <c r="B350" s="392" t="s">
        <v>455</v>
      </c>
      <c r="C350" s="392" t="s">
        <v>250</v>
      </c>
      <c r="D350" s="245" t="s">
        <v>884</v>
      </c>
      <c r="E350" s="392" t="s">
        <v>75</v>
      </c>
      <c r="F350" s="475">
        <v>1192000</v>
      </c>
      <c r="G350" s="462">
        <f>117331.46+85363.15+700000</f>
        <v>902694.61</v>
      </c>
      <c r="H350" s="460">
        <v>145792.54</v>
      </c>
      <c r="I350" s="462">
        <v>0</v>
      </c>
      <c r="J350" s="449">
        <v>0</v>
      </c>
      <c r="K350" s="462">
        <f t="shared" si="143"/>
        <v>0</v>
      </c>
      <c r="L350" s="462">
        <f t="shared" si="144"/>
        <v>-902694.61</v>
      </c>
      <c r="M350" s="449">
        <v>0</v>
      </c>
      <c r="N350" s="178">
        <f t="shared" si="142"/>
        <v>0</v>
      </c>
      <c r="O350" s="179">
        <f t="shared" si="145"/>
        <v>-902694.61</v>
      </c>
    </row>
    <row r="351" spans="1:15" s="224" customFormat="1" outlineLevel="3" x14ac:dyDescent="0.3">
      <c r="A351" s="233" t="s">
        <v>885</v>
      </c>
      <c r="B351" s="397" t="s">
        <v>455</v>
      </c>
      <c r="C351" s="397" t="s">
        <v>250</v>
      </c>
      <c r="D351" s="397" t="s">
        <v>542</v>
      </c>
      <c r="E351" s="397" t="s">
        <v>6</v>
      </c>
      <c r="F351" s="465" t="s">
        <v>838</v>
      </c>
      <c r="G351" s="462">
        <f>G352+G355</f>
        <v>21591.370000000003</v>
      </c>
      <c r="H351" s="460"/>
      <c r="I351" s="462">
        <f>I352+I355</f>
        <v>0</v>
      </c>
      <c r="J351" s="462">
        <f>J352+J355</f>
        <v>0</v>
      </c>
      <c r="K351" s="462">
        <f t="shared" si="143"/>
        <v>0</v>
      </c>
      <c r="L351" s="462">
        <f t="shared" si="144"/>
        <v>-21591.370000000003</v>
      </c>
      <c r="M351" s="462">
        <f>M352+M355</f>
        <v>0</v>
      </c>
      <c r="N351" s="178">
        <f t="shared" si="142"/>
        <v>0</v>
      </c>
      <c r="O351" s="179">
        <f t="shared" si="145"/>
        <v>-21591.370000000003</v>
      </c>
    </row>
    <row r="352" spans="1:15" ht="66.599999999999994" customHeight="1" outlineLevel="3" x14ac:dyDescent="0.3">
      <c r="A352" s="189" t="s">
        <v>845</v>
      </c>
      <c r="B352" s="298" t="s">
        <v>455</v>
      </c>
      <c r="C352" s="298" t="s">
        <v>250</v>
      </c>
      <c r="D352" s="298" t="s">
        <v>543</v>
      </c>
      <c r="E352" s="392" t="s">
        <v>6</v>
      </c>
      <c r="F352" s="462" t="s">
        <v>838</v>
      </c>
      <c r="G352" s="462">
        <f t="shared" ref="G352:J353" si="154">G353</f>
        <v>9010.68</v>
      </c>
      <c r="H352" s="460"/>
      <c r="I352" s="462">
        <f t="shared" si="154"/>
        <v>0</v>
      </c>
      <c r="J352" s="462">
        <f t="shared" si="154"/>
        <v>0</v>
      </c>
      <c r="K352" s="462">
        <f t="shared" si="143"/>
        <v>0</v>
      </c>
      <c r="L352" s="462">
        <f t="shared" si="144"/>
        <v>-9010.68</v>
      </c>
      <c r="M352" s="462">
        <f t="shared" ref="M352:M353" si="155">M353</f>
        <v>0</v>
      </c>
      <c r="N352" s="178">
        <f t="shared" si="142"/>
        <v>0</v>
      </c>
      <c r="O352" s="179">
        <f t="shared" si="145"/>
        <v>-9010.68</v>
      </c>
    </row>
    <row r="353" spans="1:15" ht="50.95" outlineLevel="7" x14ac:dyDescent="0.3">
      <c r="A353" s="189" t="s">
        <v>37</v>
      </c>
      <c r="B353" s="298" t="s">
        <v>455</v>
      </c>
      <c r="C353" s="298" t="s">
        <v>250</v>
      </c>
      <c r="D353" s="298" t="s">
        <v>543</v>
      </c>
      <c r="E353" s="392" t="s">
        <v>38</v>
      </c>
      <c r="F353" s="462" t="s">
        <v>838</v>
      </c>
      <c r="G353" s="462">
        <f t="shared" si="154"/>
        <v>9010.68</v>
      </c>
      <c r="H353" s="460"/>
      <c r="I353" s="462">
        <f t="shared" si="154"/>
        <v>0</v>
      </c>
      <c r="J353" s="462">
        <f t="shared" si="154"/>
        <v>0</v>
      </c>
      <c r="K353" s="462">
        <f t="shared" si="143"/>
        <v>0</v>
      </c>
      <c r="L353" s="462">
        <f t="shared" si="144"/>
        <v>-9010.68</v>
      </c>
      <c r="M353" s="462">
        <f t="shared" si="155"/>
        <v>0</v>
      </c>
      <c r="N353" s="178">
        <f t="shared" si="142"/>
        <v>0</v>
      </c>
      <c r="O353" s="179">
        <f t="shared" si="145"/>
        <v>-9010.68</v>
      </c>
    </row>
    <row r="354" spans="1:15" outlineLevel="7" x14ac:dyDescent="0.3">
      <c r="A354" s="189" t="s">
        <v>74</v>
      </c>
      <c r="B354" s="298" t="s">
        <v>455</v>
      </c>
      <c r="C354" s="298" t="s">
        <v>250</v>
      </c>
      <c r="D354" s="298" t="s">
        <v>543</v>
      </c>
      <c r="E354" s="392" t="s">
        <v>75</v>
      </c>
      <c r="F354" s="462" t="s">
        <v>838</v>
      </c>
      <c r="G354" s="462">
        <v>9010.68</v>
      </c>
      <c r="H354" s="460"/>
      <c r="I354" s="462">
        <v>0</v>
      </c>
      <c r="J354" s="449"/>
      <c r="K354" s="462">
        <f t="shared" si="143"/>
        <v>0</v>
      </c>
      <c r="L354" s="462">
        <f t="shared" si="144"/>
        <v>-9010.68</v>
      </c>
      <c r="M354" s="449"/>
      <c r="N354" s="178">
        <f t="shared" si="142"/>
        <v>0</v>
      </c>
      <c r="O354" s="179">
        <f t="shared" si="145"/>
        <v>-9010.68</v>
      </c>
    </row>
    <row r="355" spans="1:15" ht="56.4" customHeight="1" outlineLevel="7" x14ac:dyDescent="0.3">
      <c r="A355" s="189" t="s">
        <v>973</v>
      </c>
      <c r="B355" s="298" t="s">
        <v>455</v>
      </c>
      <c r="C355" s="298" t="s">
        <v>250</v>
      </c>
      <c r="D355" s="298" t="s">
        <v>974</v>
      </c>
      <c r="E355" s="392" t="s">
        <v>6</v>
      </c>
      <c r="F355" s="462" t="s">
        <v>838</v>
      </c>
      <c r="G355" s="462">
        <f t="shared" ref="G355:J356" si="156">G356</f>
        <v>12580.69</v>
      </c>
      <c r="H355" s="460"/>
      <c r="I355" s="462">
        <f t="shared" si="156"/>
        <v>0</v>
      </c>
      <c r="J355" s="462">
        <f t="shared" si="156"/>
        <v>0</v>
      </c>
      <c r="K355" s="462">
        <f t="shared" si="143"/>
        <v>0</v>
      </c>
      <c r="L355" s="462">
        <f t="shared" si="144"/>
        <v>-12580.69</v>
      </c>
      <c r="M355" s="462">
        <f t="shared" ref="M355:M356" si="157">M356</f>
        <v>0</v>
      </c>
      <c r="N355" s="178">
        <f t="shared" si="142"/>
        <v>0</v>
      </c>
      <c r="O355" s="179">
        <f t="shared" si="145"/>
        <v>-12580.69</v>
      </c>
    </row>
    <row r="356" spans="1:15" ht="38.049999999999997" customHeight="1" outlineLevel="7" x14ac:dyDescent="0.3">
      <c r="A356" s="189" t="s">
        <v>37</v>
      </c>
      <c r="B356" s="298" t="s">
        <v>455</v>
      </c>
      <c r="C356" s="298" t="s">
        <v>250</v>
      </c>
      <c r="D356" s="298" t="s">
        <v>974</v>
      </c>
      <c r="E356" s="392" t="s">
        <v>38</v>
      </c>
      <c r="F356" s="462" t="s">
        <v>838</v>
      </c>
      <c r="G356" s="462">
        <f t="shared" si="156"/>
        <v>12580.69</v>
      </c>
      <c r="H356" s="460"/>
      <c r="I356" s="462">
        <f t="shared" si="156"/>
        <v>0</v>
      </c>
      <c r="J356" s="462">
        <f t="shared" si="156"/>
        <v>0</v>
      </c>
      <c r="K356" s="462">
        <f t="shared" si="143"/>
        <v>0</v>
      </c>
      <c r="L356" s="462">
        <f t="shared" si="144"/>
        <v>-12580.69</v>
      </c>
      <c r="M356" s="462">
        <f t="shared" si="157"/>
        <v>0</v>
      </c>
      <c r="N356" s="178">
        <f t="shared" si="142"/>
        <v>0</v>
      </c>
      <c r="O356" s="179">
        <f t="shared" si="145"/>
        <v>-12580.69</v>
      </c>
    </row>
    <row r="357" spans="1:15" ht="26.5" customHeight="1" outlineLevel="7" x14ac:dyDescent="0.3">
      <c r="A357" s="189" t="s">
        <v>74</v>
      </c>
      <c r="B357" s="298" t="s">
        <v>455</v>
      </c>
      <c r="C357" s="298" t="s">
        <v>250</v>
      </c>
      <c r="D357" s="298" t="s">
        <v>974</v>
      </c>
      <c r="E357" s="392" t="s">
        <v>75</v>
      </c>
      <c r="F357" s="462" t="s">
        <v>838</v>
      </c>
      <c r="G357" s="462">
        <v>12580.69</v>
      </c>
      <c r="H357" s="460"/>
      <c r="I357" s="462">
        <v>0</v>
      </c>
      <c r="J357" s="449"/>
      <c r="K357" s="462">
        <f t="shared" si="143"/>
        <v>0</v>
      </c>
      <c r="L357" s="462">
        <f t="shared" si="144"/>
        <v>-12580.69</v>
      </c>
      <c r="M357" s="449"/>
      <c r="N357" s="178">
        <f t="shared" si="142"/>
        <v>0</v>
      </c>
      <c r="O357" s="179">
        <f t="shared" si="145"/>
        <v>-12580.69</v>
      </c>
    </row>
    <row r="358" spans="1:15" outlineLevel="7" x14ac:dyDescent="0.3">
      <c r="A358" s="233" t="s">
        <v>79</v>
      </c>
      <c r="B358" s="397" t="s">
        <v>455</v>
      </c>
      <c r="C358" s="397" t="s">
        <v>80</v>
      </c>
      <c r="D358" s="397" t="s">
        <v>126</v>
      </c>
      <c r="E358" s="397" t="s">
        <v>6</v>
      </c>
      <c r="F358" s="473">
        <f>F359+F386</f>
        <v>12750978.67</v>
      </c>
      <c r="G358" s="465">
        <f t="shared" ref="G358:J359" si="158">G359</f>
        <v>40067527.339999996</v>
      </c>
      <c r="H358" s="460">
        <v>34824779.729999997</v>
      </c>
      <c r="I358" s="465">
        <f t="shared" si="158"/>
        <v>38563776.460000001</v>
      </c>
      <c r="J358" s="465">
        <f t="shared" si="158"/>
        <v>40773314.039999999</v>
      </c>
      <c r="K358" s="462">
        <f t="shared" si="143"/>
        <v>101.76149302653725</v>
      </c>
      <c r="L358" s="462">
        <f t="shared" si="144"/>
        <v>705786.70000000298</v>
      </c>
      <c r="M358" s="465">
        <f t="shared" ref="M358:M359" si="159">M359</f>
        <v>40769815.009999998</v>
      </c>
      <c r="N358" s="178">
        <f t="shared" si="142"/>
        <v>-3499.0300000011921</v>
      </c>
      <c r="O358" s="179">
        <f t="shared" si="145"/>
        <v>702287.67000000179</v>
      </c>
    </row>
    <row r="359" spans="1:15" outlineLevel="7" x14ac:dyDescent="0.3">
      <c r="A359" s="189" t="s">
        <v>81</v>
      </c>
      <c r="B359" s="392" t="s">
        <v>455</v>
      </c>
      <c r="C359" s="392" t="s">
        <v>82</v>
      </c>
      <c r="D359" s="392" t="s">
        <v>126</v>
      </c>
      <c r="E359" s="392" t="s">
        <v>6</v>
      </c>
      <c r="F359" s="471">
        <f>F360</f>
        <v>10500863.65</v>
      </c>
      <c r="G359" s="462">
        <f t="shared" si="158"/>
        <v>40067527.339999996</v>
      </c>
      <c r="H359" s="460">
        <v>34824779.729999997</v>
      </c>
      <c r="I359" s="462">
        <f t="shared" si="158"/>
        <v>38563776.460000001</v>
      </c>
      <c r="J359" s="462">
        <f t="shared" si="158"/>
        <v>40773314.039999999</v>
      </c>
      <c r="K359" s="462">
        <f t="shared" si="143"/>
        <v>101.76149302653725</v>
      </c>
      <c r="L359" s="462">
        <f t="shared" si="144"/>
        <v>705786.70000000298</v>
      </c>
      <c r="M359" s="462">
        <f t="shared" si="159"/>
        <v>40769815.009999998</v>
      </c>
      <c r="N359" s="178">
        <f t="shared" si="142"/>
        <v>-3499.0300000011921</v>
      </c>
      <c r="O359" s="179">
        <f t="shared" si="145"/>
        <v>702287.67000000179</v>
      </c>
    </row>
    <row r="360" spans="1:15" ht="50.95" outlineLevel="7" x14ac:dyDescent="0.3">
      <c r="A360" s="233" t="s">
        <v>1035</v>
      </c>
      <c r="B360" s="397" t="s">
        <v>455</v>
      </c>
      <c r="C360" s="397" t="s">
        <v>82</v>
      </c>
      <c r="D360" s="397" t="s">
        <v>136</v>
      </c>
      <c r="E360" s="397" t="s">
        <v>6</v>
      </c>
      <c r="F360" s="473">
        <f>F361+F375+F365</f>
        <v>10500863.65</v>
      </c>
      <c r="G360" s="465">
        <f>G361+G375+G371+G397</f>
        <v>40067527.339999996</v>
      </c>
      <c r="H360" s="460">
        <v>34824779.729999997</v>
      </c>
      <c r="I360" s="465">
        <f>I361+I375+I371+I397</f>
        <v>38563776.460000001</v>
      </c>
      <c r="J360" s="465">
        <f>J361+J375+J371+J397</f>
        <v>40773314.039999999</v>
      </c>
      <c r="K360" s="462">
        <f t="shared" si="143"/>
        <v>101.76149302653725</v>
      </c>
      <c r="L360" s="462">
        <f t="shared" si="144"/>
        <v>705786.70000000298</v>
      </c>
      <c r="M360" s="465">
        <f>M361+M375+M371+M397</f>
        <v>40769815.009999998</v>
      </c>
      <c r="N360" s="178">
        <f t="shared" si="142"/>
        <v>-3499.0300000011921</v>
      </c>
      <c r="O360" s="179">
        <f t="shared" si="145"/>
        <v>702287.67000000179</v>
      </c>
    </row>
    <row r="361" spans="1:15" ht="50.95" outlineLevel="7" x14ac:dyDescent="0.3">
      <c r="A361" s="189" t="s">
        <v>353</v>
      </c>
      <c r="B361" s="392" t="s">
        <v>455</v>
      </c>
      <c r="C361" s="392" t="s">
        <v>82</v>
      </c>
      <c r="D361" s="392" t="s">
        <v>224</v>
      </c>
      <c r="E361" s="392" t="s">
        <v>6</v>
      </c>
      <c r="F361" s="471">
        <f>F369+F362</f>
        <v>10017363.720000001</v>
      </c>
      <c r="G361" s="462">
        <f>G362+G365+G368</f>
        <v>10607846.629999999</v>
      </c>
      <c r="H361" s="460">
        <v>7255591.8200000003</v>
      </c>
      <c r="I361" s="462">
        <f>I362+I365+I368</f>
        <v>10536274.74</v>
      </c>
      <c r="J361" s="462">
        <f>J362+J365+J368</f>
        <v>11809522.569999998</v>
      </c>
      <c r="K361" s="462">
        <f t="shared" si="143"/>
        <v>111.32817980796918</v>
      </c>
      <c r="L361" s="462">
        <f t="shared" si="144"/>
        <v>1201675.9399999995</v>
      </c>
      <c r="M361" s="462">
        <f>M362+M365+M368</f>
        <v>11806023.539999999</v>
      </c>
      <c r="N361" s="178">
        <f t="shared" si="142"/>
        <v>-3499.0299999993294</v>
      </c>
      <c r="O361" s="179">
        <f t="shared" si="145"/>
        <v>1198176.9100000001</v>
      </c>
    </row>
    <row r="362" spans="1:15" ht="67.95" outlineLevel="7" x14ac:dyDescent="0.3">
      <c r="A362" s="189" t="s">
        <v>1009</v>
      </c>
      <c r="B362" s="392" t="s">
        <v>455</v>
      </c>
      <c r="C362" s="392" t="s">
        <v>82</v>
      </c>
      <c r="D362" s="392" t="s">
        <v>141</v>
      </c>
      <c r="E362" s="392" t="s">
        <v>6</v>
      </c>
      <c r="F362" s="471">
        <f>F363</f>
        <v>10017363.720000001</v>
      </c>
      <c r="G362" s="462">
        <f t="shared" ref="G362:J363" si="160">G363</f>
        <v>10602650.6</v>
      </c>
      <c r="H362" s="460">
        <v>7082390.79</v>
      </c>
      <c r="I362" s="462">
        <f t="shared" si="160"/>
        <v>10531078.710000001</v>
      </c>
      <c r="J362" s="462">
        <f t="shared" si="160"/>
        <v>11804326.539999999</v>
      </c>
      <c r="K362" s="462">
        <f t="shared" si="143"/>
        <v>111.33373139731681</v>
      </c>
      <c r="L362" s="462">
        <f t="shared" si="144"/>
        <v>1201675.9399999995</v>
      </c>
      <c r="M362" s="462">
        <f t="shared" ref="M362:M363" si="161">M363</f>
        <v>11804326.539999999</v>
      </c>
      <c r="N362" s="178">
        <f t="shared" si="142"/>
        <v>0</v>
      </c>
      <c r="O362" s="179">
        <f t="shared" si="145"/>
        <v>1201675.9399999995</v>
      </c>
    </row>
    <row r="363" spans="1:15" ht="50.95" outlineLevel="7" x14ac:dyDescent="0.3">
      <c r="A363" s="189" t="s">
        <v>37</v>
      </c>
      <c r="B363" s="392" t="s">
        <v>455</v>
      </c>
      <c r="C363" s="392" t="s">
        <v>82</v>
      </c>
      <c r="D363" s="392" t="s">
        <v>141</v>
      </c>
      <c r="E363" s="392" t="s">
        <v>38</v>
      </c>
      <c r="F363" s="471">
        <f>F364</f>
        <v>10017363.720000001</v>
      </c>
      <c r="G363" s="462">
        <f t="shared" si="160"/>
        <v>10602650.6</v>
      </c>
      <c r="H363" s="460">
        <v>7082390.79</v>
      </c>
      <c r="I363" s="462">
        <f t="shared" si="160"/>
        <v>10531078.710000001</v>
      </c>
      <c r="J363" s="462">
        <f t="shared" si="160"/>
        <v>11804326.539999999</v>
      </c>
      <c r="K363" s="462">
        <f t="shared" si="143"/>
        <v>111.33373139731681</v>
      </c>
      <c r="L363" s="462">
        <f t="shared" si="144"/>
        <v>1201675.9399999995</v>
      </c>
      <c r="M363" s="462">
        <f t="shared" si="161"/>
        <v>11804326.539999999</v>
      </c>
      <c r="N363" s="178">
        <f t="shared" si="142"/>
        <v>0</v>
      </c>
      <c r="O363" s="179">
        <f t="shared" si="145"/>
        <v>1201675.9399999995</v>
      </c>
    </row>
    <row r="364" spans="1:15" outlineLevel="7" x14ac:dyDescent="0.3">
      <c r="A364" s="189" t="s">
        <v>74</v>
      </c>
      <c r="B364" s="392" t="s">
        <v>455</v>
      </c>
      <c r="C364" s="392" t="s">
        <v>82</v>
      </c>
      <c r="D364" s="392" t="s">
        <v>141</v>
      </c>
      <c r="E364" s="392" t="s">
        <v>75</v>
      </c>
      <c r="F364" s="475">
        <v>10017363.720000001</v>
      </c>
      <c r="G364" s="449">
        <f>'потребность 2023 (5)'!K376+265521.68</f>
        <v>10602650.6</v>
      </c>
      <c r="H364" s="460">
        <v>7082390.79</v>
      </c>
      <c r="I364" s="449">
        <v>10531078.710000001</v>
      </c>
      <c r="J364" s="449">
        <v>11804326.539999999</v>
      </c>
      <c r="K364" s="462">
        <f t="shared" si="143"/>
        <v>111.33373139731681</v>
      </c>
      <c r="L364" s="462">
        <f t="shared" si="144"/>
        <v>1201675.9399999995</v>
      </c>
      <c r="M364" s="449">
        <v>11804326.539999999</v>
      </c>
      <c r="N364" s="178">
        <f t="shared" si="142"/>
        <v>0</v>
      </c>
      <c r="O364" s="179">
        <f t="shared" si="145"/>
        <v>1201675.9399999995</v>
      </c>
    </row>
    <row r="365" spans="1:15" ht="60.45" hidden="1" customHeight="1" outlineLevel="7" x14ac:dyDescent="0.3">
      <c r="A365" s="189" t="s">
        <v>953</v>
      </c>
      <c r="B365" s="392" t="s">
        <v>455</v>
      </c>
      <c r="C365" s="392" t="s">
        <v>82</v>
      </c>
      <c r="D365" s="298" t="s">
        <v>286</v>
      </c>
      <c r="E365" s="407" t="s">
        <v>6</v>
      </c>
      <c r="F365" s="478">
        <f>F366</f>
        <v>0</v>
      </c>
      <c r="G365" s="449">
        <f t="shared" ref="G365:J366" si="162">G366</f>
        <v>0</v>
      </c>
      <c r="H365" s="460"/>
      <c r="I365" s="449">
        <f t="shared" si="162"/>
        <v>0</v>
      </c>
      <c r="J365" s="449">
        <f t="shared" si="162"/>
        <v>0</v>
      </c>
      <c r="K365" s="462" t="e">
        <f t="shared" si="143"/>
        <v>#DIV/0!</v>
      </c>
      <c r="L365" s="462">
        <f t="shared" si="144"/>
        <v>0</v>
      </c>
      <c r="M365" s="449">
        <f t="shared" ref="M365:M366" si="163">M366</f>
        <v>0</v>
      </c>
      <c r="N365" s="178">
        <f t="shared" si="142"/>
        <v>0</v>
      </c>
      <c r="O365" s="179">
        <f t="shared" si="145"/>
        <v>0</v>
      </c>
    </row>
    <row r="366" spans="1:15" ht="50.95" hidden="1" outlineLevel="7" x14ac:dyDescent="0.3">
      <c r="A366" s="189" t="s">
        <v>37</v>
      </c>
      <c r="B366" s="392" t="s">
        <v>455</v>
      </c>
      <c r="C366" s="392" t="s">
        <v>82</v>
      </c>
      <c r="D366" s="298" t="s">
        <v>286</v>
      </c>
      <c r="E366" s="407" t="s">
        <v>38</v>
      </c>
      <c r="F366" s="478">
        <f>F367</f>
        <v>0</v>
      </c>
      <c r="G366" s="449">
        <f t="shared" si="162"/>
        <v>0</v>
      </c>
      <c r="H366" s="460"/>
      <c r="I366" s="449">
        <f t="shared" si="162"/>
        <v>0</v>
      </c>
      <c r="J366" s="449">
        <f t="shared" si="162"/>
        <v>0</v>
      </c>
      <c r="K366" s="462" t="e">
        <f t="shared" si="143"/>
        <v>#DIV/0!</v>
      </c>
      <c r="L366" s="462">
        <f t="shared" si="144"/>
        <v>0</v>
      </c>
      <c r="M366" s="449">
        <f t="shared" si="163"/>
        <v>0</v>
      </c>
      <c r="N366" s="178">
        <f t="shared" si="142"/>
        <v>0</v>
      </c>
      <c r="O366" s="179">
        <f t="shared" si="145"/>
        <v>0</v>
      </c>
    </row>
    <row r="367" spans="1:15" hidden="1" outlineLevel="7" x14ac:dyDescent="0.3">
      <c r="A367" s="189" t="s">
        <v>74</v>
      </c>
      <c r="B367" s="392" t="s">
        <v>455</v>
      </c>
      <c r="C367" s="392" t="s">
        <v>82</v>
      </c>
      <c r="D367" s="298" t="s">
        <v>286</v>
      </c>
      <c r="E367" s="407" t="s">
        <v>75</v>
      </c>
      <c r="F367" s="479">
        <v>0</v>
      </c>
      <c r="G367" s="449">
        <v>0</v>
      </c>
      <c r="H367" s="460"/>
      <c r="I367" s="449">
        <v>0</v>
      </c>
      <c r="J367" s="449"/>
      <c r="K367" s="462" t="e">
        <f t="shared" si="143"/>
        <v>#DIV/0!</v>
      </c>
      <c r="L367" s="462">
        <f t="shared" si="144"/>
        <v>0</v>
      </c>
      <c r="M367" s="449"/>
      <c r="N367" s="178">
        <f t="shared" si="142"/>
        <v>0</v>
      </c>
      <c r="O367" s="179">
        <f t="shared" si="145"/>
        <v>0</v>
      </c>
    </row>
    <row r="368" spans="1:15" ht="76.75" customHeight="1" outlineLevel="7" x14ac:dyDescent="0.3">
      <c r="A368" s="189" t="s">
        <v>296</v>
      </c>
      <c r="B368" s="392" t="s">
        <v>455</v>
      </c>
      <c r="C368" s="392" t="s">
        <v>82</v>
      </c>
      <c r="D368" s="298" t="s">
        <v>297</v>
      </c>
      <c r="E368" s="407" t="s">
        <v>6</v>
      </c>
      <c r="F368" s="497"/>
      <c r="G368" s="449">
        <f t="shared" ref="G368:J369" si="164">G369</f>
        <v>5196.03</v>
      </c>
      <c r="H368" s="460">
        <v>5196.03</v>
      </c>
      <c r="I368" s="449">
        <f t="shared" si="164"/>
        <v>5196.03</v>
      </c>
      <c r="J368" s="449">
        <f t="shared" si="164"/>
        <v>5196.03</v>
      </c>
      <c r="K368" s="462">
        <f t="shared" si="143"/>
        <v>100</v>
      </c>
      <c r="L368" s="462">
        <f t="shared" si="144"/>
        <v>0</v>
      </c>
      <c r="M368" s="449">
        <f t="shared" ref="M368:M369" si="165">M369</f>
        <v>1696.9999999999995</v>
      </c>
      <c r="N368" s="178">
        <f t="shared" si="142"/>
        <v>-3499.03</v>
      </c>
      <c r="O368" s="179">
        <f t="shared" si="145"/>
        <v>-3499.03</v>
      </c>
    </row>
    <row r="369" spans="1:15" ht="50.95" outlineLevel="7" x14ac:dyDescent="0.3">
      <c r="A369" s="189" t="s">
        <v>37</v>
      </c>
      <c r="B369" s="392" t="s">
        <v>455</v>
      </c>
      <c r="C369" s="392" t="s">
        <v>82</v>
      </c>
      <c r="D369" s="298" t="s">
        <v>297</v>
      </c>
      <c r="E369" s="407" t="s">
        <v>38</v>
      </c>
      <c r="F369" s="497"/>
      <c r="G369" s="449">
        <f t="shared" si="164"/>
        <v>5196.03</v>
      </c>
      <c r="H369" s="460">
        <v>5196.03</v>
      </c>
      <c r="I369" s="449">
        <f t="shared" si="164"/>
        <v>5196.03</v>
      </c>
      <c r="J369" s="449">
        <f t="shared" si="164"/>
        <v>5196.03</v>
      </c>
      <c r="K369" s="462">
        <f t="shared" si="143"/>
        <v>100</v>
      </c>
      <c r="L369" s="462">
        <f t="shared" si="144"/>
        <v>0</v>
      </c>
      <c r="M369" s="449">
        <f t="shared" si="165"/>
        <v>1696.9999999999995</v>
      </c>
      <c r="N369" s="178">
        <f t="shared" si="142"/>
        <v>-3499.03</v>
      </c>
      <c r="O369" s="179">
        <f t="shared" si="145"/>
        <v>-3499.03</v>
      </c>
    </row>
    <row r="370" spans="1:15" outlineLevel="7" x14ac:dyDescent="0.3">
      <c r="A370" s="189" t="s">
        <v>74</v>
      </c>
      <c r="B370" s="392" t="s">
        <v>455</v>
      </c>
      <c r="C370" s="392" t="s">
        <v>82</v>
      </c>
      <c r="D370" s="298" t="s">
        <v>297</v>
      </c>
      <c r="E370" s="407" t="s">
        <v>75</v>
      </c>
      <c r="F370" s="479"/>
      <c r="G370" s="449">
        <f>'потребность 2023 (5)'!K382</f>
        <v>5196.03</v>
      </c>
      <c r="H370" s="460">
        <v>5196.03</v>
      </c>
      <c r="I370" s="449">
        <v>5196.03</v>
      </c>
      <c r="J370" s="449">
        <v>5196.03</v>
      </c>
      <c r="K370" s="462">
        <f t="shared" si="143"/>
        <v>100</v>
      </c>
      <c r="L370" s="462">
        <f t="shared" si="144"/>
        <v>0</v>
      </c>
      <c r="M370" s="449">
        <f>5196.03-3499.03</f>
        <v>1696.9999999999995</v>
      </c>
      <c r="N370" s="178">
        <f t="shared" si="142"/>
        <v>-3499.03</v>
      </c>
      <c r="O370" s="179">
        <f t="shared" si="145"/>
        <v>-3499.03</v>
      </c>
    </row>
    <row r="371" spans="1:15" ht="34" outlineLevel="7" x14ac:dyDescent="0.3">
      <c r="A371" s="189" t="s">
        <v>612</v>
      </c>
      <c r="B371" s="392" t="s">
        <v>455</v>
      </c>
      <c r="C371" s="392" t="s">
        <v>82</v>
      </c>
      <c r="D371" s="392" t="s">
        <v>611</v>
      </c>
      <c r="E371" s="392" t="s">
        <v>6</v>
      </c>
      <c r="F371" s="471">
        <f>F372+F378</f>
        <v>24036980.25</v>
      </c>
      <c r="G371" s="462">
        <f t="shared" ref="G371:J373" si="166">G372</f>
        <v>26347135.780000001</v>
      </c>
      <c r="H371" s="460">
        <v>19080629.98</v>
      </c>
      <c r="I371" s="462">
        <f t="shared" si="166"/>
        <v>27395001.719999999</v>
      </c>
      <c r="J371" s="462">
        <f t="shared" si="166"/>
        <v>28331291.469999999</v>
      </c>
      <c r="K371" s="462">
        <f t="shared" si="143"/>
        <v>107.53082121171653</v>
      </c>
      <c r="L371" s="462">
        <f t="shared" si="144"/>
        <v>1984155.6899999976</v>
      </c>
      <c r="M371" s="462">
        <f t="shared" ref="M371:M373" si="167">M372</f>
        <v>28331291.469999999</v>
      </c>
      <c r="N371" s="178">
        <f t="shared" si="142"/>
        <v>0</v>
      </c>
      <c r="O371" s="179">
        <f t="shared" si="145"/>
        <v>1984155.6899999976</v>
      </c>
    </row>
    <row r="372" spans="1:15" ht="36.700000000000003" customHeight="1" outlineLevel="3" x14ac:dyDescent="0.3">
      <c r="A372" s="189" t="s">
        <v>1009</v>
      </c>
      <c r="B372" s="392" t="s">
        <v>455</v>
      </c>
      <c r="C372" s="392" t="s">
        <v>82</v>
      </c>
      <c r="D372" s="392" t="s">
        <v>610</v>
      </c>
      <c r="E372" s="392" t="s">
        <v>6</v>
      </c>
      <c r="F372" s="471">
        <f>F373</f>
        <v>23553480.32</v>
      </c>
      <c r="G372" s="462">
        <f t="shared" si="166"/>
        <v>26347135.780000001</v>
      </c>
      <c r="H372" s="460">
        <v>19080629.98</v>
      </c>
      <c r="I372" s="462">
        <f t="shared" si="166"/>
        <v>27395001.719999999</v>
      </c>
      <c r="J372" s="462">
        <f t="shared" si="166"/>
        <v>28331291.469999999</v>
      </c>
      <c r="K372" s="462">
        <f t="shared" si="143"/>
        <v>107.53082121171653</v>
      </c>
      <c r="L372" s="462">
        <f t="shared" si="144"/>
        <v>1984155.6899999976</v>
      </c>
      <c r="M372" s="462">
        <f t="shared" si="167"/>
        <v>28331291.469999999</v>
      </c>
      <c r="N372" s="178">
        <f t="shared" si="142"/>
        <v>0</v>
      </c>
      <c r="O372" s="179">
        <f t="shared" si="145"/>
        <v>1984155.6899999976</v>
      </c>
    </row>
    <row r="373" spans="1:15" ht="50.95" outlineLevel="3" x14ac:dyDescent="0.3">
      <c r="A373" s="189" t="s">
        <v>37</v>
      </c>
      <c r="B373" s="392" t="s">
        <v>455</v>
      </c>
      <c r="C373" s="392" t="s">
        <v>82</v>
      </c>
      <c r="D373" s="392" t="s">
        <v>610</v>
      </c>
      <c r="E373" s="392" t="s">
        <v>38</v>
      </c>
      <c r="F373" s="471">
        <f>F374</f>
        <v>23553480.32</v>
      </c>
      <c r="G373" s="462">
        <f t="shared" si="166"/>
        <v>26347135.780000001</v>
      </c>
      <c r="H373" s="460">
        <v>19080629.98</v>
      </c>
      <c r="I373" s="462">
        <f t="shared" si="166"/>
        <v>27395001.719999999</v>
      </c>
      <c r="J373" s="462">
        <f t="shared" si="166"/>
        <v>28331291.469999999</v>
      </c>
      <c r="K373" s="462">
        <f t="shared" si="143"/>
        <v>107.53082121171653</v>
      </c>
      <c r="L373" s="462">
        <f t="shared" si="144"/>
        <v>1984155.6899999976</v>
      </c>
      <c r="M373" s="462">
        <f t="shared" si="167"/>
        <v>28331291.469999999</v>
      </c>
      <c r="N373" s="178">
        <f t="shared" si="142"/>
        <v>0</v>
      </c>
      <c r="O373" s="179">
        <f t="shared" si="145"/>
        <v>1984155.6899999976</v>
      </c>
    </row>
    <row r="374" spans="1:15" ht="21.25" customHeight="1" outlineLevel="3" x14ac:dyDescent="0.3">
      <c r="A374" s="189" t="s">
        <v>74</v>
      </c>
      <c r="B374" s="392" t="s">
        <v>455</v>
      </c>
      <c r="C374" s="392" t="s">
        <v>82</v>
      </c>
      <c r="D374" s="392" t="s">
        <v>610</v>
      </c>
      <c r="E374" s="392" t="s">
        <v>75</v>
      </c>
      <c r="F374" s="475">
        <v>23553480.32</v>
      </c>
      <c r="G374" s="449">
        <f>26247135.78+100000</f>
        <v>26347135.780000001</v>
      </c>
      <c r="H374" s="460">
        <v>19080629.98</v>
      </c>
      <c r="I374" s="449">
        <v>27395001.719999999</v>
      </c>
      <c r="J374" s="449">
        <v>28331291.469999999</v>
      </c>
      <c r="K374" s="462">
        <f t="shared" si="143"/>
        <v>107.53082121171653</v>
      </c>
      <c r="L374" s="462">
        <f t="shared" si="144"/>
        <v>1984155.6899999976</v>
      </c>
      <c r="M374" s="449">
        <v>28331291.469999999</v>
      </c>
      <c r="N374" s="178">
        <f t="shared" si="142"/>
        <v>0</v>
      </c>
      <c r="O374" s="179">
        <f t="shared" si="145"/>
        <v>1984155.6899999976</v>
      </c>
    </row>
    <row r="375" spans="1:15" ht="27" customHeight="1" outlineLevel="7" x14ac:dyDescent="0.3">
      <c r="A375" s="189" t="s">
        <v>208</v>
      </c>
      <c r="B375" s="392" t="s">
        <v>455</v>
      </c>
      <c r="C375" s="392" t="s">
        <v>82</v>
      </c>
      <c r="D375" s="392" t="s">
        <v>226</v>
      </c>
      <c r="E375" s="392" t="s">
        <v>6</v>
      </c>
      <c r="F375" s="476">
        <f>F376+F380</f>
        <v>483499.93</v>
      </c>
      <c r="G375" s="449">
        <f>G376+G379+G382+G385+G388+G391+G394</f>
        <v>3087916.1</v>
      </c>
      <c r="H375" s="449"/>
      <c r="I375" s="449">
        <f>I376+I379+I382+I385+I388+I391+I394</f>
        <v>632500</v>
      </c>
      <c r="J375" s="449">
        <f>J376+J379+J382+J385+J388+J391+J394</f>
        <v>632500</v>
      </c>
      <c r="K375" s="462">
        <f t="shared" si="143"/>
        <v>20.483069471997638</v>
      </c>
      <c r="L375" s="462">
        <f t="shared" si="144"/>
        <v>-2455416.1</v>
      </c>
      <c r="M375" s="449">
        <f>M376+M379+M382+M385+M388+M391+M394</f>
        <v>632500</v>
      </c>
      <c r="N375" s="178">
        <f t="shared" si="142"/>
        <v>0</v>
      </c>
      <c r="O375" s="179">
        <f t="shared" si="145"/>
        <v>-2455416.1</v>
      </c>
    </row>
    <row r="376" spans="1:15" ht="34" outlineLevel="7" x14ac:dyDescent="0.3">
      <c r="A376" s="189" t="s">
        <v>83</v>
      </c>
      <c r="B376" s="392" t="s">
        <v>455</v>
      </c>
      <c r="C376" s="392" t="s">
        <v>82</v>
      </c>
      <c r="D376" s="392" t="s">
        <v>140</v>
      </c>
      <c r="E376" s="392" t="s">
        <v>6</v>
      </c>
      <c r="F376" s="471">
        <f>F377</f>
        <v>483499.93</v>
      </c>
      <c r="G376" s="462">
        <f t="shared" ref="G376:J377" si="168">G377</f>
        <v>763605.61</v>
      </c>
      <c r="H376" s="462"/>
      <c r="I376" s="462">
        <f t="shared" si="168"/>
        <v>632500</v>
      </c>
      <c r="J376" s="462">
        <f t="shared" si="168"/>
        <v>632500</v>
      </c>
      <c r="K376" s="462">
        <f t="shared" si="143"/>
        <v>82.830716762282563</v>
      </c>
      <c r="L376" s="462">
        <f t="shared" si="144"/>
        <v>-131105.60999999999</v>
      </c>
      <c r="M376" s="462">
        <f t="shared" ref="M376:M377" si="169">M377</f>
        <v>632500</v>
      </c>
      <c r="N376" s="178">
        <f t="shared" si="142"/>
        <v>0</v>
      </c>
      <c r="O376" s="179">
        <f t="shared" si="145"/>
        <v>-131105.60999999999</v>
      </c>
    </row>
    <row r="377" spans="1:15" s="224" customFormat="1" ht="50.95" outlineLevel="1" x14ac:dyDescent="0.3">
      <c r="A377" s="189" t="s">
        <v>37</v>
      </c>
      <c r="B377" s="392" t="s">
        <v>455</v>
      </c>
      <c r="C377" s="392" t="s">
        <v>82</v>
      </c>
      <c r="D377" s="392" t="s">
        <v>140</v>
      </c>
      <c r="E377" s="392" t="s">
        <v>38</v>
      </c>
      <c r="F377" s="471">
        <f>F378+F379</f>
        <v>483499.93</v>
      </c>
      <c r="G377" s="462">
        <f t="shared" si="168"/>
        <v>763605.61</v>
      </c>
      <c r="H377" s="462"/>
      <c r="I377" s="462">
        <f t="shared" si="168"/>
        <v>632500</v>
      </c>
      <c r="J377" s="462">
        <f t="shared" si="168"/>
        <v>632500</v>
      </c>
      <c r="K377" s="462">
        <f t="shared" si="143"/>
        <v>82.830716762282563</v>
      </c>
      <c r="L377" s="462">
        <f t="shared" si="144"/>
        <v>-131105.60999999999</v>
      </c>
      <c r="M377" s="462">
        <f t="shared" si="169"/>
        <v>632500</v>
      </c>
      <c r="N377" s="178">
        <f t="shared" si="142"/>
        <v>0</v>
      </c>
      <c r="O377" s="179">
        <f t="shared" si="145"/>
        <v>-131105.60999999999</v>
      </c>
    </row>
    <row r="378" spans="1:15" outlineLevel="2" x14ac:dyDescent="0.3">
      <c r="A378" s="189" t="s">
        <v>74</v>
      </c>
      <c r="B378" s="392" t="s">
        <v>455</v>
      </c>
      <c r="C378" s="392" t="s">
        <v>82</v>
      </c>
      <c r="D378" s="392" t="s">
        <v>140</v>
      </c>
      <c r="E378" s="392" t="s">
        <v>75</v>
      </c>
      <c r="F378" s="475">
        <v>483499.93</v>
      </c>
      <c r="G378" s="462">
        <f>'потребность 2023 (5)'!K396+381105.61-250000</f>
        <v>763605.61</v>
      </c>
      <c r="H378" s="462"/>
      <c r="I378" s="462">
        <v>632500</v>
      </c>
      <c r="J378" s="449">
        <v>632500</v>
      </c>
      <c r="K378" s="462">
        <f t="shared" si="143"/>
        <v>82.830716762282563</v>
      </c>
      <c r="L378" s="462">
        <f t="shared" si="144"/>
        <v>-131105.60999999999</v>
      </c>
      <c r="M378" s="449">
        <v>632500</v>
      </c>
      <c r="N378" s="178">
        <f t="shared" si="142"/>
        <v>0</v>
      </c>
      <c r="O378" s="179">
        <f t="shared" si="145"/>
        <v>-131105.60999999999</v>
      </c>
    </row>
    <row r="379" spans="1:15" ht="84.9" hidden="1" outlineLevel="4" x14ac:dyDescent="0.3">
      <c r="A379" s="189" t="s">
        <v>957</v>
      </c>
      <c r="B379" s="392" t="s">
        <v>455</v>
      </c>
      <c r="C379" s="392" t="s">
        <v>82</v>
      </c>
      <c r="D379" s="298" t="s">
        <v>857</v>
      </c>
      <c r="E379" s="298" t="s">
        <v>6</v>
      </c>
      <c r="F379" s="475"/>
      <c r="G379" s="462">
        <f t="shared" ref="G379:J380" si="170">G380</f>
        <v>0</v>
      </c>
      <c r="H379" s="462"/>
      <c r="I379" s="462">
        <f t="shared" si="170"/>
        <v>0</v>
      </c>
      <c r="J379" s="462">
        <f t="shared" si="170"/>
        <v>0</v>
      </c>
      <c r="K379" s="462" t="e">
        <f t="shared" si="143"/>
        <v>#DIV/0!</v>
      </c>
      <c r="L379" s="462">
        <f t="shared" si="144"/>
        <v>0</v>
      </c>
      <c r="M379" s="462">
        <f t="shared" ref="M379:M380" si="171">M380</f>
        <v>0</v>
      </c>
      <c r="N379" s="178">
        <f t="shared" si="142"/>
        <v>0</v>
      </c>
      <c r="O379" s="179">
        <f t="shared" si="145"/>
        <v>0</v>
      </c>
    </row>
    <row r="380" spans="1:15" ht="50.95" hidden="1" outlineLevel="4" x14ac:dyDescent="0.3">
      <c r="A380" s="189" t="s">
        <v>37</v>
      </c>
      <c r="B380" s="392" t="s">
        <v>455</v>
      </c>
      <c r="C380" s="392" t="s">
        <v>82</v>
      </c>
      <c r="D380" s="298" t="s">
        <v>857</v>
      </c>
      <c r="E380" s="298" t="s">
        <v>38</v>
      </c>
      <c r="F380" s="462"/>
      <c r="G380" s="462">
        <f t="shared" si="170"/>
        <v>0</v>
      </c>
      <c r="H380" s="462"/>
      <c r="I380" s="462">
        <f t="shared" si="170"/>
        <v>0</v>
      </c>
      <c r="J380" s="462">
        <f t="shared" si="170"/>
        <v>0</v>
      </c>
      <c r="K380" s="462" t="e">
        <f t="shared" si="143"/>
        <v>#DIV/0!</v>
      </c>
      <c r="L380" s="462">
        <f t="shared" si="144"/>
        <v>0</v>
      </c>
      <c r="M380" s="462">
        <f t="shared" si="171"/>
        <v>0</v>
      </c>
      <c r="N380" s="178">
        <f t="shared" si="142"/>
        <v>0</v>
      </c>
      <c r="O380" s="179">
        <f t="shared" si="145"/>
        <v>0</v>
      </c>
    </row>
    <row r="381" spans="1:15" hidden="1" outlineLevel="4" x14ac:dyDescent="0.3">
      <c r="A381" s="189" t="s">
        <v>74</v>
      </c>
      <c r="B381" s="392" t="s">
        <v>455</v>
      </c>
      <c r="C381" s="392" t="s">
        <v>82</v>
      </c>
      <c r="D381" s="298" t="s">
        <v>857</v>
      </c>
      <c r="E381" s="298" t="s">
        <v>75</v>
      </c>
      <c r="F381" s="462"/>
      <c r="G381" s="462">
        <v>0</v>
      </c>
      <c r="H381" s="462"/>
      <c r="I381" s="462"/>
      <c r="J381" s="449"/>
      <c r="K381" s="462" t="e">
        <f t="shared" si="143"/>
        <v>#DIV/0!</v>
      </c>
      <c r="L381" s="462">
        <f t="shared" si="144"/>
        <v>0</v>
      </c>
      <c r="M381" s="449"/>
      <c r="N381" s="178">
        <f t="shared" si="142"/>
        <v>0</v>
      </c>
      <c r="O381" s="179">
        <f t="shared" si="145"/>
        <v>0</v>
      </c>
    </row>
    <row r="382" spans="1:15" ht="50.95" outlineLevel="4" x14ac:dyDescent="0.3">
      <c r="A382" s="189" t="s">
        <v>1013</v>
      </c>
      <c r="B382" s="392" t="s">
        <v>455</v>
      </c>
      <c r="C382" s="392" t="s">
        <v>82</v>
      </c>
      <c r="D382" s="298" t="s">
        <v>859</v>
      </c>
      <c r="E382" s="298" t="s">
        <v>6</v>
      </c>
      <c r="F382" s="449"/>
      <c r="G382" s="462">
        <f t="shared" ref="G382:J383" si="172">G383</f>
        <v>102178.82</v>
      </c>
      <c r="H382" s="462"/>
      <c r="I382" s="462">
        <f t="shared" si="172"/>
        <v>0</v>
      </c>
      <c r="J382" s="462">
        <f t="shared" si="172"/>
        <v>0</v>
      </c>
      <c r="K382" s="462">
        <f t="shared" si="143"/>
        <v>0</v>
      </c>
      <c r="L382" s="462">
        <f t="shared" si="144"/>
        <v>-102178.82</v>
      </c>
      <c r="M382" s="462">
        <f t="shared" ref="M382:M383" si="173">M383</f>
        <v>0</v>
      </c>
      <c r="N382" s="178">
        <f t="shared" si="142"/>
        <v>0</v>
      </c>
      <c r="O382" s="179">
        <f t="shared" si="145"/>
        <v>-102178.82</v>
      </c>
    </row>
    <row r="383" spans="1:15" ht="50.95" outlineLevel="4" x14ac:dyDescent="0.3">
      <c r="A383" s="189" t="s">
        <v>37</v>
      </c>
      <c r="B383" s="392" t="s">
        <v>455</v>
      </c>
      <c r="C383" s="392" t="s">
        <v>82</v>
      </c>
      <c r="D383" s="298" t="s">
        <v>859</v>
      </c>
      <c r="E383" s="298" t="s">
        <v>38</v>
      </c>
      <c r="F383" s="449"/>
      <c r="G383" s="462">
        <f t="shared" si="172"/>
        <v>102178.82</v>
      </c>
      <c r="H383" s="462"/>
      <c r="I383" s="462">
        <f t="shared" si="172"/>
        <v>0</v>
      </c>
      <c r="J383" s="462">
        <f t="shared" si="172"/>
        <v>0</v>
      </c>
      <c r="K383" s="462">
        <f t="shared" si="143"/>
        <v>0</v>
      </c>
      <c r="L383" s="462">
        <f t="shared" si="144"/>
        <v>-102178.82</v>
      </c>
      <c r="M383" s="462">
        <f t="shared" si="173"/>
        <v>0</v>
      </c>
      <c r="N383" s="178">
        <f t="shared" si="142"/>
        <v>0</v>
      </c>
      <c r="O383" s="179">
        <f t="shared" si="145"/>
        <v>-102178.82</v>
      </c>
    </row>
    <row r="384" spans="1:15" outlineLevel="4" x14ac:dyDescent="0.3">
      <c r="A384" s="189" t="s">
        <v>74</v>
      </c>
      <c r="B384" s="392" t="s">
        <v>455</v>
      </c>
      <c r="C384" s="392" t="s">
        <v>82</v>
      </c>
      <c r="D384" s="298" t="s">
        <v>859</v>
      </c>
      <c r="E384" s="298" t="s">
        <v>75</v>
      </c>
      <c r="F384" s="449"/>
      <c r="G384" s="462">
        <v>102178.82</v>
      </c>
      <c r="H384" s="462"/>
      <c r="I384" s="462"/>
      <c r="J384" s="449">
        <v>0</v>
      </c>
      <c r="K384" s="462">
        <f t="shared" si="143"/>
        <v>0</v>
      </c>
      <c r="L384" s="462">
        <f t="shared" si="144"/>
        <v>-102178.82</v>
      </c>
      <c r="M384" s="449">
        <v>0</v>
      </c>
      <c r="N384" s="178">
        <f t="shared" si="142"/>
        <v>0</v>
      </c>
      <c r="O384" s="179">
        <f t="shared" si="145"/>
        <v>-102178.82</v>
      </c>
    </row>
    <row r="385" spans="1:15" ht="84.9" outlineLevel="4" x14ac:dyDescent="0.3">
      <c r="A385" s="189" t="s">
        <v>1048</v>
      </c>
      <c r="B385" s="392" t="s">
        <v>455</v>
      </c>
      <c r="C385" s="392" t="s">
        <v>82</v>
      </c>
      <c r="D385" s="392" t="s">
        <v>823</v>
      </c>
      <c r="E385" s="392" t="s">
        <v>6</v>
      </c>
      <c r="F385" s="498">
        <f>F386</f>
        <v>2250115.02</v>
      </c>
      <c r="G385" s="462">
        <f t="shared" ref="G385:J386" si="174">G386</f>
        <v>2155186.87</v>
      </c>
      <c r="H385" s="462"/>
      <c r="I385" s="462">
        <f t="shared" si="174"/>
        <v>0</v>
      </c>
      <c r="J385" s="462">
        <f t="shared" si="174"/>
        <v>0</v>
      </c>
      <c r="K385" s="462">
        <f t="shared" si="143"/>
        <v>0</v>
      </c>
      <c r="L385" s="462">
        <f t="shared" si="144"/>
        <v>-2155186.87</v>
      </c>
      <c r="M385" s="462">
        <f t="shared" ref="M385:M386" si="175">M386</f>
        <v>0</v>
      </c>
      <c r="N385" s="178">
        <f t="shared" si="142"/>
        <v>0</v>
      </c>
      <c r="O385" s="179">
        <f t="shared" si="145"/>
        <v>-2155186.87</v>
      </c>
    </row>
    <row r="386" spans="1:15" ht="50.95" outlineLevel="4" x14ac:dyDescent="0.3">
      <c r="A386" s="189" t="s">
        <v>37</v>
      </c>
      <c r="B386" s="392" t="s">
        <v>455</v>
      </c>
      <c r="C386" s="392" t="s">
        <v>82</v>
      </c>
      <c r="D386" s="392" t="s">
        <v>823</v>
      </c>
      <c r="E386" s="392" t="s">
        <v>38</v>
      </c>
      <c r="F386" s="498">
        <f>F387</f>
        <v>2250115.02</v>
      </c>
      <c r="G386" s="462">
        <f t="shared" si="174"/>
        <v>2155186.87</v>
      </c>
      <c r="H386" s="462"/>
      <c r="I386" s="462">
        <f t="shared" si="174"/>
        <v>0</v>
      </c>
      <c r="J386" s="462">
        <f t="shared" si="174"/>
        <v>0</v>
      </c>
      <c r="K386" s="462">
        <f t="shared" si="143"/>
        <v>0</v>
      </c>
      <c r="L386" s="462">
        <f t="shared" si="144"/>
        <v>-2155186.87</v>
      </c>
      <c r="M386" s="462">
        <f t="shared" si="175"/>
        <v>0</v>
      </c>
      <c r="N386" s="178">
        <f t="shared" si="142"/>
        <v>0</v>
      </c>
      <c r="O386" s="179">
        <f t="shared" si="145"/>
        <v>-2155186.87</v>
      </c>
    </row>
    <row r="387" spans="1:15" outlineLevel="4" x14ac:dyDescent="0.3">
      <c r="A387" s="189" t="s">
        <v>74</v>
      </c>
      <c r="B387" s="392" t="s">
        <v>455</v>
      </c>
      <c r="C387" s="392" t="s">
        <v>82</v>
      </c>
      <c r="D387" s="392" t="s">
        <v>823</v>
      </c>
      <c r="E387" s="392" t="s">
        <v>75</v>
      </c>
      <c r="F387" s="499">
        <f>319894.8+1930220.22</f>
        <v>2250115.02</v>
      </c>
      <c r="G387" s="462">
        <f>895180.8-600+180606.07+1080000</f>
        <v>2155186.87</v>
      </c>
      <c r="H387" s="462"/>
      <c r="I387" s="462"/>
      <c r="J387" s="449">
        <v>0</v>
      </c>
      <c r="K387" s="462">
        <f t="shared" si="143"/>
        <v>0</v>
      </c>
      <c r="L387" s="462">
        <f t="shared" si="144"/>
        <v>-2155186.87</v>
      </c>
      <c r="M387" s="449">
        <v>0</v>
      </c>
      <c r="N387" s="178">
        <f t="shared" si="142"/>
        <v>0</v>
      </c>
      <c r="O387" s="179">
        <f t="shared" si="145"/>
        <v>-2155186.87</v>
      </c>
    </row>
    <row r="388" spans="1:15" ht="50.95" outlineLevel="4" x14ac:dyDescent="0.3">
      <c r="A388" s="189" t="s">
        <v>1006</v>
      </c>
      <c r="B388" s="392" t="s">
        <v>455</v>
      </c>
      <c r="C388" s="392" t="s">
        <v>82</v>
      </c>
      <c r="D388" s="392" t="s">
        <v>783</v>
      </c>
      <c r="E388" s="392" t="s">
        <v>6</v>
      </c>
      <c r="F388" s="471">
        <f t="shared" ref="F388:J389" si="176">F389</f>
        <v>71870.870000000112</v>
      </c>
      <c r="G388" s="462">
        <f t="shared" si="176"/>
        <v>34168.619999999879</v>
      </c>
      <c r="H388" s="462"/>
      <c r="I388" s="462">
        <f t="shared" si="176"/>
        <v>0</v>
      </c>
      <c r="J388" s="462">
        <f t="shared" si="176"/>
        <v>0</v>
      </c>
      <c r="K388" s="462">
        <f t="shared" si="143"/>
        <v>0</v>
      </c>
      <c r="L388" s="462">
        <f t="shared" si="144"/>
        <v>-34168.619999999879</v>
      </c>
      <c r="M388" s="462">
        <f t="shared" ref="M388:M389" si="177">M389</f>
        <v>0</v>
      </c>
      <c r="N388" s="178">
        <f t="shared" si="142"/>
        <v>0</v>
      </c>
      <c r="O388" s="179">
        <f t="shared" si="145"/>
        <v>-34168.619999999879</v>
      </c>
    </row>
    <row r="389" spans="1:15" ht="50.95" outlineLevel="4" x14ac:dyDescent="0.3">
      <c r="A389" s="189" t="s">
        <v>37</v>
      </c>
      <c r="B389" s="392" t="s">
        <v>455</v>
      </c>
      <c r="C389" s="392" t="s">
        <v>82</v>
      </c>
      <c r="D389" s="392" t="s">
        <v>783</v>
      </c>
      <c r="E389" s="392" t="s">
        <v>38</v>
      </c>
      <c r="F389" s="471">
        <f t="shared" si="176"/>
        <v>71870.870000000112</v>
      </c>
      <c r="G389" s="462">
        <f t="shared" si="176"/>
        <v>34168.619999999879</v>
      </c>
      <c r="H389" s="462"/>
      <c r="I389" s="462">
        <f t="shared" si="176"/>
        <v>0</v>
      </c>
      <c r="J389" s="462">
        <f t="shared" si="176"/>
        <v>0</v>
      </c>
      <c r="K389" s="462">
        <f t="shared" si="143"/>
        <v>0</v>
      </c>
      <c r="L389" s="462">
        <f t="shared" si="144"/>
        <v>-34168.619999999879</v>
      </c>
      <c r="M389" s="462">
        <f t="shared" si="177"/>
        <v>0</v>
      </c>
      <c r="N389" s="178">
        <f t="shared" si="142"/>
        <v>0</v>
      </c>
      <c r="O389" s="179">
        <f t="shared" si="145"/>
        <v>-34168.619999999879</v>
      </c>
    </row>
    <row r="390" spans="1:15" outlineLevel="4" x14ac:dyDescent="0.3">
      <c r="A390" s="189" t="s">
        <v>74</v>
      </c>
      <c r="B390" s="392" t="s">
        <v>455</v>
      </c>
      <c r="C390" s="392" t="s">
        <v>82</v>
      </c>
      <c r="D390" s="392" t="s">
        <v>783</v>
      </c>
      <c r="E390" s="392" t="s">
        <v>75</v>
      </c>
      <c r="F390" s="475">
        <f>2072014-2000143.13</f>
        <v>71870.870000000112</v>
      </c>
      <c r="G390" s="506">
        <f>1138353.98+600-1104785.36</f>
        <v>34168.619999999879</v>
      </c>
      <c r="H390" s="462"/>
      <c r="I390" s="462"/>
      <c r="J390" s="449">
        <v>0</v>
      </c>
      <c r="K390" s="462">
        <f t="shared" si="143"/>
        <v>0</v>
      </c>
      <c r="L390" s="462">
        <f t="shared" si="144"/>
        <v>-34168.619999999879</v>
      </c>
      <c r="M390" s="449">
        <v>0</v>
      </c>
      <c r="N390" s="178">
        <f t="shared" si="142"/>
        <v>0</v>
      </c>
      <c r="O390" s="179">
        <f t="shared" si="145"/>
        <v>-34168.619999999879</v>
      </c>
    </row>
    <row r="391" spans="1:15" ht="67.95" hidden="1" outlineLevel="4" x14ac:dyDescent="0.3">
      <c r="A391" s="202" t="s">
        <v>1005</v>
      </c>
      <c r="B391" s="392" t="s">
        <v>455</v>
      </c>
      <c r="C391" s="392" t="s">
        <v>82</v>
      </c>
      <c r="D391" s="392" t="s">
        <v>1049</v>
      </c>
      <c r="E391" s="392" t="s">
        <v>6</v>
      </c>
      <c r="F391" s="462" t="s">
        <v>838</v>
      </c>
      <c r="G391" s="462">
        <f t="shared" ref="G391:J392" si="178">G392</f>
        <v>0</v>
      </c>
      <c r="H391" s="462"/>
      <c r="I391" s="462">
        <f t="shared" si="178"/>
        <v>0</v>
      </c>
      <c r="J391" s="462">
        <f t="shared" si="178"/>
        <v>0</v>
      </c>
      <c r="K391" s="462" t="e">
        <f t="shared" si="143"/>
        <v>#DIV/0!</v>
      </c>
      <c r="L391" s="462">
        <f t="shared" si="144"/>
        <v>0</v>
      </c>
      <c r="M391" s="462">
        <f t="shared" ref="M391:M392" si="179">M392</f>
        <v>0</v>
      </c>
      <c r="N391" s="178">
        <f t="shared" si="142"/>
        <v>0</v>
      </c>
      <c r="O391" s="179">
        <f t="shared" si="145"/>
        <v>0</v>
      </c>
    </row>
    <row r="392" spans="1:15" ht="50.95" hidden="1" outlineLevel="4" x14ac:dyDescent="0.3">
      <c r="A392" s="189" t="s">
        <v>37</v>
      </c>
      <c r="B392" s="392" t="s">
        <v>455</v>
      </c>
      <c r="C392" s="392" t="s">
        <v>82</v>
      </c>
      <c r="D392" s="392" t="s">
        <v>1049</v>
      </c>
      <c r="E392" s="392" t="s">
        <v>38</v>
      </c>
      <c r="F392" s="462" t="s">
        <v>838</v>
      </c>
      <c r="G392" s="462">
        <f t="shared" si="178"/>
        <v>0</v>
      </c>
      <c r="H392" s="462"/>
      <c r="I392" s="462">
        <f t="shared" si="178"/>
        <v>0</v>
      </c>
      <c r="J392" s="462">
        <f t="shared" si="178"/>
        <v>0</v>
      </c>
      <c r="K392" s="462" t="e">
        <f t="shared" si="143"/>
        <v>#DIV/0!</v>
      </c>
      <c r="L392" s="462">
        <f t="shared" si="144"/>
        <v>0</v>
      </c>
      <c r="M392" s="462">
        <f t="shared" si="179"/>
        <v>0</v>
      </c>
      <c r="N392" s="178">
        <f t="shared" ref="N392:N455" si="180">M392-J392</f>
        <v>0</v>
      </c>
      <c r="O392" s="179">
        <f t="shared" si="145"/>
        <v>0</v>
      </c>
    </row>
    <row r="393" spans="1:15" hidden="1" outlineLevel="4" x14ac:dyDescent="0.3">
      <c r="A393" s="189" t="s">
        <v>74</v>
      </c>
      <c r="B393" s="392" t="s">
        <v>455</v>
      </c>
      <c r="C393" s="392" t="s">
        <v>82</v>
      </c>
      <c r="D393" s="392" t="s">
        <v>1049</v>
      </c>
      <c r="E393" s="392" t="s">
        <v>75</v>
      </c>
      <c r="F393" s="462" t="s">
        <v>838</v>
      </c>
      <c r="G393" s="462">
        <v>0</v>
      </c>
      <c r="H393" s="462"/>
      <c r="I393" s="462">
        <v>0</v>
      </c>
      <c r="J393" s="449"/>
      <c r="K393" s="462" t="e">
        <f t="shared" ref="K393:K456" si="181">J393/G393*100</f>
        <v>#DIV/0!</v>
      </c>
      <c r="L393" s="462">
        <f t="shared" ref="L393:L456" si="182">J393-G393</f>
        <v>0</v>
      </c>
      <c r="M393" s="449"/>
      <c r="N393" s="178">
        <f t="shared" si="180"/>
        <v>0</v>
      </c>
      <c r="O393" s="179">
        <f t="shared" ref="O393:O456" si="183">M393-G393</f>
        <v>0</v>
      </c>
    </row>
    <row r="394" spans="1:15" ht="84.9" outlineLevel="4" x14ac:dyDescent="0.3">
      <c r="A394" s="202" t="s">
        <v>1050</v>
      </c>
      <c r="B394" s="392" t="s">
        <v>455</v>
      </c>
      <c r="C394" s="392" t="s">
        <v>82</v>
      </c>
      <c r="D394" s="392" t="s">
        <v>1051</v>
      </c>
      <c r="E394" s="392" t="s">
        <v>6</v>
      </c>
      <c r="F394" s="462"/>
      <c r="G394" s="462">
        <f t="shared" ref="G394:J395" si="184">G395</f>
        <v>32776.18</v>
      </c>
      <c r="H394" s="462"/>
      <c r="I394" s="462">
        <f t="shared" si="184"/>
        <v>0</v>
      </c>
      <c r="J394" s="462">
        <f t="shared" si="184"/>
        <v>0</v>
      </c>
      <c r="K394" s="462">
        <f t="shared" si="181"/>
        <v>0</v>
      </c>
      <c r="L394" s="462">
        <f t="shared" si="182"/>
        <v>-32776.18</v>
      </c>
      <c r="M394" s="462">
        <f t="shared" ref="M394:M395" si="185">M395</f>
        <v>0</v>
      </c>
      <c r="N394" s="178">
        <f t="shared" si="180"/>
        <v>0</v>
      </c>
      <c r="O394" s="179">
        <f t="shared" si="183"/>
        <v>-32776.18</v>
      </c>
    </row>
    <row r="395" spans="1:15" ht="50.95" outlineLevel="4" x14ac:dyDescent="0.3">
      <c r="A395" s="189" t="s">
        <v>37</v>
      </c>
      <c r="B395" s="392" t="s">
        <v>455</v>
      </c>
      <c r="C395" s="392" t="s">
        <v>82</v>
      </c>
      <c r="D395" s="392" t="s">
        <v>1051</v>
      </c>
      <c r="E395" s="392" t="s">
        <v>38</v>
      </c>
      <c r="F395" s="462"/>
      <c r="G395" s="462">
        <f t="shared" si="184"/>
        <v>32776.18</v>
      </c>
      <c r="H395" s="462"/>
      <c r="I395" s="462">
        <f t="shared" si="184"/>
        <v>0</v>
      </c>
      <c r="J395" s="462">
        <f t="shared" si="184"/>
        <v>0</v>
      </c>
      <c r="K395" s="462">
        <f t="shared" si="181"/>
        <v>0</v>
      </c>
      <c r="L395" s="462">
        <f t="shared" si="182"/>
        <v>-32776.18</v>
      </c>
      <c r="M395" s="462">
        <f t="shared" si="185"/>
        <v>0</v>
      </c>
      <c r="N395" s="178">
        <f t="shared" si="180"/>
        <v>0</v>
      </c>
      <c r="O395" s="179">
        <f t="shared" si="183"/>
        <v>-32776.18</v>
      </c>
    </row>
    <row r="396" spans="1:15" outlineLevel="4" x14ac:dyDescent="0.3">
      <c r="A396" s="189" t="s">
        <v>74</v>
      </c>
      <c r="B396" s="392" t="s">
        <v>455</v>
      </c>
      <c r="C396" s="392" t="s">
        <v>82</v>
      </c>
      <c r="D396" s="392" t="s">
        <v>1051</v>
      </c>
      <c r="E396" s="392" t="s">
        <v>75</v>
      </c>
      <c r="F396" s="462"/>
      <c r="G396" s="462">
        <v>32776.18</v>
      </c>
      <c r="H396" s="462"/>
      <c r="I396" s="462"/>
      <c r="J396" s="449"/>
      <c r="K396" s="462">
        <f t="shared" si="181"/>
        <v>0</v>
      </c>
      <c r="L396" s="462">
        <f t="shared" si="182"/>
        <v>-32776.18</v>
      </c>
      <c r="M396" s="449"/>
      <c r="N396" s="178">
        <f t="shared" si="180"/>
        <v>0</v>
      </c>
      <c r="O396" s="179">
        <f t="shared" si="183"/>
        <v>-32776.18</v>
      </c>
    </row>
    <row r="397" spans="1:15" outlineLevel="4" x14ac:dyDescent="0.3">
      <c r="A397" s="466" t="s">
        <v>885</v>
      </c>
      <c r="B397" s="397" t="s">
        <v>455</v>
      </c>
      <c r="C397" s="397" t="s">
        <v>82</v>
      </c>
      <c r="D397" s="397" t="s">
        <v>542</v>
      </c>
      <c r="E397" s="397" t="s">
        <v>6</v>
      </c>
      <c r="F397" s="465" t="s">
        <v>838</v>
      </c>
      <c r="G397" s="462">
        <f t="shared" ref="G397:J399" si="186">G398</f>
        <v>24628.83</v>
      </c>
      <c r="H397" s="462"/>
      <c r="I397" s="462">
        <f t="shared" si="186"/>
        <v>0</v>
      </c>
      <c r="J397" s="462">
        <f t="shared" si="186"/>
        <v>0</v>
      </c>
      <c r="K397" s="462">
        <f t="shared" si="181"/>
        <v>0</v>
      </c>
      <c r="L397" s="462">
        <f t="shared" si="182"/>
        <v>-24628.83</v>
      </c>
      <c r="M397" s="462">
        <f t="shared" ref="M397:M399" si="187">M398</f>
        <v>0</v>
      </c>
      <c r="N397" s="178">
        <f t="shared" si="180"/>
        <v>0</v>
      </c>
      <c r="O397" s="179">
        <f t="shared" si="183"/>
        <v>-24628.83</v>
      </c>
    </row>
    <row r="398" spans="1:15" outlineLevel="4" x14ac:dyDescent="0.3">
      <c r="A398" s="192" t="s">
        <v>970</v>
      </c>
      <c r="B398" s="392" t="s">
        <v>455</v>
      </c>
      <c r="C398" s="392" t="s">
        <v>82</v>
      </c>
      <c r="D398" s="392" t="s">
        <v>971</v>
      </c>
      <c r="E398" s="392" t="s">
        <v>6</v>
      </c>
      <c r="F398" s="462" t="s">
        <v>838</v>
      </c>
      <c r="G398" s="462">
        <f t="shared" si="186"/>
        <v>24628.83</v>
      </c>
      <c r="H398" s="462"/>
      <c r="I398" s="462">
        <f t="shared" si="186"/>
        <v>0</v>
      </c>
      <c r="J398" s="462">
        <f t="shared" si="186"/>
        <v>0</v>
      </c>
      <c r="K398" s="462">
        <f t="shared" si="181"/>
        <v>0</v>
      </c>
      <c r="L398" s="462">
        <f t="shared" si="182"/>
        <v>-24628.83</v>
      </c>
      <c r="M398" s="462">
        <f t="shared" si="187"/>
        <v>0</v>
      </c>
      <c r="N398" s="178">
        <f t="shared" si="180"/>
        <v>0</v>
      </c>
      <c r="O398" s="179">
        <f t="shared" si="183"/>
        <v>-24628.83</v>
      </c>
    </row>
    <row r="399" spans="1:15" ht="50.95" outlineLevel="4" x14ac:dyDescent="0.3">
      <c r="A399" s="189" t="s">
        <v>37</v>
      </c>
      <c r="B399" s="392" t="s">
        <v>455</v>
      </c>
      <c r="C399" s="392" t="s">
        <v>82</v>
      </c>
      <c r="D399" s="392" t="s">
        <v>971</v>
      </c>
      <c r="E399" s="392" t="s">
        <v>38</v>
      </c>
      <c r="F399" s="462" t="s">
        <v>838</v>
      </c>
      <c r="G399" s="462">
        <f t="shared" si="186"/>
        <v>24628.83</v>
      </c>
      <c r="H399" s="462"/>
      <c r="I399" s="462">
        <f t="shared" si="186"/>
        <v>0</v>
      </c>
      <c r="J399" s="462">
        <f t="shared" si="186"/>
        <v>0</v>
      </c>
      <c r="K399" s="462">
        <f t="shared" si="181"/>
        <v>0</v>
      </c>
      <c r="L399" s="462">
        <f t="shared" si="182"/>
        <v>-24628.83</v>
      </c>
      <c r="M399" s="462">
        <f t="shared" si="187"/>
        <v>0</v>
      </c>
      <c r="N399" s="178">
        <f t="shared" si="180"/>
        <v>0</v>
      </c>
      <c r="O399" s="179">
        <f t="shared" si="183"/>
        <v>-24628.83</v>
      </c>
    </row>
    <row r="400" spans="1:15" outlineLevel="4" x14ac:dyDescent="0.3">
      <c r="A400" s="189" t="s">
        <v>74</v>
      </c>
      <c r="B400" s="392" t="s">
        <v>455</v>
      </c>
      <c r="C400" s="392" t="s">
        <v>82</v>
      </c>
      <c r="D400" s="392" t="s">
        <v>971</v>
      </c>
      <c r="E400" s="392" t="s">
        <v>75</v>
      </c>
      <c r="F400" s="462" t="s">
        <v>838</v>
      </c>
      <c r="G400" s="462">
        <v>24628.83</v>
      </c>
      <c r="H400" s="462"/>
      <c r="I400" s="462"/>
      <c r="J400" s="449"/>
      <c r="K400" s="462">
        <f t="shared" si="181"/>
        <v>0</v>
      </c>
      <c r="L400" s="462">
        <f t="shared" si="182"/>
        <v>-24628.83</v>
      </c>
      <c r="M400" s="449"/>
      <c r="N400" s="178">
        <f t="shared" si="180"/>
        <v>0</v>
      </c>
      <c r="O400" s="179">
        <f t="shared" si="183"/>
        <v>-24628.83</v>
      </c>
    </row>
    <row r="401" spans="1:15" outlineLevel="7" x14ac:dyDescent="0.3">
      <c r="A401" s="233" t="s">
        <v>85</v>
      </c>
      <c r="B401" s="397" t="s">
        <v>455</v>
      </c>
      <c r="C401" s="397" t="s">
        <v>86</v>
      </c>
      <c r="D401" s="397" t="s">
        <v>126</v>
      </c>
      <c r="E401" s="397" t="s">
        <v>6</v>
      </c>
      <c r="F401" s="473">
        <f>F402+F407+F417</f>
        <v>5715146.5099999998</v>
      </c>
      <c r="G401" s="465">
        <f>G402+G407+G425+G440</f>
        <v>8630645.6699999999</v>
      </c>
      <c r="H401" s="465"/>
      <c r="I401" s="465">
        <f>I402+I407+I425+I440</f>
        <v>6070645.6699999999</v>
      </c>
      <c r="J401" s="465">
        <f>J402+J407+J425+J440</f>
        <v>6694834.0199999996</v>
      </c>
      <c r="K401" s="462">
        <f t="shared" si="181"/>
        <v>77.570488651517081</v>
      </c>
      <c r="L401" s="462">
        <f t="shared" si="182"/>
        <v>-1935811.6500000004</v>
      </c>
      <c r="M401" s="465">
        <f>M402+M407+M425+M440</f>
        <v>6694834.0199999996</v>
      </c>
      <c r="N401" s="178">
        <f t="shared" si="180"/>
        <v>0</v>
      </c>
      <c r="O401" s="179">
        <f t="shared" si="183"/>
        <v>-1935811.6500000004</v>
      </c>
    </row>
    <row r="402" spans="1:15" outlineLevel="7" x14ac:dyDescent="0.3">
      <c r="A402" s="189" t="s">
        <v>87</v>
      </c>
      <c r="B402" s="392" t="s">
        <v>455</v>
      </c>
      <c r="C402" s="392" t="s">
        <v>88</v>
      </c>
      <c r="D402" s="392" t="s">
        <v>126</v>
      </c>
      <c r="E402" s="392" t="s">
        <v>6</v>
      </c>
      <c r="F402" s="471">
        <f t="shared" ref="F402:J405" si="188">F403</f>
        <v>5368146.51</v>
      </c>
      <c r="G402" s="462">
        <f t="shared" si="188"/>
        <v>5533145.6699999999</v>
      </c>
      <c r="H402" s="462"/>
      <c r="I402" s="462">
        <f t="shared" si="188"/>
        <v>5533145.6699999999</v>
      </c>
      <c r="J402" s="462">
        <f t="shared" si="188"/>
        <v>6157334.0199999996</v>
      </c>
      <c r="K402" s="462">
        <f t="shared" si="181"/>
        <v>111.2808949416291</v>
      </c>
      <c r="L402" s="462">
        <f t="shared" si="182"/>
        <v>624188.34999999963</v>
      </c>
      <c r="M402" s="462">
        <f t="shared" ref="M402:M405" si="189">M403</f>
        <v>6157334.0199999996</v>
      </c>
      <c r="N402" s="178">
        <f t="shared" si="180"/>
        <v>0</v>
      </c>
      <c r="O402" s="179">
        <f t="shared" si="183"/>
        <v>624188.34999999963</v>
      </c>
    </row>
    <row r="403" spans="1:15" ht="34" outlineLevel="7" x14ac:dyDescent="0.3">
      <c r="A403" s="233" t="s">
        <v>132</v>
      </c>
      <c r="B403" s="397" t="s">
        <v>455</v>
      </c>
      <c r="C403" s="397" t="s">
        <v>88</v>
      </c>
      <c r="D403" s="397" t="s">
        <v>127</v>
      </c>
      <c r="E403" s="397" t="s">
        <v>6</v>
      </c>
      <c r="F403" s="473">
        <f t="shared" si="188"/>
        <v>5368146.51</v>
      </c>
      <c r="G403" s="465">
        <f t="shared" si="188"/>
        <v>5533145.6699999999</v>
      </c>
      <c r="H403" s="465"/>
      <c r="I403" s="465">
        <f t="shared" si="188"/>
        <v>5533145.6699999999</v>
      </c>
      <c r="J403" s="465">
        <f t="shared" si="188"/>
        <v>6157334.0199999996</v>
      </c>
      <c r="K403" s="462">
        <f t="shared" si="181"/>
        <v>111.2808949416291</v>
      </c>
      <c r="L403" s="462">
        <f t="shared" si="182"/>
        <v>624188.34999999963</v>
      </c>
      <c r="M403" s="465">
        <f t="shared" si="189"/>
        <v>6157334.0199999996</v>
      </c>
      <c r="N403" s="178">
        <f t="shared" si="180"/>
        <v>0</v>
      </c>
      <c r="O403" s="179">
        <f t="shared" si="183"/>
        <v>624188.34999999963</v>
      </c>
    </row>
    <row r="404" spans="1:15" s="224" customFormat="1" ht="26.5" customHeight="1" outlineLevel="7" x14ac:dyDescent="0.3">
      <c r="A404" s="189" t="s">
        <v>89</v>
      </c>
      <c r="B404" s="392" t="s">
        <v>455</v>
      </c>
      <c r="C404" s="392" t="s">
        <v>88</v>
      </c>
      <c r="D404" s="392" t="s">
        <v>142</v>
      </c>
      <c r="E404" s="392" t="s">
        <v>6</v>
      </c>
      <c r="F404" s="471">
        <f t="shared" si="188"/>
        <v>5368146.51</v>
      </c>
      <c r="G404" s="462">
        <f t="shared" si="188"/>
        <v>5533145.6699999999</v>
      </c>
      <c r="H404" s="462"/>
      <c r="I404" s="462">
        <f t="shared" si="188"/>
        <v>5533145.6699999999</v>
      </c>
      <c r="J404" s="462">
        <f t="shared" si="188"/>
        <v>6157334.0199999996</v>
      </c>
      <c r="K404" s="462">
        <f t="shared" si="181"/>
        <v>111.2808949416291</v>
      </c>
      <c r="L404" s="462">
        <f t="shared" si="182"/>
        <v>624188.34999999963</v>
      </c>
      <c r="M404" s="462">
        <f t="shared" si="189"/>
        <v>6157334.0199999996</v>
      </c>
      <c r="N404" s="178">
        <f t="shared" si="180"/>
        <v>0</v>
      </c>
      <c r="O404" s="179">
        <f t="shared" si="183"/>
        <v>624188.34999999963</v>
      </c>
    </row>
    <row r="405" spans="1:15" ht="25.5" customHeight="1" outlineLevel="7" x14ac:dyDescent="0.3">
      <c r="A405" s="189" t="s">
        <v>90</v>
      </c>
      <c r="B405" s="392" t="s">
        <v>455</v>
      </c>
      <c r="C405" s="392" t="s">
        <v>88</v>
      </c>
      <c r="D405" s="392" t="s">
        <v>142</v>
      </c>
      <c r="E405" s="392" t="s">
        <v>91</v>
      </c>
      <c r="F405" s="471">
        <f t="shared" si="188"/>
        <v>5368146.51</v>
      </c>
      <c r="G405" s="462">
        <f t="shared" si="188"/>
        <v>5533145.6699999999</v>
      </c>
      <c r="H405" s="462"/>
      <c r="I405" s="462">
        <f t="shared" si="188"/>
        <v>5533145.6699999999</v>
      </c>
      <c r="J405" s="462">
        <f t="shared" si="188"/>
        <v>6157334.0199999996</v>
      </c>
      <c r="K405" s="462">
        <f t="shared" si="181"/>
        <v>111.2808949416291</v>
      </c>
      <c r="L405" s="462">
        <f t="shared" si="182"/>
        <v>624188.34999999963</v>
      </c>
      <c r="M405" s="462">
        <f t="shared" si="189"/>
        <v>6157334.0199999996</v>
      </c>
      <c r="N405" s="178">
        <f t="shared" si="180"/>
        <v>0</v>
      </c>
      <c r="O405" s="179">
        <f t="shared" si="183"/>
        <v>624188.34999999963</v>
      </c>
    </row>
    <row r="406" spans="1:15" ht="34" outlineLevel="7" x14ac:dyDescent="0.3">
      <c r="A406" s="189" t="s">
        <v>92</v>
      </c>
      <c r="B406" s="392" t="s">
        <v>455</v>
      </c>
      <c r="C406" s="392" t="s">
        <v>88</v>
      </c>
      <c r="D406" s="392" t="s">
        <v>142</v>
      </c>
      <c r="E406" s="392" t="s">
        <v>93</v>
      </c>
      <c r="F406" s="475">
        <v>5368146.51</v>
      </c>
      <c r="G406" s="449">
        <f>'потребность 2023 (5)'!K426</f>
        <v>5533145.6699999999</v>
      </c>
      <c r="H406" s="449"/>
      <c r="I406" s="449">
        <v>5533145.6699999999</v>
      </c>
      <c r="J406" s="449">
        <v>6157334.0199999996</v>
      </c>
      <c r="K406" s="462">
        <f t="shared" si="181"/>
        <v>111.2808949416291</v>
      </c>
      <c r="L406" s="462">
        <f t="shared" si="182"/>
        <v>624188.34999999963</v>
      </c>
      <c r="M406" s="449">
        <v>6157334.0199999996</v>
      </c>
      <c r="N406" s="178">
        <f t="shared" si="180"/>
        <v>0</v>
      </c>
      <c r="O406" s="179">
        <f t="shared" si="183"/>
        <v>624188.34999999963</v>
      </c>
    </row>
    <row r="407" spans="1:15" outlineLevel="7" x14ac:dyDescent="0.3">
      <c r="A407" s="189" t="s">
        <v>94</v>
      </c>
      <c r="B407" s="392" t="s">
        <v>455</v>
      </c>
      <c r="C407" s="392" t="s">
        <v>95</v>
      </c>
      <c r="D407" s="392" t="s">
        <v>126</v>
      </c>
      <c r="E407" s="392" t="s">
        <v>6</v>
      </c>
      <c r="F407" s="471">
        <f>F408</f>
        <v>173500</v>
      </c>
      <c r="G407" s="462">
        <f>G408+G418+G413</f>
        <v>2973500</v>
      </c>
      <c r="H407" s="462"/>
      <c r="I407" s="462">
        <f>I408+I418+I413</f>
        <v>423500</v>
      </c>
      <c r="J407" s="462">
        <f>J408+J418+J413</f>
        <v>423500</v>
      </c>
      <c r="K407" s="462">
        <f t="shared" si="181"/>
        <v>14.24247519757861</v>
      </c>
      <c r="L407" s="462">
        <f t="shared" si="182"/>
        <v>-2550000</v>
      </c>
      <c r="M407" s="462">
        <f>M408+M418+M413</f>
        <v>423500</v>
      </c>
      <c r="N407" s="178">
        <f t="shared" si="180"/>
        <v>0</v>
      </c>
      <c r="O407" s="179">
        <f t="shared" si="183"/>
        <v>-2550000</v>
      </c>
    </row>
    <row r="408" spans="1:15" ht="50.95" outlineLevel="7" x14ac:dyDescent="0.3">
      <c r="A408" s="233" t="s">
        <v>1016</v>
      </c>
      <c r="B408" s="392" t="s">
        <v>455</v>
      </c>
      <c r="C408" s="397" t="s">
        <v>95</v>
      </c>
      <c r="D408" s="397" t="s">
        <v>129</v>
      </c>
      <c r="E408" s="397" t="s">
        <v>6</v>
      </c>
      <c r="F408" s="477">
        <f>F413</f>
        <v>173500</v>
      </c>
      <c r="G408" s="465">
        <f t="shared" ref="G408:J411" si="190">G409</f>
        <v>150000</v>
      </c>
      <c r="H408" s="465"/>
      <c r="I408" s="465">
        <f t="shared" si="190"/>
        <v>150000</v>
      </c>
      <c r="J408" s="465">
        <f t="shared" si="190"/>
        <v>150000</v>
      </c>
      <c r="K408" s="462">
        <f t="shared" si="181"/>
        <v>100</v>
      </c>
      <c r="L408" s="462">
        <f t="shared" si="182"/>
        <v>0</v>
      </c>
      <c r="M408" s="465">
        <f t="shared" ref="M408:M411" si="191">M409</f>
        <v>150000</v>
      </c>
      <c r="N408" s="178">
        <f t="shared" si="180"/>
        <v>0</v>
      </c>
      <c r="O408" s="179">
        <f t="shared" si="183"/>
        <v>0</v>
      </c>
    </row>
    <row r="409" spans="1:15" ht="34" outlineLevel="7" x14ac:dyDescent="0.3">
      <c r="A409" s="189" t="s">
        <v>355</v>
      </c>
      <c r="B409" s="392" t="s">
        <v>455</v>
      </c>
      <c r="C409" s="392" t="s">
        <v>95</v>
      </c>
      <c r="D409" s="392" t="s">
        <v>404</v>
      </c>
      <c r="E409" s="392" t="s">
        <v>6</v>
      </c>
      <c r="F409" s="449">
        <v>0</v>
      </c>
      <c r="G409" s="462">
        <f t="shared" si="190"/>
        <v>150000</v>
      </c>
      <c r="H409" s="462"/>
      <c r="I409" s="462">
        <f t="shared" si="190"/>
        <v>150000</v>
      </c>
      <c r="J409" s="462">
        <f t="shared" si="190"/>
        <v>150000</v>
      </c>
      <c r="K409" s="462">
        <f t="shared" si="181"/>
        <v>100</v>
      </c>
      <c r="L409" s="462">
        <f t="shared" si="182"/>
        <v>0</v>
      </c>
      <c r="M409" s="462">
        <f t="shared" si="191"/>
        <v>150000</v>
      </c>
      <c r="N409" s="178">
        <f t="shared" si="180"/>
        <v>0</v>
      </c>
      <c r="O409" s="179">
        <f t="shared" si="183"/>
        <v>0</v>
      </c>
    </row>
    <row r="410" spans="1:15" ht="34" outlineLevel="7" x14ac:dyDescent="0.3">
      <c r="A410" s="189" t="s">
        <v>99</v>
      </c>
      <c r="B410" s="392" t="s">
        <v>455</v>
      </c>
      <c r="C410" s="392" t="s">
        <v>95</v>
      </c>
      <c r="D410" s="392" t="s">
        <v>388</v>
      </c>
      <c r="E410" s="392" t="s">
        <v>6</v>
      </c>
      <c r="F410" s="449">
        <v>0</v>
      </c>
      <c r="G410" s="462">
        <f t="shared" si="190"/>
        <v>150000</v>
      </c>
      <c r="H410" s="462"/>
      <c r="I410" s="462">
        <f t="shared" si="190"/>
        <v>150000</v>
      </c>
      <c r="J410" s="462">
        <f t="shared" si="190"/>
        <v>150000</v>
      </c>
      <c r="K410" s="462">
        <f t="shared" si="181"/>
        <v>100</v>
      </c>
      <c r="L410" s="462">
        <f t="shared" si="182"/>
        <v>0</v>
      </c>
      <c r="M410" s="462">
        <f t="shared" si="191"/>
        <v>150000</v>
      </c>
      <c r="N410" s="178">
        <f t="shared" si="180"/>
        <v>0</v>
      </c>
      <c r="O410" s="179">
        <f t="shared" si="183"/>
        <v>0</v>
      </c>
    </row>
    <row r="411" spans="1:15" ht="34" outlineLevel="7" x14ac:dyDescent="0.3">
      <c r="A411" s="189" t="s">
        <v>90</v>
      </c>
      <c r="B411" s="392" t="s">
        <v>455</v>
      </c>
      <c r="C411" s="392" t="s">
        <v>95</v>
      </c>
      <c r="D411" s="392" t="s">
        <v>388</v>
      </c>
      <c r="E411" s="392" t="s">
        <v>91</v>
      </c>
      <c r="F411" s="449">
        <v>0</v>
      </c>
      <c r="G411" s="462">
        <f t="shared" si="190"/>
        <v>150000</v>
      </c>
      <c r="H411" s="462"/>
      <c r="I411" s="462">
        <f t="shared" si="190"/>
        <v>150000</v>
      </c>
      <c r="J411" s="462">
        <f t="shared" si="190"/>
        <v>150000</v>
      </c>
      <c r="K411" s="462">
        <f t="shared" si="181"/>
        <v>100</v>
      </c>
      <c r="L411" s="462">
        <f t="shared" si="182"/>
        <v>0</v>
      </c>
      <c r="M411" s="462">
        <f t="shared" si="191"/>
        <v>150000</v>
      </c>
      <c r="N411" s="178">
        <f t="shared" si="180"/>
        <v>0</v>
      </c>
      <c r="O411" s="179">
        <f t="shared" si="183"/>
        <v>0</v>
      </c>
    </row>
    <row r="412" spans="1:15" ht="34" outlineLevel="7" x14ac:dyDescent="0.3">
      <c r="A412" s="189" t="s">
        <v>97</v>
      </c>
      <c r="B412" s="392" t="s">
        <v>455</v>
      </c>
      <c r="C412" s="392" t="s">
        <v>95</v>
      </c>
      <c r="D412" s="392" t="s">
        <v>388</v>
      </c>
      <c r="E412" s="392" t="s">
        <v>98</v>
      </c>
      <c r="F412" s="449">
        <v>0</v>
      </c>
      <c r="G412" s="449">
        <f>'потребность 2023 (5)'!K432</f>
        <v>150000</v>
      </c>
      <c r="H412" s="449"/>
      <c r="I412" s="449">
        <v>150000</v>
      </c>
      <c r="J412" s="449">
        <v>150000</v>
      </c>
      <c r="K412" s="462">
        <f t="shared" si="181"/>
        <v>100</v>
      </c>
      <c r="L412" s="462">
        <f t="shared" si="182"/>
        <v>0</v>
      </c>
      <c r="M412" s="449">
        <v>150000</v>
      </c>
      <c r="N412" s="178">
        <f t="shared" si="180"/>
        <v>0</v>
      </c>
      <c r="O412" s="179">
        <f t="shared" si="183"/>
        <v>0</v>
      </c>
    </row>
    <row r="413" spans="1:15" ht="50.95" outlineLevel="1" x14ac:dyDescent="0.3">
      <c r="A413" s="233" t="s">
        <v>1036</v>
      </c>
      <c r="B413" s="392" t="s">
        <v>455</v>
      </c>
      <c r="C413" s="397" t="s">
        <v>95</v>
      </c>
      <c r="D413" s="397" t="s">
        <v>356</v>
      </c>
      <c r="E413" s="397" t="s">
        <v>6</v>
      </c>
      <c r="F413" s="476">
        <f>F414</f>
        <v>173500</v>
      </c>
      <c r="G413" s="467">
        <f t="shared" ref="G413:J416" si="192">G414</f>
        <v>173500</v>
      </c>
      <c r="H413" s="467"/>
      <c r="I413" s="467">
        <f t="shared" si="192"/>
        <v>173500</v>
      </c>
      <c r="J413" s="467">
        <f t="shared" si="192"/>
        <v>173500</v>
      </c>
      <c r="K413" s="462">
        <f t="shared" si="181"/>
        <v>100</v>
      </c>
      <c r="L413" s="462">
        <f t="shared" si="182"/>
        <v>0</v>
      </c>
      <c r="M413" s="467">
        <f t="shared" ref="M413:M416" si="193">M414</f>
        <v>173500</v>
      </c>
      <c r="N413" s="178">
        <f t="shared" si="180"/>
        <v>0</v>
      </c>
      <c r="O413" s="179">
        <f t="shared" si="183"/>
        <v>0</v>
      </c>
    </row>
    <row r="414" spans="1:15" ht="44.5" customHeight="1" outlineLevel="1" x14ac:dyDescent="0.3">
      <c r="A414" s="189" t="s">
        <v>373</v>
      </c>
      <c r="B414" s="392" t="s">
        <v>455</v>
      </c>
      <c r="C414" s="392" t="s">
        <v>95</v>
      </c>
      <c r="D414" s="392" t="s">
        <v>357</v>
      </c>
      <c r="E414" s="392" t="s">
        <v>6</v>
      </c>
      <c r="F414" s="471">
        <f>F415</f>
        <v>173500</v>
      </c>
      <c r="G414" s="449">
        <f t="shared" si="192"/>
        <v>173500</v>
      </c>
      <c r="H414" s="449"/>
      <c r="I414" s="449">
        <f t="shared" si="192"/>
        <v>173500</v>
      </c>
      <c r="J414" s="449">
        <f t="shared" si="192"/>
        <v>173500</v>
      </c>
      <c r="K414" s="462">
        <f t="shared" si="181"/>
        <v>100</v>
      </c>
      <c r="L414" s="462">
        <f t="shared" si="182"/>
        <v>0</v>
      </c>
      <c r="M414" s="449">
        <f t="shared" si="193"/>
        <v>173500</v>
      </c>
      <c r="N414" s="178">
        <f t="shared" si="180"/>
        <v>0</v>
      </c>
      <c r="O414" s="179">
        <f t="shared" si="183"/>
        <v>0</v>
      </c>
    </row>
    <row r="415" spans="1:15" ht="35.5" customHeight="1" outlineLevel="1" x14ac:dyDescent="0.3">
      <c r="A415" s="189" t="s">
        <v>847</v>
      </c>
      <c r="B415" s="392" t="s">
        <v>455</v>
      </c>
      <c r="C415" s="392" t="s">
        <v>95</v>
      </c>
      <c r="D415" s="392" t="s">
        <v>358</v>
      </c>
      <c r="E415" s="392" t="s">
        <v>6</v>
      </c>
      <c r="F415" s="476">
        <f>F416</f>
        <v>173500</v>
      </c>
      <c r="G415" s="462">
        <f t="shared" si="192"/>
        <v>173500</v>
      </c>
      <c r="H415" s="462"/>
      <c r="I415" s="462">
        <f t="shared" si="192"/>
        <v>173500</v>
      </c>
      <c r="J415" s="462">
        <f t="shared" si="192"/>
        <v>173500</v>
      </c>
      <c r="K415" s="462">
        <f t="shared" si="181"/>
        <v>100</v>
      </c>
      <c r="L415" s="462">
        <f t="shared" si="182"/>
        <v>0</v>
      </c>
      <c r="M415" s="462">
        <f t="shared" si="193"/>
        <v>173500</v>
      </c>
      <c r="N415" s="178">
        <f t="shared" si="180"/>
        <v>0</v>
      </c>
      <c r="O415" s="179">
        <f t="shared" si="183"/>
        <v>0</v>
      </c>
    </row>
    <row r="416" spans="1:15" ht="34" outlineLevel="1" x14ac:dyDescent="0.3">
      <c r="A416" s="189" t="s">
        <v>90</v>
      </c>
      <c r="B416" s="392" t="s">
        <v>455</v>
      </c>
      <c r="C416" s="392" t="s">
        <v>95</v>
      </c>
      <c r="D416" s="392" t="s">
        <v>358</v>
      </c>
      <c r="E416" s="392" t="s">
        <v>91</v>
      </c>
      <c r="F416" s="475">
        <f>F417</f>
        <v>173500</v>
      </c>
      <c r="G416" s="449">
        <f t="shared" si="192"/>
        <v>173500</v>
      </c>
      <c r="H416" s="449"/>
      <c r="I416" s="449">
        <f t="shared" si="192"/>
        <v>173500</v>
      </c>
      <c r="J416" s="449">
        <f t="shared" si="192"/>
        <v>173500</v>
      </c>
      <c r="K416" s="462">
        <f t="shared" si="181"/>
        <v>100</v>
      </c>
      <c r="L416" s="462">
        <f t="shared" si="182"/>
        <v>0</v>
      </c>
      <c r="M416" s="449">
        <f t="shared" si="193"/>
        <v>173500</v>
      </c>
      <c r="N416" s="178">
        <f t="shared" si="180"/>
        <v>0</v>
      </c>
      <c r="O416" s="179">
        <f t="shared" si="183"/>
        <v>0</v>
      </c>
    </row>
    <row r="417" spans="1:15" ht="34" outlineLevel="1" x14ac:dyDescent="0.3">
      <c r="A417" s="189" t="s">
        <v>97</v>
      </c>
      <c r="B417" s="392" t="s">
        <v>455</v>
      </c>
      <c r="C417" s="392" t="s">
        <v>95</v>
      </c>
      <c r="D417" s="392" t="s">
        <v>358</v>
      </c>
      <c r="E417" s="392" t="s">
        <v>98</v>
      </c>
      <c r="F417" s="475">
        <v>173500</v>
      </c>
      <c r="G417" s="462">
        <v>173500</v>
      </c>
      <c r="H417" s="462"/>
      <c r="I417" s="462">
        <v>173500</v>
      </c>
      <c r="J417" s="449">
        <v>173500</v>
      </c>
      <c r="K417" s="462">
        <f t="shared" si="181"/>
        <v>100</v>
      </c>
      <c r="L417" s="462">
        <f t="shared" si="182"/>
        <v>0</v>
      </c>
      <c r="M417" s="449">
        <v>173500</v>
      </c>
      <c r="N417" s="178">
        <f t="shared" si="180"/>
        <v>0</v>
      </c>
      <c r="O417" s="179">
        <f t="shared" si="183"/>
        <v>0</v>
      </c>
    </row>
    <row r="418" spans="1:15" ht="34" outlineLevel="1" x14ac:dyDescent="0.3">
      <c r="A418" s="233" t="s">
        <v>132</v>
      </c>
      <c r="B418" s="397" t="s">
        <v>455</v>
      </c>
      <c r="C418" s="397" t="s">
        <v>95</v>
      </c>
      <c r="D418" s="397" t="s">
        <v>127</v>
      </c>
      <c r="E418" s="397" t="s">
        <v>6</v>
      </c>
      <c r="F418" s="477">
        <f t="shared" ref="F418:J420" si="194">F419</f>
        <v>100000</v>
      </c>
      <c r="G418" s="467">
        <f>G419+G422</f>
        <v>2650000</v>
      </c>
      <c r="H418" s="467"/>
      <c r="I418" s="467">
        <f>I419+I422</f>
        <v>100000</v>
      </c>
      <c r="J418" s="467">
        <f>J419+J422</f>
        <v>100000</v>
      </c>
      <c r="K418" s="462">
        <f t="shared" si="181"/>
        <v>3.7735849056603774</v>
      </c>
      <c r="L418" s="462">
        <f t="shared" si="182"/>
        <v>-2550000</v>
      </c>
      <c r="M418" s="467">
        <f>M419+M422</f>
        <v>100000</v>
      </c>
      <c r="N418" s="178">
        <f t="shared" si="180"/>
        <v>0</v>
      </c>
      <c r="O418" s="179">
        <f t="shared" si="183"/>
        <v>-2550000</v>
      </c>
    </row>
    <row r="419" spans="1:15" ht="34" outlineLevel="1" x14ac:dyDescent="0.3">
      <c r="A419" s="189" t="s">
        <v>883</v>
      </c>
      <c r="B419" s="392" t="s">
        <v>455</v>
      </c>
      <c r="C419" s="392" t="s">
        <v>95</v>
      </c>
      <c r="D419" s="392" t="s">
        <v>493</v>
      </c>
      <c r="E419" s="392" t="s">
        <v>6</v>
      </c>
      <c r="F419" s="476">
        <f t="shared" si="194"/>
        <v>100000</v>
      </c>
      <c r="G419" s="449">
        <f t="shared" si="194"/>
        <v>350000</v>
      </c>
      <c r="H419" s="449"/>
      <c r="I419" s="449">
        <f t="shared" si="194"/>
        <v>100000</v>
      </c>
      <c r="J419" s="449">
        <f t="shared" si="194"/>
        <v>100000</v>
      </c>
      <c r="K419" s="462">
        <f t="shared" si="181"/>
        <v>28.571428571428569</v>
      </c>
      <c r="L419" s="462">
        <f t="shared" si="182"/>
        <v>-250000</v>
      </c>
      <c r="M419" s="449">
        <f t="shared" ref="M419:M420" si="195">M420</f>
        <v>100000</v>
      </c>
      <c r="N419" s="178">
        <f t="shared" si="180"/>
        <v>0</v>
      </c>
      <c r="O419" s="179">
        <f t="shared" si="183"/>
        <v>-250000</v>
      </c>
    </row>
    <row r="420" spans="1:15" ht="34" outlineLevel="1" x14ac:dyDescent="0.3">
      <c r="A420" s="189" t="s">
        <v>90</v>
      </c>
      <c r="B420" s="392" t="s">
        <v>455</v>
      </c>
      <c r="C420" s="392" t="s">
        <v>95</v>
      </c>
      <c r="D420" s="392" t="s">
        <v>493</v>
      </c>
      <c r="E420" s="392" t="s">
        <v>91</v>
      </c>
      <c r="F420" s="476">
        <f t="shared" si="194"/>
        <v>100000</v>
      </c>
      <c r="G420" s="449">
        <f t="shared" si="194"/>
        <v>350000</v>
      </c>
      <c r="H420" s="449"/>
      <c r="I420" s="449">
        <f t="shared" si="194"/>
        <v>100000</v>
      </c>
      <c r="J420" s="449">
        <f t="shared" si="194"/>
        <v>100000</v>
      </c>
      <c r="K420" s="462">
        <f t="shared" si="181"/>
        <v>28.571428571428569</v>
      </c>
      <c r="L420" s="462">
        <f t="shared" si="182"/>
        <v>-250000</v>
      </c>
      <c r="M420" s="449">
        <f t="shared" si="195"/>
        <v>100000</v>
      </c>
      <c r="N420" s="178">
        <f t="shared" si="180"/>
        <v>0</v>
      </c>
      <c r="O420" s="179">
        <f t="shared" si="183"/>
        <v>-250000</v>
      </c>
    </row>
    <row r="421" spans="1:15" ht="20.25" customHeight="1" outlineLevel="1" x14ac:dyDescent="0.3">
      <c r="A421" s="189" t="s">
        <v>298</v>
      </c>
      <c r="B421" s="392" t="s">
        <v>455</v>
      </c>
      <c r="C421" s="392" t="s">
        <v>95</v>
      </c>
      <c r="D421" s="392" t="s">
        <v>493</v>
      </c>
      <c r="E421" s="392" t="s">
        <v>299</v>
      </c>
      <c r="F421" s="475">
        <v>100000</v>
      </c>
      <c r="G421" s="462">
        <f>'потребность 2023 (5)'!K441+150000+100000</f>
        <v>350000</v>
      </c>
      <c r="H421" s="462"/>
      <c r="I421" s="462">
        <v>100000</v>
      </c>
      <c r="J421" s="449">
        <v>100000</v>
      </c>
      <c r="K421" s="462">
        <f t="shared" si="181"/>
        <v>28.571428571428569</v>
      </c>
      <c r="L421" s="462">
        <f t="shared" si="182"/>
        <v>-250000</v>
      </c>
      <c r="M421" s="449">
        <v>100000</v>
      </c>
      <c r="N421" s="178">
        <f t="shared" si="180"/>
        <v>0</v>
      </c>
      <c r="O421" s="179">
        <f t="shared" si="183"/>
        <v>-250000</v>
      </c>
    </row>
    <row r="422" spans="1:15" ht="109.4" customHeight="1" outlineLevel="1" x14ac:dyDescent="0.3">
      <c r="A422" s="480" t="s">
        <v>808</v>
      </c>
      <c r="B422" s="392" t="s">
        <v>455</v>
      </c>
      <c r="C422" s="392" t="s">
        <v>95</v>
      </c>
      <c r="D422" s="392" t="s">
        <v>809</v>
      </c>
      <c r="E422" s="392" t="s">
        <v>6</v>
      </c>
      <c r="F422" s="498">
        <f>F423</f>
        <v>1620502.4</v>
      </c>
      <c r="G422" s="462">
        <f t="shared" ref="G422:J423" si="196">G423</f>
        <v>2300000</v>
      </c>
      <c r="H422" s="462"/>
      <c r="I422" s="462">
        <f t="shared" si="196"/>
        <v>0</v>
      </c>
      <c r="J422" s="462">
        <f t="shared" si="196"/>
        <v>0</v>
      </c>
      <c r="K422" s="462">
        <f t="shared" si="181"/>
        <v>0</v>
      </c>
      <c r="L422" s="462">
        <f t="shared" si="182"/>
        <v>-2300000</v>
      </c>
      <c r="M422" s="462">
        <f t="shared" ref="M422:M423" si="197">M423</f>
        <v>0</v>
      </c>
      <c r="N422" s="178">
        <f t="shared" si="180"/>
        <v>0</v>
      </c>
      <c r="O422" s="179">
        <f t="shared" si="183"/>
        <v>-2300000</v>
      </c>
    </row>
    <row r="423" spans="1:15" ht="20.25" customHeight="1" outlineLevel="1" x14ac:dyDescent="0.3">
      <c r="A423" s="189" t="s">
        <v>90</v>
      </c>
      <c r="B423" s="392" t="s">
        <v>455</v>
      </c>
      <c r="C423" s="392" t="s">
        <v>95</v>
      </c>
      <c r="D423" s="392" t="s">
        <v>809</v>
      </c>
      <c r="E423" s="392" t="s">
        <v>91</v>
      </c>
      <c r="F423" s="498">
        <f>F424</f>
        <v>1620502.4</v>
      </c>
      <c r="G423" s="462">
        <f t="shared" si="196"/>
        <v>2300000</v>
      </c>
      <c r="H423" s="462"/>
      <c r="I423" s="462">
        <f t="shared" si="196"/>
        <v>0</v>
      </c>
      <c r="J423" s="462">
        <f t="shared" si="196"/>
        <v>0</v>
      </c>
      <c r="K423" s="462">
        <f t="shared" si="181"/>
        <v>0</v>
      </c>
      <c r="L423" s="462">
        <f t="shared" si="182"/>
        <v>-2300000</v>
      </c>
      <c r="M423" s="462">
        <f t="shared" si="197"/>
        <v>0</v>
      </c>
      <c r="N423" s="178">
        <f t="shared" si="180"/>
        <v>0</v>
      </c>
      <c r="O423" s="179">
        <f t="shared" si="183"/>
        <v>-2300000</v>
      </c>
    </row>
    <row r="424" spans="1:15" ht="76.099999999999994" customHeight="1" outlineLevel="1" x14ac:dyDescent="0.3">
      <c r="A424" s="189" t="s">
        <v>298</v>
      </c>
      <c r="B424" s="392" t="s">
        <v>455</v>
      </c>
      <c r="C424" s="392" t="s">
        <v>95</v>
      </c>
      <c r="D424" s="392" t="s">
        <v>809</v>
      </c>
      <c r="E424" s="392" t="s">
        <v>299</v>
      </c>
      <c r="F424" s="499">
        <v>1620502.4</v>
      </c>
      <c r="G424" s="462">
        <f>1600000+150000+550000</f>
        <v>2300000</v>
      </c>
      <c r="H424" s="462"/>
      <c r="I424" s="462">
        <v>0</v>
      </c>
      <c r="J424" s="449"/>
      <c r="K424" s="462">
        <f t="shared" si="181"/>
        <v>0</v>
      </c>
      <c r="L424" s="462">
        <f t="shared" si="182"/>
        <v>-2300000</v>
      </c>
      <c r="M424" s="449"/>
      <c r="N424" s="178">
        <f t="shared" si="180"/>
        <v>0</v>
      </c>
      <c r="O424" s="179">
        <f t="shared" si="183"/>
        <v>-2300000</v>
      </c>
    </row>
    <row r="425" spans="1:15" ht="23.8" hidden="1" customHeight="1" outlineLevel="1" x14ac:dyDescent="0.3">
      <c r="A425" s="189" t="s">
        <v>123</v>
      </c>
      <c r="B425" s="392" t="s">
        <v>455</v>
      </c>
      <c r="C425" s="392" t="s">
        <v>124</v>
      </c>
      <c r="D425" s="392" t="s">
        <v>126</v>
      </c>
      <c r="E425" s="392" t="s">
        <v>6</v>
      </c>
      <c r="F425" s="476">
        <f>F426</f>
        <v>0</v>
      </c>
      <c r="G425" s="449">
        <f t="shared" ref="G425:J426" si="198">G426</f>
        <v>0</v>
      </c>
      <c r="H425" s="449"/>
      <c r="I425" s="449">
        <f t="shared" si="198"/>
        <v>0</v>
      </c>
      <c r="J425" s="449">
        <f t="shared" si="198"/>
        <v>0</v>
      </c>
      <c r="K425" s="462" t="e">
        <f t="shared" si="181"/>
        <v>#DIV/0!</v>
      </c>
      <c r="L425" s="462">
        <f t="shared" si="182"/>
        <v>0</v>
      </c>
      <c r="M425" s="449">
        <f t="shared" ref="M425:M426" si="199">M426</f>
        <v>0</v>
      </c>
      <c r="N425" s="178">
        <f t="shared" si="180"/>
        <v>0</v>
      </c>
      <c r="O425" s="179">
        <f t="shared" si="183"/>
        <v>0</v>
      </c>
    </row>
    <row r="426" spans="1:15" ht="31.95" hidden="1" customHeight="1" outlineLevel="1" x14ac:dyDescent="0.3">
      <c r="A426" s="233" t="s">
        <v>132</v>
      </c>
      <c r="B426" s="397" t="s">
        <v>455</v>
      </c>
      <c r="C426" s="397" t="s">
        <v>124</v>
      </c>
      <c r="D426" s="397" t="s">
        <v>127</v>
      </c>
      <c r="E426" s="397" t="s">
        <v>6</v>
      </c>
      <c r="F426" s="477">
        <f>F427</f>
        <v>0</v>
      </c>
      <c r="G426" s="467">
        <f t="shared" si="198"/>
        <v>0</v>
      </c>
      <c r="H426" s="467"/>
      <c r="I426" s="467">
        <f t="shared" si="198"/>
        <v>0</v>
      </c>
      <c r="J426" s="467">
        <f t="shared" si="198"/>
        <v>0</v>
      </c>
      <c r="K426" s="462" t="e">
        <f t="shared" si="181"/>
        <v>#DIV/0!</v>
      </c>
      <c r="L426" s="462">
        <f t="shared" si="182"/>
        <v>0</v>
      </c>
      <c r="M426" s="467">
        <f t="shared" si="199"/>
        <v>0</v>
      </c>
      <c r="N426" s="178">
        <f t="shared" si="180"/>
        <v>0</v>
      </c>
      <c r="O426" s="179">
        <f t="shared" si="183"/>
        <v>0</v>
      </c>
    </row>
    <row r="427" spans="1:15" ht="39.4" hidden="1" customHeight="1" outlineLevel="1" x14ac:dyDescent="0.3">
      <c r="A427" s="189" t="s">
        <v>269</v>
      </c>
      <c r="B427" s="392" t="s">
        <v>455</v>
      </c>
      <c r="C427" s="392" t="s">
        <v>124</v>
      </c>
      <c r="D427" s="392" t="s">
        <v>268</v>
      </c>
      <c r="E427" s="392" t="s">
        <v>6</v>
      </c>
      <c r="F427" s="476">
        <v>0</v>
      </c>
      <c r="G427" s="449">
        <v>0</v>
      </c>
      <c r="H427" s="449"/>
      <c r="I427" s="449">
        <v>0</v>
      </c>
      <c r="J427" s="449">
        <f>J437+J428+J434</f>
        <v>0</v>
      </c>
      <c r="K427" s="462" t="e">
        <f t="shared" si="181"/>
        <v>#DIV/0!</v>
      </c>
      <c r="L427" s="462">
        <f t="shared" si="182"/>
        <v>0</v>
      </c>
      <c r="M427" s="449">
        <f>M437+M428+M434</f>
        <v>0</v>
      </c>
      <c r="N427" s="178">
        <f t="shared" si="180"/>
        <v>0</v>
      </c>
      <c r="O427" s="179">
        <f t="shared" si="183"/>
        <v>0</v>
      </c>
    </row>
    <row r="428" spans="1:15" s="224" customFormat="1" ht="35.5" hidden="1" customHeight="1" outlineLevel="1" x14ac:dyDescent="0.3">
      <c r="A428" s="188" t="s">
        <v>934</v>
      </c>
      <c r="B428" s="392" t="s">
        <v>455</v>
      </c>
      <c r="C428" s="392" t="s">
        <v>124</v>
      </c>
      <c r="D428" s="392" t="s">
        <v>399</v>
      </c>
      <c r="E428" s="392" t="s">
        <v>6</v>
      </c>
      <c r="F428" s="471">
        <f>F429+F431</f>
        <v>0</v>
      </c>
      <c r="G428" s="462">
        <f>G429+G431</f>
        <v>0</v>
      </c>
      <c r="H428" s="462"/>
      <c r="I428" s="462">
        <f>I429+I431</f>
        <v>37279299.5</v>
      </c>
      <c r="J428" s="462">
        <f>J429+J431</f>
        <v>0</v>
      </c>
      <c r="K428" s="462" t="e">
        <f t="shared" si="181"/>
        <v>#DIV/0!</v>
      </c>
      <c r="L428" s="462">
        <f t="shared" si="182"/>
        <v>0</v>
      </c>
      <c r="M428" s="462">
        <f>M429+M431</f>
        <v>0</v>
      </c>
      <c r="N428" s="178">
        <f t="shared" si="180"/>
        <v>0</v>
      </c>
      <c r="O428" s="179">
        <f t="shared" si="183"/>
        <v>0</v>
      </c>
    </row>
    <row r="429" spans="1:15" ht="53.7" hidden="1" customHeight="1" outlineLevel="1" x14ac:dyDescent="0.3">
      <c r="A429" s="189" t="s">
        <v>15</v>
      </c>
      <c r="B429" s="392" t="s">
        <v>455</v>
      </c>
      <c r="C429" s="392" t="s">
        <v>124</v>
      </c>
      <c r="D429" s="392" t="s">
        <v>399</v>
      </c>
      <c r="E429" s="392" t="s">
        <v>16</v>
      </c>
      <c r="F429" s="471">
        <f>F430</f>
        <v>0</v>
      </c>
      <c r="G429" s="462">
        <f>G430</f>
        <v>0</v>
      </c>
      <c r="H429" s="462"/>
      <c r="I429" s="462">
        <f>I430</f>
        <v>130000</v>
      </c>
      <c r="J429" s="462">
        <f>J430</f>
        <v>0</v>
      </c>
      <c r="K429" s="462" t="e">
        <f t="shared" si="181"/>
        <v>#DIV/0!</v>
      </c>
      <c r="L429" s="462">
        <f t="shared" si="182"/>
        <v>0</v>
      </c>
      <c r="M429" s="462">
        <f>M430</f>
        <v>0</v>
      </c>
      <c r="N429" s="178">
        <f t="shared" si="180"/>
        <v>0</v>
      </c>
      <c r="O429" s="179">
        <f t="shared" si="183"/>
        <v>0</v>
      </c>
    </row>
    <row r="430" spans="1:15" s="224" customFormat="1" ht="39.4" hidden="1" customHeight="1" outlineLevel="1" x14ac:dyDescent="0.3">
      <c r="A430" s="189" t="s">
        <v>17</v>
      </c>
      <c r="B430" s="392" t="s">
        <v>455</v>
      </c>
      <c r="C430" s="392" t="s">
        <v>124</v>
      </c>
      <c r="D430" s="392" t="s">
        <v>399</v>
      </c>
      <c r="E430" s="392" t="s">
        <v>18</v>
      </c>
      <c r="F430" s="475">
        <v>0</v>
      </c>
      <c r="G430" s="462">
        <v>0</v>
      </c>
      <c r="H430" s="462"/>
      <c r="I430" s="462">
        <v>130000</v>
      </c>
      <c r="J430" s="467"/>
      <c r="K430" s="462" t="e">
        <f t="shared" si="181"/>
        <v>#DIV/0!</v>
      </c>
      <c r="L430" s="462">
        <f t="shared" si="182"/>
        <v>0</v>
      </c>
      <c r="M430" s="467"/>
      <c r="N430" s="178">
        <f t="shared" si="180"/>
        <v>0</v>
      </c>
      <c r="O430" s="179">
        <f t="shared" si="183"/>
        <v>0</v>
      </c>
    </row>
    <row r="431" spans="1:15" ht="50.3" hidden="1" customHeight="1" outlineLevel="1" x14ac:dyDescent="0.3">
      <c r="A431" s="189" t="s">
        <v>90</v>
      </c>
      <c r="B431" s="392" t="s">
        <v>455</v>
      </c>
      <c r="C431" s="392" t="s">
        <v>124</v>
      </c>
      <c r="D431" s="392" t="s">
        <v>399</v>
      </c>
      <c r="E431" s="392" t="s">
        <v>91</v>
      </c>
      <c r="F431" s="471">
        <f>F432+F433</f>
        <v>0</v>
      </c>
      <c r="G431" s="462">
        <f>G432+G433</f>
        <v>0</v>
      </c>
      <c r="H431" s="462"/>
      <c r="I431" s="462">
        <f>I432+I433</f>
        <v>37149299.5</v>
      </c>
      <c r="J431" s="462">
        <f>J432+J433</f>
        <v>0</v>
      </c>
      <c r="K431" s="462" t="e">
        <f t="shared" si="181"/>
        <v>#DIV/0!</v>
      </c>
      <c r="L431" s="462">
        <f t="shared" si="182"/>
        <v>0</v>
      </c>
      <c r="M431" s="462">
        <f>M432+M433</f>
        <v>0</v>
      </c>
      <c r="N431" s="178">
        <f t="shared" si="180"/>
        <v>0</v>
      </c>
      <c r="O431" s="179">
        <f t="shared" si="183"/>
        <v>0</v>
      </c>
    </row>
    <row r="432" spans="1:15" ht="52.3" hidden="1" customHeight="1" outlineLevel="1" x14ac:dyDescent="0.3">
      <c r="A432" s="189" t="s">
        <v>92</v>
      </c>
      <c r="B432" s="392" t="s">
        <v>455</v>
      </c>
      <c r="C432" s="392" t="s">
        <v>124</v>
      </c>
      <c r="D432" s="392" t="s">
        <v>399</v>
      </c>
      <c r="E432" s="392" t="s">
        <v>93</v>
      </c>
      <c r="F432" s="475">
        <v>0</v>
      </c>
      <c r="G432" s="462">
        <v>0</v>
      </c>
      <c r="H432" s="462"/>
      <c r="I432" s="462">
        <f>37279299.5-I433-I430</f>
        <v>35149299.5</v>
      </c>
      <c r="J432" s="449"/>
      <c r="K432" s="462" t="e">
        <f t="shared" si="181"/>
        <v>#DIV/0!</v>
      </c>
      <c r="L432" s="462">
        <f t="shared" si="182"/>
        <v>0</v>
      </c>
      <c r="M432" s="449"/>
      <c r="N432" s="178">
        <f t="shared" si="180"/>
        <v>0</v>
      </c>
      <c r="O432" s="179">
        <f t="shared" si="183"/>
        <v>0</v>
      </c>
    </row>
    <row r="433" spans="1:15" ht="38.049999999999997" hidden="1" customHeight="1" outlineLevel="1" x14ac:dyDescent="0.3">
      <c r="A433" s="189" t="s">
        <v>97</v>
      </c>
      <c r="B433" s="392" t="s">
        <v>455</v>
      </c>
      <c r="C433" s="392" t="s">
        <v>124</v>
      </c>
      <c r="D433" s="392" t="s">
        <v>399</v>
      </c>
      <c r="E433" s="392" t="s">
        <v>98</v>
      </c>
      <c r="F433" s="475">
        <v>0</v>
      </c>
      <c r="G433" s="462">
        <v>0</v>
      </c>
      <c r="H433" s="462"/>
      <c r="I433" s="462">
        <v>2000000</v>
      </c>
      <c r="J433" s="462"/>
      <c r="K433" s="462" t="e">
        <f t="shared" si="181"/>
        <v>#DIV/0!</v>
      </c>
      <c r="L433" s="462">
        <f t="shared" si="182"/>
        <v>0</v>
      </c>
      <c r="M433" s="462"/>
      <c r="N433" s="178">
        <f t="shared" si="180"/>
        <v>0</v>
      </c>
      <c r="O433" s="179">
        <f t="shared" si="183"/>
        <v>0</v>
      </c>
    </row>
    <row r="434" spans="1:15" ht="31.95" hidden="1" customHeight="1" outlineLevel="1" x14ac:dyDescent="0.3">
      <c r="A434" s="202" t="s">
        <v>1008</v>
      </c>
      <c r="B434" s="392" t="s">
        <v>455</v>
      </c>
      <c r="C434" s="392" t="s">
        <v>124</v>
      </c>
      <c r="D434" s="392" t="s">
        <v>699</v>
      </c>
      <c r="E434" s="392" t="s">
        <v>6</v>
      </c>
      <c r="F434" s="471">
        <f>F435</f>
        <v>0</v>
      </c>
      <c r="G434" s="462">
        <f t="shared" ref="G434:J435" si="200">G435</f>
        <v>0</v>
      </c>
      <c r="H434" s="462"/>
      <c r="I434" s="462">
        <f t="shared" si="200"/>
        <v>13416480</v>
      </c>
      <c r="J434" s="462">
        <f t="shared" si="200"/>
        <v>0</v>
      </c>
      <c r="K434" s="462" t="e">
        <f t="shared" si="181"/>
        <v>#DIV/0!</v>
      </c>
      <c r="L434" s="462">
        <f t="shared" si="182"/>
        <v>0</v>
      </c>
      <c r="M434" s="462">
        <f t="shared" ref="M434:M435" si="201">M435</f>
        <v>0</v>
      </c>
      <c r="N434" s="178">
        <f t="shared" si="180"/>
        <v>0</v>
      </c>
      <c r="O434" s="179">
        <f t="shared" si="183"/>
        <v>0</v>
      </c>
    </row>
    <row r="435" spans="1:15" ht="33.450000000000003" hidden="1" customHeight="1" outlineLevel="1" x14ac:dyDescent="0.3">
      <c r="A435" s="189" t="s">
        <v>258</v>
      </c>
      <c r="B435" s="392" t="s">
        <v>455</v>
      </c>
      <c r="C435" s="392" t="s">
        <v>124</v>
      </c>
      <c r="D435" s="392" t="s">
        <v>699</v>
      </c>
      <c r="E435" s="392" t="s">
        <v>259</v>
      </c>
      <c r="F435" s="471">
        <f>F436</f>
        <v>0</v>
      </c>
      <c r="G435" s="462">
        <f t="shared" si="200"/>
        <v>0</v>
      </c>
      <c r="H435" s="462"/>
      <c r="I435" s="462">
        <f t="shared" si="200"/>
        <v>13416480</v>
      </c>
      <c r="J435" s="462">
        <f t="shared" si="200"/>
        <v>0</v>
      </c>
      <c r="K435" s="462" t="e">
        <f t="shared" si="181"/>
        <v>#DIV/0!</v>
      </c>
      <c r="L435" s="462">
        <f t="shared" si="182"/>
        <v>0</v>
      </c>
      <c r="M435" s="462">
        <f t="shared" si="201"/>
        <v>0</v>
      </c>
      <c r="N435" s="178">
        <f t="shared" si="180"/>
        <v>0</v>
      </c>
      <c r="O435" s="179">
        <f t="shared" si="183"/>
        <v>0</v>
      </c>
    </row>
    <row r="436" spans="1:15" ht="21.75" hidden="1" customHeight="1" outlineLevel="1" x14ac:dyDescent="0.3">
      <c r="A436" s="189" t="s">
        <v>260</v>
      </c>
      <c r="B436" s="392" t="s">
        <v>455</v>
      </c>
      <c r="C436" s="392" t="s">
        <v>124</v>
      </c>
      <c r="D436" s="392" t="s">
        <v>699</v>
      </c>
      <c r="E436" s="392" t="s">
        <v>261</v>
      </c>
      <c r="F436" s="475">
        <v>0</v>
      </c>
      <c r="G436" s="462">
        <v>0</v>
      </c>
      <c r="H436" s="462"/>
      <c r="I436" s="462">
        <v>13416480</v>
      </c>
      <c r="J436" s="449"/>
      <c r="K436" s="462" t="e">
        <f t="shared" si="181"/>
        <v>#DIV/0!</v>
      </c>
      <c r="L436" s="462">
        <f t="shared" si="182"/>
        <v>0</v>
      </c>
      <c r="M436" s="449"/>
      <c r="N436" s="178">
        <f t="shared" si="180"/>
        <v>0</v>
      </c>
      <c r="O436" s="179">
        <f t="shared" si="183"/>
        <v>0</v>
      </c>
    </row>
    <row r="437" spans="1:15" ht="28.55" hidden="1" customHeight="1" outlineLevel="1" x14ac:dyDescent="0.3">
      <c r="A437" s="202" t="s">
        <v>959</v>
      </c>
      <c r="B437" s="392" t="s">
        <v>455</v>
      </c>
      <c r="C437" s="392" t="s">
        <v>124</v>
      </c>
      <c r="D437" s="392" t="s">
        <v>287</v>
      </c>
      <c r="E437" s="392" t="s">
        <v>6</v>
      </c>
      <c r="F437" s="476">
        <f>F438</f>
        <v>0</v>
      </c>
      <c r="G437" s="449">
        <f t="shared" ref="G437:J438" si="202">G438</f>
        <v>0</v>
      </c>
      <c r="H437" s="449"/>
      <c r="I437" s="449">
        <f t="shared" si="202"/>
        <v>26671240.190000001</v>
      </c>
      <c r="J437" s="449">
        <f t="shared" si="202"/>
        <v>0</v>
      </c>
      <c r="K437" s="462" t="e">
        <f t="shared" si="181"/>
        <v>#DIV/0!</v>
      </c>
      <c r="L437" s="462">
        <f t="shared" si="182"/>
        <v>0</v>
      </c>
      <c r="M437" s="449">
        <f t="shared" ref="M437:M438" si="203">M438</f>
        <v>0</v>
      </c>
      <c r="N437" s="178">
        <f t="shared" si="180"/>
        <v>0</v>
      </c>
      <c r="O437" s="179">
        <f t="shared" si="183"/>
        <v>0</v>
      </c>
    </row>
    <row r="438" spans="1:15" ht="28.55" hidden="1" customHeight="1" outlineLevel="1" x14ac:dyDescent="0.3">
      <c r="A438" s="189" t="s">
        <v>258</v>
      </c>
      <c r="B438" s="392" t="s">
        <v>455</v>
      </c>
      <c r="C438" s="392" t="s">
        <v>124</v>
      </c>
      <c r="D438" s="392" t="s">
        <v>287</v>
      </c>
      <c r="E438" s="392" t="s">
        <v>259</v>
      </c>
      <c r="F438" s="476">
        <f>F439</f>
        <v>0</v>
      </c>
      <c r="G438" s="449">
        <f t="shared" si="202"/>
        <v>0</v>
      </c>
      <c r="H438" s="449"/>
      <c r="I438" s="449">
        <f t="shared" si="202"/>
        <v>26671240.190000001</v>
      </c>
      <c r="J438" s="449">
        <f t="shared" si="202"/>
        <v>0</v>
      </c>
      <c r="K438" s="462" t="e">
        <f t="shared" si="181"/>
        <v>#DIV/0!</v>
      </c>
      <c r="L438" s="462">
        <f t="shared" si="182"/>
        <v>0</v>
      </c>
      <c r="M438" s="449">
        <f t="shared" si="203"/>
        <v>0</v>
      </c>
      <c r="N438" s="178">
        <f t="shared" si="180"/>
        <v>0</v>
      </c>
      <c r="O438" s="179">
        <f t="shared" si="183"/>
        <v>0</v>
      </c>
    </row>
    <row r="439" spans="1:15" ht="19.2" hidden="1" customHeight="1" outlineLevel="1" x14ac:dyDescent="0.3">
      <c r="A439" s="189" t="s">
        <v>260</v>
      </c>
      <c r="B439" s="392" t="s">
        <v>455</v>
      </c>
      <c r="C439" s="392" t="s">
        <v>124</v>
      </c>
      <c r="D439" s="392" t="s">
        <v>287</v>
      </c>
      <c r="E439" s="392" t="s">
        <v>261</v>
      </c>
      <c r="F439" s="475">
        <v>0</v>
      </c>
      <c r="G439" s="462">
        <v>0</v>
      </c>
      <c r="H439" s="462"/>
      <c r="I439" s="462">
        <v>26671240.190000001</v>
      </c>
      <c r="J439" s="449"/>
      <c r="K439" s="462" t="e">
        <f t="shared" si="181"/>
        <v>#DIV/0!</v>
      </c>
      <c r="L439" s="462">
        <f t="shared" si="182"/>
        <v>0</v>
      </c>
      <c r="M439" s="449"/>
      <c r="N439" s="178">
        <f t="shared" si="180"/>
        <v>0</v>
      </c>
      <c r="O439" s="179">
        <f t="shared" si="183"/>
        <v>0</v>
      </c>
    </row>
    <row r="440" spans="1:15" ht="34" outlineLevel="1" x14ac:dyDescent="0.3">
      <c r="A440" s="189" t="s">
        <v>1052</v>
      </c>
      <c r="B440" s="392" t="s">
        <v>455</v>
      </c>
      <c r="C440" s="392" t="s">
        <v>1053</v>
      </c>
      <c r="D440" s="392" t="s">
        <v>126</v>
      </c>
      <c r="E440" s="392" t="s">
        <v>6</v>
      </c>
      <c r="F440" s="462" t="s">
        <v>838</v>
      </c>
      <c r="G440" s="462">
        <f t="shared" ref="G440:J441" si="204">G441</f>
        <v>124000</v>
      </c>
      <c r="H440" s="462"/>
      <c r="I440" s="462">
        <f t="shared" si="204"/>
        <v>114000</v>
      </c>
      <c r="J440" s="462">
        <f t="shared" si="204"/>
        <v>114000</v>
      </c>
      <c r="K440" s="462">
        <f t="shared" si="181"/>
        <v>91.935483870967744</v>
      </c>
      <c r="L440" s="462">
        <f t="shared" si="182"/>
        <v>-10000</v>
      </c>
      <c r="M440" s="462">
        <f t="shared" ref="M440:M441" si="205">M441</f>
        <v>114000</v>
      </c>
      <c r="N440" s="178">
        <f t="shared" si="180"/>
        <v>0</v>
      </c>
      <c r="O440" s="179">
        <f t="shared" si="183"/>
        <v>-10000</v>
      </c>
    </row>
    <row r="441" spans="1:15" ht="50.95" outlineLevel="1" x14ac:dyDescent="0.3">
      <c r="A441" s="233" t="s">
        <v>1035</v>
      </c>
      <c r="B441" s="392" t="s">
        <v>455</v>
      </c>
      <c r="C441" s="392" t="s">
        <v>1053</v>
      </c>
      <c r="D441" s="392" t="s">
        <v>136</v>
      </c>
      <c r="E441" s="392" t="s">
        <v>6</v>
      </c>
      <c r="F441" s="462" t="s">
        <v>838</v>
      </c>
      <c r="G441" s="462">
        <f t="shared" si="204"/>
        <v>124000</v>
      </c>
      <c r="H441" s="462"/>
      <c r="I441" s="462">
        <f t="shared" si="204"/>
        <v>114000</v>
      </c>
      <c r="J441" s="462">
        <f t="shared" si="204"/>
        <v>114000</v>
      </c>
      <c r="K441" s="462">
        <f t="shared" si="181"/>
        <v>91.935483870967744</v>
      </c>
      <c r="L441" s="462">
        <f t="shared" si="182"/>
        <v>-10000</v>
      </c>
      <c r="M441" s="462">
        <f t="shared" si="205"/>
        <v>114000</v>
      </c>
      <c r="N441" s="178">
        <f t="shared" si="180"/>
        <v>0</v>
      </c>
      <c r="O441" s="179">
        <f t="shared" si="183"/>
        <v>-10000</v>
      </c>
    </row>
    <row r="442" spans="1:15" ht="34" outlineLevel="1" x14ac:dyDescent="0.3">
      <c r="A442" s="189" t="s">
        <v>208</v>
      </c>
      <c r="B442" s="392" t="s">
        <v>455</v>
      </c>
      <c r="C442" s="392" t="s">
        <v>1053</v>
      </c>
      <c r="D442" s="392" t="s">
        <v>226</v>
      </c>
      <c r="E442" s="392" t="s">
        <v>6</v>
      </c>
      <c r="F442" s="462" t="s">
        <v>838</v>
      </c>
      <c r="G442" s="462">
        <f>G446+G449+G443</f>
        <v>124000</v>
      </c>
      <c r="H442" s="462"/>
      <c r="I442" s="462">
        <f>I446+I449+I443</f>
        <v>114000</v>
      </c>
      <c r="J442" s="462">
        <f>J446+J449+J443</f>
        <v>114000</v>
      </c>
      <c r="K442" s="462">
        <f t="shared" si="181"/>
        <v>91.935483870967744</v>
      </c>
      <c r="L442" s="462">
        <f t="shared" si="182"/>
        <v>-10000</v>
      </c>
      <c r="M442" s="462">
        <f>M446+M449+M443</f>
        <v>114000</v>
      </c>
      <c r="N442" s="178">
        <f t="shared" si="180"/>
        <v>0</v>
      </c>
      <c r="O442" s="179">
        <f t="shared" si="183"/>
        <v>-10000</v>
      </c>
    </row>
    <row r="443" spans="1:15" ht="135.19999999999999" hidden="1" customHeight="1" outlineLevel="1" x14ac:dyDescent="0.3">
      <c r="A443" s="189" t="s">
        <v>1065</v>
      </c>
      <c r="B443" s="392" t="s">
        <v>455</v>
      </c>
      <c r="C443" s="392" t="s">
        <v>1053</v>
      </c>
      <c r="D443" s="392" t="s">
        <v>1066</v>
      </c>
      <c r="E443" s="392" t="s">
        <v>6</v>
      </c>
      <c r="F443" s="462" t="s">
        <v>838</v>
      </c>
      <c r="G443" s="462">
        <f t="shared" ref="G443:J444" si="206">G444</f>
        <v>0</v>
      </c>
      <c r="H443" s="462"/>
      <c r="I443" s="462">
        <f t="shared" si="206"/>
        <v>0</v>
      </c>
      <c r="J443" s="462">
        <f t="shared" si="206"/>
        <v>0</v>
      </c>
      <c r="K443" s="462" t="e">
        <f t="shared" si="181"/>
        <v>#DIV/0!</v>
      </c>
      <c r="L443" s="462">
        <f t="shared" si="182"/>
        <v>0</v>
      </c>
      <c r="M443" s="462">
        <f t="shared" ref="M443:M444" si="207">M444</f>
        <v>0</v>
      </c>
      <c r="N443" s="178">
        <f t="shared" si="180"/>
        <v>0</v>
      </c>
      <c r="O443" s="179">
        <f t="shared" si="183"/>
        <v>0</v>
      </c>
    </row>
    <row r="444" spans="1:15" ht="50.95" hidden="1" outlineLevel="1" x14ac:dyDescent="0.3">
      <c r="A444" s="189" t="s">
        <v>37</v>
      </c>
      <c r="B444" s="392" t="s">
        <v>455</v>
      </c>
      <c r="C444" s="392" t="s">
        <v>1053</v>
      </c>
      <c r="D444" s="392" t="s">
        <v>1066</v>
      </c>
      <c r="E444" s="392" t="s">
        <v>38</v>
      </c>
      <c r="F444" s="462" t="s">
        <v>838</v>
      </c>
      <c r="G444" s="462">
        <f t="shared" si="206"/>
        <v>0</v>
      </c>
      <c r="H444" s="462"/>
      <c r="I444" s="462">
        <f t="shared" si="206"/>
        <v>0</v>
      </c>
      <c r="J444" s="462">
        <f t="shared" si="206"/>
        <v>0</v>
      </c>
      <c r="K444" s="462" t="e">
        <f t="shared" si="181"/>
        <v>#DIV/0!</v>
      </c>
      <c r="L444" s="462">
        <f t="shared" si="182"/>
        <v>0</v>
      </c>
      <c r="M444" s="462">
        <f t="shared" si="207"/>
        <v>0</v>
      </c>
      <c r="N444" s="178">
        <f t="shared" si="180"/>
        <v>0</v>
      </c>
      <c r="O444" s="179">
        <f t="shared" si="183"/>
        <v>0</v>
      </c>
    </row>
    <row r="445" spans="1:15" ht="84.9" hidden="1" outlineLevel="1" x14ac:dyDescent="0.3">
      <c r="A445" s="189" t="s">
        <v>1055</v>
      </c>
      <c r="B445" s="392" t="s">
        <v>455</v>
      </c>
      <c r="C445" s="392" t="s">
        <v>1053</v>
      </c>
      <c r="D445" s="392" t="s">
        <v>1066</v>
      </c>
      <c r="E445" s="392" t="s">
        <v>248</v>
      </c>
      <c r="F445" s="462" t="s">
        <v>838</v>
      </c>
      <c r="G445" s="462">
        <v>0</v>
      </c>
      <c r="H445" s="462"/>
      <c r="I445" s="462"/>
      <c r="J445" s="449"/>
      <c r="K445" s="462" t="e">
        <f t="shared" si="181"/>
        <v>#DIV/0!</v>
      </c>
      <c r="L445" s="462">
        <f t="shared" si="182"/>
        <v>0</v>
      </c>
      <c r="M445" s="449"/>
      <c r="N445" s="178">
        <f t="shared" si="180"/>
        <v>0</v>
      </c>
      <c r="O445" s="179">
        <f t="shared" si="183"/>
        <v>0</v>
      </c>
    </row>
    <row r="446" spans="1:15" ht="132.44999999999999" customHeight="1" outlineLevel="1" x14ac:dyDescent="0.3">
      <c r="A446" s="189" t="s">
        <v>1059</v>
      </c>
      <c r="B446" s="392" t="s">
        <v>455</v>
      </c>
      <c r="C446" s="392" t="s">
        <v>1053</v>
      </c>
      <c r="D446" s="392" t="s">
        <v>1054</v>
      </c>
      <c r="E446" s="392" t="s">
        <v>6</v>
      </c>
      <c r="F446" s="462" t="s">
        <v>838</v>
      </c>
      <c r="G446" s="462">
        <f t="shared" ref="G446:J447" si="208">G447</f>
        <v>10000</v>
      </c>
      <c r="H446" s="462"/>
      <c r="I446" s="462">
        <f t="shared" si="208"/>
        <v>0</v>
      </c>
      <c r="J446" s="462">
        <f t="shared" si="208"/>
        <v>0</v>
      </c>
      <c r="K446" s="462">
        <f t="shared" si="181"/>
        <v>0</v>
      </c>
      <c r="L446" s="462">
        <f t="shared" si="182"/>
        <v>-10000</v>
      </c>
      <c r="M446" s="462">
        <f t="shared" ref="M446:M447" si="209">M447</f>
        <v>0</v>
      </c>
      <c r="N446" s="178">
        <f t="shared" si="180"/>
        <v>0</v>
      </c>
      <c r="O446" s="179">
        <f t="shared" si="183"/>
        <v>-10000</v>
      </c>
    </row>
    <row r="447" spans="1:15" ht="50.95" outlineLevel="1" x14ac:dyDescent="0.3">
      <c r="A447" s="189" t="s">
        <v>37</v>
      </c>
      <c r="B447" s="392" t="s">
        <v>455</v>
      </c>
      <c r="C447" s="392" t="s">
        <v>1053</v>
      </c>
      <c r="D447" s="392" t="s">
        <v>1054</v>
      </c>
      <c r="E447" s="392" t="s">
        <v>38</v>
      </c>
      <c r="F447" s="462" t="s">
        <v>838</v>
      </c>
      <c r="G447" s="462">
        <f t="shared" si="208"/>
        <v>10000</v>
      </c>
      <c r="H447" s="462"/>
      <c r="I447" s="462">
        <f t="shared" si="208"/>
        <v>0</v>
      </c>
      <c r="J447" s="462">
        <f t="shared" si="208"/>
        <v>0</v>
      </c>
      <c r="K447" s="462">
        <f t="shared" si="181"/>
        <v>0</v>
      </c>
      <c r="L447" s="462">
        <f t="shared" si="182"/>
        <v>-10000</v>
      </c>
      <c r="M447" s="462">
        <f t="shared" si="209"/>
        <v>0</v>
      </c>
      <c r="N447" s="178">
        <f t="shared" si="180"/>
        <v>0</v>
      </c>
      <c r="O447" s="179">
        <f t="shared" si="183"/>
        <v>-10000</v>
      </c>
    </row>
    <row r="448" spans="1:15" ht="67.95" customHeight="1" outlineLevel="1" x14ac:dyDescent="0.3">
      <c r="A448" s="189" t="s">
        <v>1055</v>
      </c>
      <c r="B448" s="392" t="s">
        <v>455</v>
      </c>
      <c r="C448" s="392" t="s">
        <v>1053</v>
      </c>
      <c r="D448" s="392" t="s">
        <v>1054</v>
      </c>
      <c r="E448" s="392" t="s">
        <v>248</v>
      </c>
      <c r="F448" s="462" t="s">
        <v>838</v>
      </c>
      <c r="G448" s="462">
        <v>10000</v>
      </c>
      <c r="H448" s="462"/>
      <c r="I448" s="462"/>
      <c r="J448" s="449"/>
      <c r="K448" s="462">
        <f t="shared" si="181"/>
        <v>0</v>
      </c>
      <c r="L448" s="462">
        <f t="shared" si="182"/>
        <v>-10000</v>
      </c>
      <c r="M448" s="449"/>
      <c r="N448" s="178">
        <f t="shared" si="180"/>
        <v>0</v>
      </c>
      <c r="O448" s="179">
        <f t="shared" si="183"/>
        <v>-10000</v>
      </c>
    </row>
    <row r="449" spans="1:15" ht="34" outlineLevel="1" x14ac:dyDescent="0.3">
      <c r="A449" s="189" t="s">
        <v>83</v>
      </c>
      <c r="B449" s="392" t="s">
        <v>455</v>
      </c>
      <c r="C449" s="392" t="s">
        <v>1053</v>
      </c>
      <c r="D449" s="392" t="s">
        <v>140</v>
      </c>
      <c r="E449" s="392" t="s">
        <v>6</v>
      </c>
      <c r="F449" s="462">
        <v>114000</v>
      </c>
      <c r="G449" s="462">
        <f t="shared" ref="G449:J450" si="210">G450</f>
        <v>114000</v>
      </c>
      <c r="H449" s="462"/>
      <c r="I449" s="462">
        <f t="shared" si="210"/>
        <v>114000</v>
      </c>
      <c r="J449" s="462">
        <f t="shared" si="210"/>
        <v>114000</v>
      </c>
      <c r="K449" s="462">
        <f t="shared" si="181"/>
        <v>100</v>
      </c>
      <c r="L449" s="462">
        <f t="shared" si="182"/>
        <v>0</v>
      </c>
      <c r="M449" s="462">
        <f t="shared" ref="M449:M450" si="211">M450</f>
        <v>114000</v>
      </c>
      <c r="N449" s="178">
        <f t="shared" si="180"/>
        <v>0</v>
      </c>
      <c r="O449" s="179">
        <f t="shared" si="183"/>
        <v>0</v>
      </c>
    </row>
    <row r="450" spans="1:15" ht="50.95" outlineLevel="1" x14ac:dyDescent="0.3">
      <c r="A450" s="189" t="s">
        <v>37</v>
      </c>
      <c r="B450" s="392" t="s">
        <v>455</v>
      </c>
      <c r="C450" s="392" t="s">
        <v>1053</v>
      </c>
      <c r="D450" s="392" t="s">
        <v>140</v>
      </c>
      <c r="E450" s="392" t="s">
        <v>38</v>
      </c>
      <c r="F450" s="462">
        <v>114000</v>
      </c>
      <c r="G450" s="462">
        <f t="shared" si="210"/>
        <v>114000</v>
      </c>
      <c r="H450" s="462"/>
      <c r="I450" s="462">
        <f t="shared" si="210"/>
        <v>114000</v>
      </c>
      <c r="J450" s="462">
        <f t="shared" si="210"/>
        <v>114000</v>
      </c>
      <c r="K450" s="462">
        <f t="shared" si="181"/>
        <v>100</v>
      </c>
      <c r="L450" s="462">
        <f t="shared" si="182"/>
        <v>0</v>
      </c>
      <c r="M450" s="462">
        <f t="shared" si="211"/>
        <v>114000</v>
      </c>
      <c r="N450" s="178">
        <f t="shared" si="180"/>
        <v>0</v>
      </c>
      <c r="O450" s="179">
        <f t="shared" si="183"/>
        <v>0</v>
      </c>
    </row>
    <row r="451" spans="1:15" ht="50.95" outlineLevel="1" x14ac:dyDescent="0.3">
      <c r="A451" s="189" t="s">
        <v>354</v>
      </c>
      <c r="B451" s="392" t="s">
        <v>455</v>
      </c>
      <c r="C451" s="392" t="s">
        <v>1053</v>
      </c>
      <c r="D451" s="392" t="s">
        <v>140</v>
      </c>
      <c r="E451" s="392" t="s">
        <v>248</v>
      </c>
      <c r="F451" s="462">
        <v>114000</v>
      </c>
      <c r="G451" s="462">
        <v>114000</v>
      </c>
      <c r="H451" s="462"/>
      <c r="I451" s="462">
        <v>114000</v>
      </c>
      <c r="J451" s="449">
        <v>114000</v>
      </c>
      <c r="K451" s="462">
        <f t="shared" si="181"/>
        <v>100</v>
      </c>
      <c r="L451" s="462">
        <f t="shared" si="182"/>
        <v>0</v>
      </c>
      <c r="M451" s="449">
        <v>114000</v>
      </c>
      <c r="N451" s="178">
        <f t="shared" si="180"/>
        <v>0</v>
      </c>
      <c r="O451" s="179">
        <f t="shared" si="183"/>
        <v>0</v>
      </c>
    </row>
    <row r="452" spans="1:15" outlineLevel="1" x14ac:dyDescent="0.3">
      <c r="A452" s="233" t="s">
        <v>100</v>
      </c>
      <c r="B452" s="397" t="s">
        <v>455</v>
      </c>
      <c r="C452" s="397" t="s">
        <v>101</v>
      </c>
      <c r="D452" s="397" t="s">
        <v>126</v>
      </c>
      <c r="E452" s="397" t="s">
        <v>6</v>
      </c>
      <c r="F452" s="477">
        <f>F453</f>
        <v>7263427.2599999998</v>
      </c>
      <c r="G452" s="467">
        <f>G453</f>
        <v>18170292.07</v>
      </c>
      <c r="H452" s="467"/>
      <c r="I452" s="467">
        <f>I453</f>
        <v>719170.16</v>
      </c>
      <c r="J452" s="467">
        <f>J453</f>
        <v>719170.16</v>
      </c>
      <c r="K452" s="462">
        <f t="shared" si="181"/>
        <v>3.9579449643926394</v>
      </c>
      <c r="L452" s="462">
        <f t="shared" si="182"/>
        <v>-17451121.91</v>
      </c>
      <c r="M452" s="467">
        <f>M453</f>
        <v>719660.22</v>
      </c>
      <c r="N452" s="178">
        <f t="shared" si="180"/>
        <v>490.05999999993946</v>
      </c>
      <c r="O452" s="179">
        <f t="shared" si="183"/>
        <v>-17450631.850000001</v>
      </c>
    </row>
    <row r="453" spans="1:15" ht="22.75" customHeight="1" outlineLevel="1" x14ac:dyDescent="0.3">
      <c r="A453" s="189" t="s">
        <v>291</v>
      </c>
      <c r="B453" s="392" t="s">
        <v>455</v>
      </c>
      <c r="C453" s="392" t="s">
        <v>290</v>
      </c>
      <c r="D453" s="392" t="s">
        <v>126</v>
      </c>
      <c r="E453" s="392" t="s">
        <v>6</v>
      </c>
      <c r="F453" s="476">
        <f>F454+F477</f>
        <v>7263427.2599999998</v>
      </c>
      <c r="G453" s="449">
        <f>G454+G481</f>
        <v>18170292.07</v>
      </c>
      <c r="H453" s="449"/>
      <c r="I453" s="449">
        <f>I454+I481</f>
        <v>719170.16</v>
      </c>
      <c r="J453" s="449">
        <f>J454+J481</f>
        <v>719170.16</v>
      </c>
      <c r="K453" s="462">
        <f t="shared" si="181"/>
        <v>3.9579449643926394</v>
      </c>
      <c r="L453" s="462">
        <f t="shared" si="182"/>
        <v>-17451121.91</v>
      </c>
      <c r="M453" s="449">
        <f>M454+M481</f>
        <v>719660.22</v>
      </c>
      <c r="N453" s="178">
        <f t="shared" si="180"/>
        <v>490.05999999993946</v>
      </c>
      <c r="O453" s="179">
        <f t="shared" si="183"/>
        <v>-17450631.850000001</v>
      </c>
    </row>
    <row r="454" spans="1:15" ht="48.75" customHeight="1" outlineLevel="1" x14ac:dyDescent="0.3">
      <c r="A454" s="233" t="s">
        <v>1037</v>
      </c>
      <c r="B454" s="397" t="s">
        <v>455</v>
      </c>
      <c r="C454" s="397" t="s">
        <v>290</v>
      </c>
      <c r="D454" s="397" t="s">
        <v>198</v>
      </c>
      <c r="E454" s="397" t="s">
        <v>6</v>
      </c>
      <c r="F454" s="477">
        <f>F455+F470</f>
        <v>709737.65999999992</v>
      </c>
      <c r="G454" s="467">
        <f>G455</f>
        <v>18020292.07</v>
      </c>
      <c r="H454" s="467"/>
      <c r="I454" s="467">
        <f>I455</f>
        <v>669170.16</v>
      </c>
      <c r="J454" s="467">
        <f>J455</f>
        <v>669170.16</v>
      </c>
      <c r="K454" s="462">
        <f t="shared" si="181"/>
        <v>3.7134257169673059</v>
      </c>
      <c r="L454" s="462">
        <f t="shared" si="182"/>
        <v>-17351121.91</v>
      </c>
      <c r="M454" s="467">
        <f>M455</f>
        <v>669660.22</v>
      </c>
      <c r="N454" s="178">
        <f t="shared" si="180"/>
        <v>490.05999999993946</v>
      </c>
      <c r="O454" s="179">
        <f t="shared" si="183"/>
        <v>-17350631.850000001</v>
      </c>
    </row>
    <row r="455" spans="1:15" ht="50.95" outlineLevel="1" x14ac:dyDescent="0.3">
      <c r="A455" s="189" t="s">
        <v>1015</v>
      </c>
      <c r="B455" s="392" t="s">
        <v>455</v>
      </c>
      <c r="C455" s="392" t="s">
        <v>290</v>
      </c>
      <c r="D455" s="392" t="s">
        <v>227</v>
      </c>
      <c r="E455" s="392" t="s">
        <v>6</v>
      </c>
      <c r="F455" s="476">
        <f>F456+F461+F464+F467</f>
        <v>709737.65999999992</v>
      </c>
      <c r="G455" s="449">
        <f>G456+G461+G464+G470+G473+G467+G476</f>
        <v>18020292.07</v>
      </c>
      <c r="H455" s="449"/>
      <c r="I455" s="449">
        <f>I456+I461+I464+I470+I473+I467+I476</f>
        <v>669170.16</v>
      </c>
      <c r="J455" s="449">
        <f>J456+J461+J464+J470+J473+J467+J476</f>
        <v>669170.16</v>
      </c>
      <c r="K455" s="462">
        <f t="shared" si="181"/>
        <v>3.7134257169673059</v>
      </c>
      <c r="L455" s="462">
        <f t="shared" si="182"/>
        <v>-17351121.91</v>
      </c>
      <c r="M455" s="449">
        <f>M456+M461+M464+M470+M473+M467+M476</f>
        <v>669660.22</v>
      </c>
      <c r="N455" s="178">
        <f t="shared" si="180"/>
        <v>490.05999999993946</v>
      </c>
      <c r="O455" s="179">
        <f t="shared" si="183"/>
        <v>-17350631.850000001</v>
      </c>
    </row>
    <row r="456" spans="1:15" ht="20.25" customHeight="1" outlineLevel="1" x14ac:dyDescent="0.3">
      <c r="A456" s="189" t="s">
        <v>102</v>
      </c>
      <c r="B456" s="392" t="s">
        <v>455</v>
      </c>
      <c r="C456" s="392" t="s">
        <v>290</v>
      </c>
      <c r="D456" s="392" t="s">
        <v>199</v>
      </c>
      <c r="E456" s="392" t="s">
        <v>6</v>
      </c>
      <c r="F456" s="476">
        <f>F457+F459</f>
        <v>703842.96</v>
      </c>
      <c r="G456" s="449">
        <f>G457+G459</f>
        <v>661000</v>
      </c>
      <c r="H456" s="449"/>
      <c r="I456" s="449">
        <f>I457+I459</f>
        <v>661000</v>
      </c>
      <c r="J456" s="449">
        <f>J457+J459</f>
        <v>661000</v>
      </c>
      <c r="K456" s="462">
        <f t="shared" si="181"/>
        <v>100</v>
      </c>
      <c r="L456" s="462">
        <f t="shared" si="182"/>
        <v>0</v>
      </c>
      <c r="M456" s="449">
        <f>M457+M459</f>
        <v>661000</v>
      </c>
      <c r="N456" s="178">
        <f t="shared" ref="N456:N519" si="212">M456-J456</f>
        <v>0</v>
      </c>
      <c r="O456" s="179">
        <f t="shared" si="183"/>
        <v>0</v>
      </c>
    </row>
    <row r="457" spans="1:15" ht="21.25" customHeight="1" outlineLevel="1" x14ac:dyDescent="0.3">
      <c r="A457" s="189" t="s">
        <v>15</v>
      </c>
      <c r="B457" s="392" t="s">
        <v>455</v>
      </c>
      <c r="C457" s="392" t="s">
        <v>290</v>
      </c>
      <c r="D457" s="392" t="s">
        <v>199</v>
      </c>
      <c r="E457" s="392" t="s">
        <v>16</v>
      </c>
      <c r="F457" s="476">
        <f>F458</f>
        <v>674142.96</v>
      </c>
      <c r="G457" s="449">
        <f>G458</f>
        <v>631000</v>
      </c>
      <c r="H457" s="449"/>
      <c r="I457" s="449">
        <f>I458</f>
        <v>631000</v>
      </c>
      <c r="J457" s="449">
        <f>J458</f>
        <v>631000</v>
      </c>
      <c r="K457" s="462">
        <f t="shared" ref="K457:K520" si="213">J457/G457*100</f>
        <v>100</v>
      </c>
      <c r="L457" s="462">
        <f t="shared" ref="L457:L520" si="214">J457-G457</f>
        <v>0</v>
      </c>
      <c r="M457" s="449">
        <f>M458</f>
        <v>631000</v>
      </c>
      <c r="N457" s="178">
        <f t="shared" si="212"/>
        <v>0</v>
      </c>
      <c r="O457" s="179">
        <f t="shared" ref="O457:O520" si="215">M457-G457</f>
        <v>0</v>
      </c>
    </row>
    <row r="458" spans="1:15" s="224" customFormat="1" ht="50.95" outlineLevel="1" x14ac:dyDescent="0.3">
      <c r="A458" s="189" t="s">
        <v>17</v>
      </c>
      <c r="B458" s="392" t="s">
        <v>455</v>
      </c>
      <c r="C458" s="392" t="s">
        <v>290</v>
      </c>
      <c r="D458" s="392" t="s">
        <v>199</v>
      </c>
      <c r="E458" s="392" t="s">
        <v>18</v>
      </c>
      <c r="F458" s="475">
        <v>674142.96</v>
      </c>
      <c r="G458" s="449">
        <f>'потребность 2023 (5)'!K463</f>
        <v>631000</v>
      </c>
      <c r="H458" s="449"/>
      <c r="I458" s="449">
        <v>631000</v>
      </c>
      <c r="J458" s="467">
        <v>631000</v>
      </c>
      <c r="K458" s="462">
        <f t="shared" si="213"/>
        <v>100</v>
      </c>
      <c r="L458" s="462">
        <f t="shared" si="214"/>
        <v>0</v>
      </c>
      <c r="M458" s="467">
        <v>631000</v>
      </c>
      <c r="N458" s="178">
        <f t="shared" si="212"/>
        <v>0</v>
      </c>
      <c r="O458" s="179">
        <f t="shared" si="215"/>
        <v>0</v>
      </c>
    </row>
    <row r="459" spans="1:15" ht="24.8" customHeight="1" outlineLevel="2" x14ac:dyDescent="0.3">
      <c r="A459" s="189" t="s">
        <v>265</v>
      </c>
      <c r="B459" s="392" t="s">
        <v>455</v>
      </c>
      <c r="C459" s="392" t="s">
        <v>290</v>
      </c>
      <c r="D459" s="392" t="s">
        <v>199</v>
      </c>
      <c r="E459" s="392" t="s">
        <v>20</v>
      </c>
      <c r="F459" s="476">
        <f>F460</f>
        <v>29700</v>
      </c>
      <c r="G459" s="449">
        <f>G460</f>
        <v>30000</v>
      </c>
      <c r="H459" s="449"/>
      <c r="I459" s="449">
        <f>I460</f>
        <v>30000</v>
      </c>
      <c r="J459" s="449">
        <f>J460</f>
        <v>30000</v>
      </c>
      <c r="K459" s="462">
        <f t="shared" si="213"/>
        <v>100</v>
      </c>
      <c r="L459" s="462">
        <f t="shared" si="214"/>
        <v>0</v>
      </c>
      <c r="M459" s="449">
        <f>M460</f>
        <v>30000</v>
      </c>
      <c r="N459" s="178">
        <f t="shared" si="212"/>
        <v>0</v>
      </c>
      <c r="O459" s="179">
        <f t="shared" si="215"/>
        <v>0</v>
      </c>
    </row>
    <row r="460" spans="1:15" s="224" customFormat="1" ht="36.700000000000003" customHeight="1" outlineLevel="3" x14ac:dyDescent="0.3">
      <c r="A460" s="189" t="s">
        <v>266</v>
      </c>
      <c r="B460" s="392" t="s">
        <v>455</v>
      </c>
      <c r="C460" s="392" t="s">
        <v>290</v>
      </c>
      <c r="D460" s="392" t="s">
        <v>199</v>
      </c>
      <c r="E460" s="392" t="s">
        <v>22</v>
      </c>
      <c r="F460" s="475">
        <v>29700</v>
      </c>
      <c r="G460" s="449">
        <f>'потребность 2023 (5)'!K465</f>
        <v>30000</v>
      </c>
      <c r="H460" s="449"/>
      <c r="I460" s="449">
        <v>30000</v>
      </c>
      <c r="J460" s="467">
        <v>30000</v>
      </c>
      <c r="K460" s="462">
        <f t="shared" si="213"/>
        <v>100</v>
      </c>
      <c r="L460" s="462">
        <f t="shared" si="214"/>
        <v>0</v>
      </c>
      <c r="M460" s="467">
        <v>30000</v>
      </c>
      <c r="N460" s="178">
        <f t="shared" si="212"/>
        <v>0</v>
      </c>
      <c r="O460" s="179">
        <f t="shared" si="215"/>
        <v>0</v>
      </c>
    </row>
    <row r="461" spans="1:15" s="224" customFormat="1" ht="48.9" hidden="1" customHeight="1" outlineLevel="3" x14ac:dyDescent="0.3">
      <c r="A461" s="189" t="s">
        <v>955</v>
      </c>
      <c r="B461" s="392" t="s">
        <v>455</v>
      </c>
      <c r="C461" s="392" t="s">
        <v>290</v>
      </c>
      <c r="D461" s="298" t="s">
        <v>860</v>
      </c>
      <c r="E461" s="298" t="s">
        <v>6</v>
      </c>
      <c r="F461" s="476"/>
      <c r="G461" s="449"/>
      <c r="H461" s="449"/>
      <c r="I461" s="449"/>
      <c r="J461" s="449"/>
      <c r="K461" s="462" t="e">
        <f t="shared" si="213"/>
        <v>#DIV/0!</v>
      </c>
      <c r="L461" s="462">
        <f t="shared" si="214"/>
        <v>0</v>
      </c>
      <c r="M461" s="449"/>
      <c r="N461" s="178">
        <f t="shared" si="212"/>
        <v>0</v>
      </c>
      <c r="O461" s="179">
        <f t="shared" si="215"/>
        <v>0</v>
      </c>
    </row>
    <row r="462" spans="1:15" s="224" customFormat="1" ht="27.7" hidden="1" customHeight="1" outlineLevel="3" x14ac:dyDescent="0.3">
      <c r="A462" s="189" t="s">
        <v>15</v>
      </c>
      <c r="B462" s="392" t="s">
        <v>455</v>
      </c>
      <c r="C462" s="392" t="s">
        <v>290</v>
      </c>
      <c r="D462" s="298" t="s">
        <v>860</v>
      </c>
      <c r="E462" s="298" t="s">
        <v>16</v>
      </c>
      <c r="F462" s="476"/>
      <c r="G462" s="449"/>
      <c r="H462" s="449"/>
      <c r="I462" s="449"/>
      <c r="J462" s="449"/>
      <c r="K462" s="462" t="e">
        <f t="shared" si="213"/>
        <v>#DIV/0!</v>
      </c>
      <c r="L462" s="462">
        <f t="shared" si="214"/>
        <v>0</v>
      </c>
      <c r="M462" s="449"/>
      <c r="N462" s="178">
        <f t="shared" si="212"/>
        <v>0</v>
      </c>
      <c r="O462" s="179">
        <f t="shared" si="215"/>
        <v>0</v>
      </c>
    </row>
    <row r="463" spans="1:15" s="224" customFormat="1" ht="49.75" hidden="1" customHeight="1" outlineLevel="3" x14ac:dyDescent="0.3">
      <c r="A463" s="189" t="s">
        <v>17</v>
      </c>
      <c r="B463" s="392" t="s">
        <v>455</v>
      </c>
      <c r="C463" s="392" t="s">
        <v>290</v>
      </c>
      <c r="D463" s="298" t="s">
        <v>860</v>
      </c>
      <c r="E463" s="298" t="s">
        <v>18</v>
      </c>
      <c r="F463" s="475"/>
      <c r="G463" s="449"/>
      <c r="H463" s="449"/>
      <c r="I463" s="449"/>
      <c r="J463" s="467"/>
      <c r="K463" s="462" t="e">
        <f t="shared" si="213"/>
        <v>#DIV/0!</v>
      </c>
      <c r="L463" s="462">
        <f t="shared" si="214"/>
        <v>0</v>
      </c>
      <c r="M463" s="467"/>
      <c r="N463" s="178">
        <f t="shared" si="212"/>
        <v>0</v>
      </c>
      <c r="O463" s="179">
        <f t="shared" si="215"/>
        <v>0</v>
      </c>
    </row>
    <row r="464" spans="1:15" s="224" customFormat="1" ht="38.9" customHeight="1" outlineLevel="3" x14ac:dyDescent="0.3">
      <c r="A464" s="189" t="s">
        <v>861</v>
      </c>
      <c r="B464" s="392" t="s">
        <v>455</v>
      </c>
      <c r="C464" s="392" t="s">
        <v>290</v>
      </c>
      <c r="D464" s="298" t="s">
        <v>862</v>
      </c>
      <c r="E464" s="298" t="s">
        <v>6</v>
      </c>
      <c r="F464" s="476">
        <f>F465</f>
        <v>5894.7</v>
      </c>
      <c r="G464" s="449">
        <f t="shared" ref="G464:J465" si="216">G465</f>
        <v>3482.15</v>
      </c>
      <c r="H464" s="449"/>
      <c r="I464" s="449">
        <f t="shared" si="216"/>
        <v>8170.16</v>
      </c>
      <c r="J464" s="449">
        <f t="shared" si="216"/>
        <v>8170.16</v>
      </c>
      <c r="K464" s="462">
        <f t="shared" si="213"/>
        <v>234.62975460563155</v>
      </c>
      <c r="L464" s="462">
        <f t="shared" si="214"/>
        <v>4688.01</v>
      </c>
      <c r="M464" s="449">
        <f t="shared" ref="M464:M465" si="217">M465</f>
        <v>1160.2200000000003</v>
      </c>
      <c r="N464" s="178">
        <f t="shared" si="212"/>
        <v>-7009.94</v>
      </c>
      <c r="O464" s="179">
        <f t="shared" si="215"/>
        <v>-2321.9299999999998</v>
      </c>
    </row>
    <row r="465" spans="1:15" s="224" customFormat="1" ht="22.95" customHeight="1" outlineLevel="3" x14ac:dyDescent="0.3">
      <c r="A465" s="189" t="s">
        <v>15</v>
      </c>
      <c r="B465" s="392" t="s">
        <v>455</v>
      </c>
      <c r="C465" s="392" t="s">
        <v>290</v>
      </c>
      <c r="D465" s="298" t="s">
        <v>862</v>
      </c>
      <c r="E465" s="298" t="s">
        <v>16</v>
      </c>
      <c r="F465" s="476">
        <f>F466</f>
        <v>5894.7</v>
      </c>
      <c r="G465" s="449">
        <f t="shared" si="216"/>
        <v>3482.15</v>
      </c>
      <c r="H465" s="449"/>
      <c r="I465" s="449">
        <f t="shared" si="216"/>
        <v>8170.16</v>
      </c>
      <c r="J465" s="449">
        <f t="shared" si="216"/>
        <v>8170.16</v>
      </c>
      <c r="K465" s="462">
        <f t="shared" si="213"/>
        <v>234.62975460563155</v>
      </c>
      <c r="L465" s="462">
        <f t="shared" si="214"/>
        <v>4688.01</v>
      </c>
      <c r="M465" s="449">
        <f t="shared" si="217"/>
        <v>1160.2200000000003</v>
      </c>
      <c r="N465" s="178">
        <f t="shared" si="212"/>
        <v>-7009.94</v>
      </c>
      <c r="O465" s="179">
        <f t="shared" si="215"/>
        <v>-2321.9299999999998</v>
      </c>
    </row>
    <row r="466" spans="1:15" s="224" customFormat="1" ht="35.5" customHeight="1" outlineLevel="3" x14ac:dyDescent="0.3">
      <c r="A466" s="189" t="s">
        <v>17</v>
      </c>
      <c r="B466" s="392" t="s">
        <v>455</v>
      </c>
      <c r="C466" s="392" t="s">
        <v>290</v>
      </c>
      <c r="D466" s="298" t="s">
        <v>862</v>
      </c>
      <c r="E466" s="298" t="s">
        <v>18</v>
      </c>
      <c r="F466" s="475">
        <v>5894.7</v>
      </c>
      <c r="G466" s="449">
        <f>'потребность 2023 (5)'!K483</f>
        <v>3482.15</v>
      </c>
      <c r="H466" s="449"/>
      <c r="I466" s="449">
        <v>8170.16</v>
      </c>
      <c r="J466" s="467">
        <v>8170.16</v>
      </c>
      <c r="K466" s="462">
        <f t="shared" si="213"/>
        <v>234.62975460563155</v>
      </c>
      <c r="L466" s="462">
        <f t="shared" si="214"/>
        <v>4688.01</v>
      </c>
      <c r="M466" s="467">
        <f>8170.16-7009.94</f>
        <v>1160.2200000000003</v>
      </c>
      <c r="N466" s="178">
        <f t="shared" si="212"/>
        <v>-7009.94</v>
      </c>
      <c r="O466" s="179">
        <f t="shared" si="215"/>
        <v>-2321.9299999999998</v>
      </c>
    </row>
    <row r="467" spans="1:15" ht="70" customHeight="1" outlineLevel="5" x14ac:dyDescent="0.3">
      <c r="A467" s="189" t="s">
        <v>976</v>
      </c>
      <c r="B467" s="392" t="s">
        <v>455</v>
      </c>
      <c r="C467" s="392" t="s">
        <v>290</v>
      </c>
      <c r="D467" s="392" t="s">
        <v>977</v>
      </c>
      <c r="E467" s="392" t="s">
        <v>6</v>
      </c>
      <c r="F467" s="462"/>
      <c r="G467" s="462">
        <f t="shared" ref="G467:J468" si="218">G468</f>
        <v>1117341.92</v>
      </c>
      <c r="H467" s="462"/>
      <c r="I467" s="462">
        <f t="shared" si="218"/>
        <v>0</v>
      </c>
      <c r="J467" s="462">
        <f t="shared" si="218"/>
        <v>0</v>
      </c>
      <c r="K467" s="462">
        <f t="shared" si="213"/>
        <v>0</v>
      </c>
      <c r="L467" s="462">
        <f t="shared" si="214"/>
        <v>-1117341.92</v>
      </c>
      <c r="M467" s="462">
        <f t="shared" ref="M467:M468" si="219">M468</f>
        <v>0</v>
      </c>
      <c r="N467" s="178">
        <f t="shared" si="212"/>
        <v>0</v>
      </c>
      <c r="O467" s="179">
        <f t="shared" si="215"/>
        <v>-1117341.92</v>
      </c>
    </row>
    <row r="468" spans="1:15" ht="50.95" outlineLevel="6" x14ac:dyDescent="0.3">
      <c r="A468" s="189" t="s">
        <v>258</v>
      </c>
      <c r="B468" s="392" t="s">
        <v>455</v>
      </c>
      <c r="C468" s="392" t="s">
        <v>290</v>
      </c>
      <c r="D468" s="392" t="s">
        <v>977</v>
      </c>
      <c r="E468" s="392" t="s">
        <v>259</v>
      </c>
      <c r="F468" s="462"/>
      <c r="G468" s="462">
        <f t="shared" si="218"/>
        <v>1117341.92</v>
      </c>
      <c r="H468" s="462"/>
      <c r="I468" s="462">
        <f t="shared" si="218"/>
        <v>0</v>
      </c>
      <c r="J468" s="462">
        <f t="shared" si="218"/>
        <v>0</v>
      </c>
      <c r="K468" s="462">
        <f t="shared" si="213"/>
        <v>0</v>
      </c>
      <c r="L468" s="462">
        <f t="shared" si="214"/>
        <v>-1117341.92</v>
      </c>
      <c r="M468" s="462">
        <f t="shared" si="219"/>
        <v>0</v>
      </c>
      <c r="N468" s="178">
        <f t="shared" si="212"/>
        <v>0</v>
      </c>
      <c r="O468" s="179">
        <f t="shared" si="215"/>
        <v>-1117341.92</v>
      </c>
    </row>
    <row r="469" spans="1:15" outlineLevel="7" x14ac:dyDescent="0.3">
      <c r="A469" s="189" t="s">
        <v>260</v>
      </c>
      <c r="B469" s="392" t="s">
        <v>455</v>
      </c>
      <c r="C469" s="392" t="s">
        <v>290</v>
      </c>
      <c r="D469" s="392" t="s">
        <v>977</v>
      </c>
      <c r="E469" s="392" t="s">
        <v>261</v>
      </c>
      <c r="F469" s="462"/>
      <c r="G469" s="449">
        <f>1117341.92</f>
        <v>1117341.92</v>
      </c>
      <c r="H469" s="449"/>
      <c r="I469" s="449"/>
      <c r="J469" s="449"/>
      <c r="K469" s="462">
        <f t="shared" si="213"/>
        <v>0</v>
      </c>
      <c r="L469" s="462">
        <f t="shared" si="214"/>
        <v>-1117341.92</v>
      </c>
      <c r="M469" s="449"/>
      <c r="N469" s="178">
        <f t="shared" si="212"/>
        <v>0</v>
      </c>
      <c r="O469" s="179">
        <f t="shared" si="215"/>
        <v>-1117341.92</v>
      </c>
    </row>
    <row r="470" spans="1:15" ht="50.95" hidden="1" customHeight="1" outlineLevel="7" x14ac:dyDescent="0.3">
      <c r="A470" s="189" t="s">
        <v>848</v>
      </c>
      <c r="B470" s="392" t="s">
        <v>455</v>
      </c>
      <c r="C470" s="392" t="s">
        <v>290</v>
      </c>
      <c r="D470" s="392" t="s">
        <v>867</v>
      </c>
      <c r="E470" s="392" t="s">
        <v>6</v>
      </c>
      <c r="F470" s="476">
        <f>F471</f>
        <v>0</v>
      </c>
      <c r="G470" s="449">
        <f t="shared" ref="G470:J471" si="220">G471</f>
        <v>0</v>
      </c>
      <c r="H470" s="449"/>
      <c r="I470" s="449">
        <f t="shared" si="220"/>
        <v>0</v>
      </c>
      <c r="J470" s="449">
        <f t="shared" si="220"/>
        <v>0</v>
      </c>
      <c r="K470" s="462" t="e">
        <f t="shared" si="213"/>
        <v>#DIV/0!</v>
      </c>
      <c r="L470" s="462">
        <f t="shared" si="214"/>
        <v>0</v>
      </c>
      <c r="M470" s="449">
        <f t="shared" ref="M470:M471" si="221">M471</f>
        <v>0</v>
      </c>
      <c r="N470" s="178">
        <f t="shared" si="212"/>
        <v>0</v>
      </c>
      <c r="O470" s="179">
        <f t="shared" si="215"/>
        <v>0</v>
      </c>
    </row>
    <row r="471" spans="1:15" ht="34" hidden="1" outlineLevel="7" x14ac:dyDescent="0.3">
      <c r="A471" s="189" t="s">
        <v>15</v>
      </c>
      <c r="B471" s="392" t="s">
        <v>455</v>
      </c>
      <c r="C471" s="392" t="s">
        <v>290</v>
      </c>
      <c r="D471" s="392" t="s">
        <v>867</v>
      </c>
      <c r="E471" s="392" t="s">
        <v>16</v>
      </c>
      <c r="F471" s="476">
        <f>F472</f>
        <v>0</v>
      </c>
      <c r="G471" s="449">
        <f t="shared" si="220"/>
        <v>0</v>
      </c>
      <c r="H471" s="449"/>
      <c r="I471" s="449">
        <f t="shared" si="220"/>
        <v>0</v>
      </c>
      <c r="J471" s="449">
        <f t="shared" si="220"/>
        <v>0</v>
      </c>
      <c r="K471" s="462" t="e">
        <f t="shared" si="213"/>
        <v>#DIV/0!</v>
      </c>
      <c r="L471" s="462">
        <f t="shared" si="214"/>
        <v>0</v>
      </c>
      <c r="M471" s="449">
        <f t="shared" si="221"/>
        <v>0</v>
      </c>
      <c r="N471" s="178">
        <f t="shared" si="212"/>
        <v>0</v>
      </c>
      <c r="O471" s="179">
        <f t="shared" si="215"/>
        <v>0</v>
      </c>
    </row>
    <row r="472" spans="1:15" ht="50.95" hidden="1" outlineLevel="7" x14ac:dyDescent="0.3">
      <c r="A472" s="189" t="s">
        <v>17</v>
      </c>
      <c r="B472" s="392" t="s">
        <v>455</v>
      </c>
      <c r="C472" s="392" t="s">
        <v>290</v>
      </c>
      <c r="D472" s="392" t="s">
        <v>867</v>
      </c>
      <c r="E472" s="392" t="s">
        <v>18</v>
      </c>
      <c r="F472" s="475">
        <v>0</v>
      </c>
      <c r="G472" s="449">
        <v>0</v>
      </c>
      <c r="H472" s="449"/>
      <c r="I472" s="449"/>
      <c r="J472" s="449"/>
      <c r="K472" s="462" t="e">
        <f t="shared" si="213"/>
        <v>#DIV/0!</v>
      </c>
      <c r="L472" s="462">
        <f t="shared" si="214"/>
        <v>0</v>
      </c>
      <c r="M472" s="449"/>
      <c r="N472" s="178">
        <f t="shared" si="212"/>
        <v>0</v>
      </c>
      <c r="O472" s="179">
        <f t="shared" si="215"/>
        <v>0</v>
      </c>
    </row>
    <row r="473" spans="1:15" ht="67.95" outlineLevel="7" x14ac:dyDescent="0.3">
      <c r="A473" s="189" t="s">
        <v>787</v>
      </c>
      <c r="B473" s="392" t="s">
        <v>455</v>
      </c>
      <c r="C473" s="392" t="s">
        <v>290</v>
      </c>
      <c r="D473" s="392" t="s">
        <v>868</v>
      </c>
      <c r="E473" s="392" t="s">
        <v>6</v>
      </c>
      <c r="F473" s="476">
        <f>F474</f>
        <v>79468.45</v>
      </c>
      <c r="G473" s="449">
        <f t="shared" ref="G473:J474" si="222">G474</f>
        <v>53055</v>
      </c>
      <c r="H473" s="449"/>
      <c r="I473" s="449">
        <f t="shared" si="222"/>
        <v>0</v>
      </c>
      <c r="J473" s="449">
        <f t="shared" si="222"/>
        <v>0</v>
      </c>
      <c r="K473" s="462">
        <f t="shared" si="213"/>
        <v>0</v>
      </c>
      <c r="L473" s="462">
        <f t="shared" si="214"/>
        <v>-53055</v>
      </c>
      <c r="M473" s="449">
        <f t="shared" ref="M473:M474" si="223">M474</f>
        <v>7500</v>
      </c>
      <c r="N473" s="178">
        <f t="shared" si="212"/>
        <v>7500</v>
      </c>
      <c r="O473" s="179">
        <f t="shared" si="215"/>
        <v>-45555</v>
      </c>
    </row>
    <row r="474" spans="1:15" ht="34" outlineLevel="7" x14ac:dyDescent="0.3">
      <c r="A474" s="189" t="s">
        <v>15</v>
      </c>
      <c r="B474" s="392" t="s">
        <v>455</v>
      </c>
      <c r="C474" s="392" t="s">
        <v>290</v>
      </c>
      <c r="D474" s="392" t="s">
        <v>868</v>
      </c>
      <c r="E474" s="392" t="s">
        <v>16</v>
      </c>
      <c r="F474" s="476">
        <f>F475</f>
        <v>79468.45</v>
      </c>
      <c r="G474" s="449">
        <f t="shared" si="222"/>
        <v>53055</v>
      </c>
      <c r="H474" s="449"/>
      <c r="I474" s="449">
        <f t="shared" si="222"/>
        <v>0</v>
      </c>
      <c r="J474" s="449">
        <f t="shared" si="222"/>
        <v>0</v>
      </c>
      <c r="K474" s="462">
        <f t="shared" si="213"/>
        <v>0</v>
      </c>
      <c r="L474" s="462">
        <f t="shared" si="214"/>
        <v>-53055</v>
      </c>
      <c r="M474" s="449">
        <f t="shared" si="223"/>
        <v>7500</v>
      </c>
      <c r="N474" s="178">
        <f t="shared" si="212"/>
        <v>7500</v>
      </c>
      <c r="O474" s="179">
        <f t="shared" si="215"/>
        <v>-45555</v>
      </c>
    </row>
    <row r="475" spans="1:15" ht="25.5" customHeight="1" outlineLevel="7" x14ac:dyDescent="0.3">
      <c r="A475" s="189" t="s">
        <v>17</v>
      </c>
      <c r="B475" s="392" t="s">
        <v>455</v>
      </c>
      <c r="C475" s="392" t="s">
        <v>290</v>
      </c>
      <c r="D475" s="392" t="s">
        <v>868</v>
      </c>
      <c r="E475" s="392" t="s">
        <v>18</v>
      </c>
      <c r="F475" s="475">
        <v>79468.45</v>
      </c>
      <c r="G475" s="449">
        <f>'потребность 2023 (5)'!K493-15300</f>
        <v>53055</v>
      </c>
      <c r="H475" s="449"/>
      <c r="I475" s="449"/>
      <c r="J475" s="449"/>
      <c r="K475" s="462">
        <f t="shared" si="213"/>
        <v>0</v>
      </c>
      <c r="L475" s="462">
        <f t="shared" si="214"/>
        <v>-53055</v>
      </c>
      <c r="M475" s="449">
        <v>7500</v>
      </c>
      <c r="N475" s="178">
        <f t="shared" si="212"/>
        <v>7500</v>
      </c>
      <c r="O475" s="179">
        <f t="shared" si="215"/>
        <v>-45555</v>
      </c>
    </row>
    <row r="476" spans="1:15" ht="55.7" customHeight="1" outlineLevel="7" x14ac:dyDescent="0.3">
      <c r="A476" s="189" t="s">
        <v>1074</v>
      </c>
      <c r="B476" s="392" t="s">
        <v>455</v>
      </c>
      <c r="C476" s="392" t="s">
        <v>290</v>
      </c>
      <c r="D476" s="392" t="s">
        <v>1060</v>
      </c>
      <c r="E476" s="392" t="s">
        <v>6</v>
      </c>
      <c r="F476" s="476">
        <f>F477</f>
        <v>6553689.5999999996</v>
      </c>
      <c r="G476" s="449">
        <f>G477+G479</f>
        <v>16185413</v>
      </c>
      <c r="H476" s="449"/>
      <c r="I476" s="449">
        <f>I477+I479</f>
        <v>0</v>
      </c>
      <c r="J476" s="449">
        <f>J477+J479</f>
        <v>0</v>
      </c>
      <c r="K476" s="462">
        <f t="shared" si="213"/>
        <v>0</v>
      </c>
      <c r="L476" s="462">
        <f t="shared" si="214"/>
        <v>-16185413</v>
      </c>
      <c r="M476" s="449">
        <f>M477+M479</f>
        <v>0</v>
      </c>
      <c r="N476" s="178">
        <f t="shared" si="212"/>
        <v>0</v>
      </c>
      <c r="O476" s="179">
        <f t="shared" si="215"/>
        <v>-16185413</v>
      </c>
    </row>
    <row r="477" spans="1:15" ht="40.75" customHeight="1" outlineLevel="7" x14ac:dyDescent="0.3">
      <c r="A477" s="189" t="s">
        <v>15</v>
      </c>
      <c r="B477" s="392" t="s">
        <v>455</v>
      </c>
      <c r="C477" s="392" t="s">
        <v>290</v>
      </c>
      <c r="D477" s="392" t="s">
        <v>1060</v>
      </c>
      <c r="E477" s="392" t="s">
        <v>16</v>
      </c>
      <c r="F477" s="476">
        <f>F478</f>
        <v>6553689.5999999996</v>
      </c>
      <c r="G477" s="449">
        <f>G478</f>
        <v>224481.72</v>
      </c>
      <c r="H477" s="449"/>
      <c r="I477" s="449">
        <f>I478</f>
        <v>0</v>
      </c>
      <c r="J477" s="449">
        <f>J478</f>
        <v>0</v>
      </c>
      <c r="K477" s="462">
        <f t="shared" si="213"/>
        <v>0</v>
      </c>
      <c r="L477" s="462">
        <f t="shared" si="214"/>
        <v>-224481.72</v>
      </c>
      <c r="M477" s="449">
        <f>M478</f>
        <v>0</v>
      </c>
      <c r="N477" s="178">
        <f t="shared" si="212"/>
        <v>0</v>
      </c>
      <c r="O477" s="179">
        <f t="shared" si="215"/>
        <v>-224481.72</v>
      </c>
    </row>
    <row r="478" spans="1:15" ht="25.5" customHeight="1" outlineLevel="7" x14ac:dyDescent="0.3">
      <c r="A478" s="189" t="s">
        <v>17</v>
      </c>
      <c r="B478" s="392" t="s">
        <v>455</v>
      </c>
      <c r="C478" s="392" t="s">
        <v>290</v>
      </c>
      <c r="D478" s="392" t="s">
        <v>1060</v>
      </c>
      <c r="E478" s="392" t="s">
        <v>18</v>
      </c>
      <c r="F478" s="475">
        <v>6553689.5999999996</v>
      </c>
      <c r="G478" s="449">
        <v>224481.72</v>
      </c>
      <c r="H478" s="449"/>
      <c r="I478" s="449"/>
      <c r="J478" s="449"/>
      <c r="K478" s="462">
        <f t="shared" si="213"/>
        <v>0</v>
      </c>
      <c r="L478" s="462">
        <f t="shared" si="214"/>
        <v>-224481.72</v>
      </c>
      <c r="M478" s="449"/>
      <c r="N478" s="178">
        <f t="shared" si="212"/>
        <v>0</v>
      </c>
      <c r="O478" s="179">
        <f t="shared" si="215"/>
        <v>-224481.72</v>
      </c>
    </row>
    <row r="479" spans="1:15" ht="38.9" customHeight="1" outlineLevel="7" x14ac:dyDescent="0.3">
      <c r="A479" s="189" t="s">
        <v>258</v>
      </c>
      <c r="B479" s="392" t="s">
        <v>455</v>
      </c>
      <c r="C479" s="392" t="s">
        <v>290</v>
      </c>
      <c r="D479" s="392" t="s">
        <v>1060</v>
      </c>
      <c r="E479" s="392" t="s">
        <v>259</v>
      </c>
      <c r="F479" s="462">
        <v>0</v>
      </c>
      <c r="G479" s="449">
        <f>G480</f>
        <v>15960931.279999999</v>
      </c>
      <c r="H479" s="449"/>
      <c r="I479" s="449">
        <f>I480</f>
        <v>0</v>
      </c>
      <c r="J479" s="449">
        <f>J480</f>
        <v>0</v>
      </c>
      <c r="K479" s="462">
        <f t="shared" si="213"/>
        <v>0</v>
      </c>
      <c r="L479" s="462">
        <f t="shared" si="214"/>
        <v>-15960931.279999999</v>
      </c>
      <c r="M479" s="449">
        <f>M480</f>
        <v>0</v>
      </c>
      <c r="N479" s="178">
        <f t="shared" si="212"/>
        <v>0</v>
      </c>
      <c r="O479" s="179">
        <f t="shared" si="215"/>
        <v>-15960931.279999999</v>
      </c>
    </row>
    <row r="480" spans="1:15" ht="25.5" customHeight="1" outlineLevel="7" x14ac:dyDescent="0.3">
      <c r="A480" s="189" t="s">
        <v>260</v>
      </c>
      <c r="B480" s="392" t="s">
        <v>455</v>
      </c>
      <c r="C480" s="392" t="s">
        <v>290</v>
      </c>
      <c r="D480" s="392" t="s">
        <v>1060</v>
      </c>
      <c r="E480" s="392" t="s">
        <v>261</v>
      </c>
      <c r="F480" s="462">
        <v>0</v>
      </c>
      <c r="G480" s="449">
        <f>5000000+11185413-224481.72</f>
        <v>15960931.279999999</v>
      </c>
      <c r="H480" s="449"/>
      <c r="I480" s="449"/>
      <c r="J480" s="449"/>
      <c r="K480" s="462">
        <f t="shared" si="213"/>
        <v>0</v>
      </c>
      <c r="L480" s="462">
        <f t="shared" si="214"/>
        <v>-15960931.279999999</v>
      </c>
      <c r="M480" s="449"/>
      <c r="N480" s="178">
        <f t="shared" si="212"/>
        <v>0</v>
      </c>
      <c r="O480" s="179">
        <f t="shared" si="215"/>
        <v>-15960931.279999999</v>
      </c>
    </row>
    <row r="481" spans="1:15" s="461" customFormat="1" ht="45" customHeight="1" x14ac:dyDescent="0.3">
      <c r="A481" s="233" t="s">
        <v>1025</v>
      </c>
      <c r="B481" s="397" t="s">
        <v>455</v>
      </c>
      <c r="C481" s="397" t="s">
        <v>290</v>
      </c>
      <c r="D481" s="397" t="s">
        <v>419</v>
      </c>
      <c r="E481" s="397" t="s">
        <v>6</v>
      </c>
      <c r="F481" s="471">
        <f t="shared" ref="F481:J484" si="224">F482</f>
        <v>50000</v>
      </c>
      <c r="G481" s="462">
        <f t="shared" si="224"/>
        <v>150000</v>
      </c>
      <c r="H481" s="462"/>
      <c r="I481" s="462">
        <f t="shared" si="224"/>
        <v>50000</v>
      </c>
      <c r="J481" s="462">
        <f t="shared" si="224"/>
        <v>50000</v>
      </c>
      <c r="K481" s="462">
        <f t="shared" si="213"/>
        <v>33.333333333333329</v>
      </c>
      <c r="L481" s="462">
        <f t="shared" si="214"/>
        <v>-100000</v>
      </c>
      <c r="M481" s="462">
        <f t="shared" ref="M481:M484" si="225">M482</f>
        <v>50000</v>
      </c>
      <c r="N481" s="178">
        <f t="shared" si="212"/>
        <v>0</v>
      </c>
      <c r="O481" s="179">
        <f t="shared" si="215"/>
        <v>-100000</v>
      </c>
    </row>
    <row r="482" spans="1:15" outlineLevel="1" x14ac:dyDescent="0.3">
      <c r="A482" s="383" t="s">
        <v>420</v>
      </c>
      <c r="B482" s="392" t="s">
        <v>455</v>
      </c>
      <c r="C482" s="392" t="s">
        <v>290</v>
      </c>
      <c r="D482" s="392" t="s">
        <v>421</v>
      </c>
      <c r="E482" s="392" t="s">
        <v>6</v>
      </c>
      <c r="F482" s="471">
        <f t="shared" si="224"/>
        <v>50000</v>
      </c>
      <c r="G482" s="462">
        <f t="shared" si="224"/>
        <v>150000</v>
      </c>
      <c r="H482" s="462"/>
      <c r="I482" s="462">
        <f t="shared" si="224"/>
        <v>50000</v>
      </c>
      <c r="J482" s="462">
        <f t="shared" si="224"/>
        <v>50000</v>
      </c>
      <c r="K482" s="462">
        <f t="shared" si="213"/>
        <v>33.333333333333329</v>
      </c>
      <c r="L482" s="462">
        <f t="shared" si="214"/>
        <v>-100000</v>
      </c>
      <c r="M482" s="462">
        <f t="shared" si="225"/>
        <v>50000</v>
      </c>
      <c r="N482" s="178">
        <f t="shared" si="212"/>
        <v>0</v>
      </c>
      <c r="O482" s="179">
        <f t="shared" si="215"/>
        <v>-100000</v>
      </c>
    </row>
    <row r="483" spans="1:15" ht="37.549999999999997" customHeight="1" outlineLevel="2" x14ac:dyDescent="0.3">
      <c r="A483" s="189" t="s">
        <v>422</v>
      </c>
      <c r="B483" s="392" t="s">
        <v>455</v>
      </c>
      <c r="C483" s="392" t="s">
        <v>290</v>
      </c>
      <c r="D483" s="392" t="s">
        <v>423</v>
      </c>
      <c r="E483" s="392" t="s">
        <v>6</v>
      </c>
      <c r="F483" s="471">
        <f t="shared" si="224"/>
        <v>50000</v>
      </c>
      <c r="G483" s="462">
        <f t="shared" si="224"/>
        <v>150000</v>
      </c>
      <c r="H483" s="462"/>
      <c r="I483" s="462">
        <f t="shared" si="224"/>
        <v>50000</v>
      </c>
      <c r="J483" s="462">
        <f t="shared" si="224"/>
        <v>50000</v>
      </c>
      <c r="K483" s="462">
        <f t="shared" si="213"/>
        <v>33.333333333333329</v>
      </c>
      <c r="L483" s="462">
        <f t="shared" si="214"/>
        <v>-100000</v>
      </c>
      <c r="M483" s="462">
        <f t="shared" si="225"/>
        <v>50000</v>
      </c>
      <c r="N483" s="178">
        <f t="shared" si="212"/>
        <v>0</v>
      </c>
      <c r="O483" s="179">
        <f t="shared" si="215"/>
        <v>-100000</v>
      </c>
    </row>
    <row r="484" spans="1:15" ht="34" outlineLevel="4" x14ac:dyDescent="0.3">
      <c r="A484" s="189" t="s">
        <v>15</v>
      </c>
      <c r="B484" s="392" t="s">
        <v>455</v>
      </c>
      <c r="C484" s="392" t="s">
        <v>290</v>
      </c>
      <c r="D484" s="392" t="s">
        <v>423</v>
      </c>
      <c r="E484" s="392" t="s">
        <v>16</v>
      </c>
      <c r="F484" s="471">
        <f t="shared" si="224"/>
        <v>50000</v>
      </c>
      <c r="G484" s="462">
        <f t="shared" si="224"/>
        <v>150000</v>
      </c>
      <c r="H484" s="462"/>
      <c r="I484" s="462">
        <f t="shared" si="224"/>
        <v>50000</v>
      </c>
      <c r="J484" s="462">
        <f t="shared" si="224"/>
        <v>50000</v>
      </c>
      <c r="K484" s="462">
        <f t="shared" si="213"/>
        <v>33.333333333333329</v>
      </c>
      <c r="L484" s="462">
        <f t="shared" si="214"/>
        <v>-100000</v>
      </c>
      <c r="M484" s="462">
        <f t="shared" si="225"/>
        <v>50000</v>
      </c>
      <c r="N484" s="178">
        <f t="shared" si="212"/>
        <v>0</v>
      </c>
      <c r="O484" s="179">
        <f t="shared" si="215"/>
        <v>-100000</v>
      </c>
    </row>
    <row r="485" spans="1:15" ht="50.95" outlineLevel="5" x14ac:dyDescent="0.3">
      <c r="A485" s="189" t="s">
        <v>17</v>
      </c>
      <c r="B485" s="392" t="s">
        <v>455</v>
      </c>
      <c r="C485" s="392" t="s">
        <v>290</v>
      </c>
      <c r="D485" s="392" t="s">
        <v>423</v>
      </c>
      <c r="E485" s="392" t="s">
        <v>18</v>
      </c>
      <c r="F485" s="475">
        <v>50000</v>
      </c>
      <c r="G485" s="449">
        <f>'потребность 2023 (5)'!K504+100000</f>
        <v>150000</v>
      </c>
      <c r="H485" s="449"/>
      <c r="I485" s="449">
        <v>50000</v>
      </c>
      <c r="J485" s="449">
        <v>50000</v>
      </c>
      <c r="K485" s="462">
        <f t="shared" si="213"/>
        <v>33.333333333333329</v>
      </c>
      <c r="L485" s="462">
        <f t="shared" si="214"/>
        <v>-100000</v>
      </c>
      <c r="M485" s="449">
        <v>50000</v>
      </c>
      <c r="N485" s="178">
        <f t="shared" si="212"/>
        <v>0</v>
      </c>
      <c r="O485" s="179">
        <f t="shared" si="215"/>
        <v>-100000</v>
      </c>
    </row>
    <row r="486" spans="1:15" outlineLevel="6" x14ac:dyDescent="0.3">
      <c r="A486" s="233" t="s">
        <v>103</v>
      </c>
      <c r="B486" s="392" t="s">
        <v>455</v>
      </c>
      <c r="C486" s="397" t="s">
        <v>104</v>
      </c>
      <c r="D486" s="397" t="s">
        <v>126</v>
      </c>
      <c r="E486" s="397" t="s">
        <v>6</v>
      </c>
      <c r="F486" s="473">
        <f t="shared" ref="F486:J491" si="226">F487</f>
        <v>3357000</v>
      </c>
      <c r="G486" s="465">
        <f t="shared" si="226"/>
        <v>3357000</v>
      </c>
      <c r="H486" s="465"/>
      <c r="I486" s="465">
        <f t="shared" si="226"/>
        <v>2500000</v>
      </c>
      <c r="J486" s="465">
        <f t="shared" si="226"/>
        <v>3597234.46</v>
      </c>
      <c r="K486" s="462">
        <f t="shared" si="213"/>
        <v>107.15622460530234</v>
      </c>
      <c r="L486" s="462">
        <f t="shared" si="214"/>
        <v>240234.45999999996</v>
      </c>
      <c r="M486" s="465">
        <f t="shared" ref="M486:M491" si="227">M487</f>
        <v>3597234.46</v>
      </c>
      <c r="N486" s="178">
        <f t="shared" si="212"/>
        <v>0</v>
      </c>
      <c r="O486" s="179">
        <f t="shared" si="215"/>
        <v>240234.45999999996</v>
      </c>
    </row>
    <row r="487" spans="1:15" outlineLevel="7" x14ac:dyDescent="0.3">
      <c r="A487" s="189" t="s">
        <v>105</v>
      </c>
      <c r="B487" s="392" t="s">
        <v>455</v>
      </c>
      <c r="C487" s="392" t="s">
        <v>106</v>
      </c>
      <c r="D487" s="392" t="s">
        <v>126</v>
      </c>
      <c r="E487" s="392" t="s">
        <v>6</v>
      </c>
      <c r="F487" s="471">
        <f t="shared" si="226"/>
        <v>3357000</v>
      </c>
      <c r="G487" s="462">
        <f t="shared" si="226"/>
        <v>3357000</v>
      </c>
      <c r="H487" s="462"/>
      <c r="I487" s="462">
        <f t="shared" si="226"/>
        <v>2500000</v>
      </c>
      <c r="J487" s="462">
        <f t="shared" si="226"/>
        <v>3597234.46</v>
      </c>
      <c r="K487" s="462">
        <f t="shared" si="213"/>
        <v>107.15622460530234</v>
      </c>
      <c r="L487" s="462">
        <f t="shared" si="214"/>
        <v>240234.45999999996</v>
      </c>
      <c r="M487" s="462">
        <f t="shared" si="227"/>
        <v>3597234.46</v>
      </c>
      <c r="N487" s="178">
        <f t="shared" si="212"/>
        <v>0</v>
      </c>
      <c r="O487" s="179">
        <f t="shared" si="215"/>
        <v>240234.45999999996</v>
      </c>
    </row>
    <row r="488" spans="1:15" ht="50.95" outlineLevel="5" x14ac:dyDescent="0.3">
      <c r="A488" s="233" t="s">
        <v>1028</v>
      </c>
      <c r="B488" s="392" t="s">
        <v>455</v>
      </c>
      <c r="C488" s="397" t="s">
        <v>106</v>
      </c>
      <c r="D488" s="397" t="s">
        <v>305</v>
      </c>
      <c r="E488" s="397" t="s">
        <v>6</v>
      </c>
      <c r="F488" s="473">
        <f>F489</f>
        <v>3357000</v>
      </c>
      <c r="G488" s="465">
        <f>G489</f>
        <v>3357000</v>
      </c>
      <c r="H488" s="465"/>
      <c r="I488" s="465">
        <f>I489</f>
        <v>2500000</v>
      </c>
      <c r="J488" s="465">
        <f>J489</f>
        <v>3597234.46</v>
      </c>
      <c r="K488" s="462">
        <f t="shared" si="213"/>
        <v>107.15622460530234</v>
      </c>
      <c r="L488" s="462">
        <f t="shared" si="214"/>
        <v>240234.45999999996</v>
      </c>
      <c r="M488" s="465">
        <f>M489</f>
        <v>3597234.46</v>
      </c>
      <c r="N488" s="178">
        <f t="shared" si="212"/>
        <v>0</v>
      </c>
      <c r="O488" s="179">
        <f t="shared" si="215"/>
        <v>240234.45999999996</v>
      </c>
    </row>
    <row r="489" spans="1:15" ht="34" outlineLevel="6" x14ac:dyDescent="0.3">
      <c r="A489" s="189" t="s">
        <v>315</v>
      </c>
      <c r="B489" s="392" t="s">
        <v>455</v>
      </c>
      <c r="C489" s="392" t="s">
        <v>106</v>
      </c>
      <c r="D489" s="392" t="s">
        <v>306</v>
      </c>
      <c r="E489" s="392" t="s">
        <v>6</v>
      </c>
      <c r="F489" s="471">
        <f t="shared" si="226"/>
        <v>3357000</v>
      </c>
      <c r="G489" s="462">
        <f t="shared" si="226"/>
        <v>3357000</v>
      </c>
      <c r="H489" s="462"/>
      <c r="I489" s="462">
        <f t="shared" si="226"/>
        <v>2500000</v>
      </c>
      <c r="J489" s="462">
        <f t="shared" si="226"/>
        <v>3597234.46</v>
      </c>
      <c r="K489" s="462">
        <f t="shared" si="213"/>
        <v>107.15622460530234</v>
      </c>
      <c r="L489" s="462">
        <f t="shared" si="214"/>
        <v>240234.45999999996</v>
      </c>
      <c r="M489" s="462">
        <f t="shared" si="227"/>
        <v>3597234.46</v>
      </c>
      <c r="N489" s="178">
        <f t="shared" si="212"/>
        <v>0</v>
      </c>
      <c r="O489" s="179">
        <f t="shared" si="215"/>
        <v>240234.45999999996</v>
      </c>
    </row>
    <row r="490" spans="1:15" ht="50.95" outlineLevel="7" x14ac:dyDescent="0.3">
      <c r="A490" s="189" t="s">
        <v>107</v>
      </c>
      <c r="B490" s="392" t="s">
        <v>455</v>
      </c>
      <c r="C490" s="392" t="s">
        <v>106</v>
      </c>
      <c r="D490" s="392" t="s">
        <v>307</v>
      </c>
      <c r="E490" s="392" t="s">
        <v>6</v>
      </c>
      <c r="F490" s="471">
        <f t="shared" si="226"/>
        <v>3357000</v>
      </c>
      <c r="G490" s="462">
        <f t="shared" si="226"/>
        <v>3357000</v>
      </c>
      <c r="H490" s="462"/>
      <c r="I490" s="462">
        <f t="shared" si="226"/>
        <v>2500000</v>
      </c>
      <c r="J490" s="462">
        <f t="shared" si="226"/>
        <v>3597234.46</v>
      </c>
      <c r="K490" s="462">
        <f t="shared" si="213"/>
        <v>107.15622460530234</v>
      </c>
      <c r="L490" s="462">
        <f t="shared" si="214"/>
        <v>240234.45999999996</v>
      </c>
      <c r="M490" s="462">
        <f t="shared" si="227"/>
        <v>3597234.46</v>
      </c>
      <c r="N490" s="178">
        <f t="shared" si="212"/>
        <v>0</v>
      </c>
      <c r="O490" s="179">
        <f t="shared" si="215"/>
        <v>240234.45999999996</v>
      </c>
    </row>
    <row r="491" spans="1:15" ht="50.95" outlineLevel="6" x14ac:dyDescent="0.3">
      <c r="A491" s="189" t="s">
        <v>37</v>
      </c>
      <c r="B491" s="392" t="s">
        <v>455</v>
      </c>
      <c r="C491" s="392" t="s">
        <v>106</v>
      </c>
      <c r="D491" s="392" t="s">
        <v>307</v>
      </c>
      <c r="E491" s="392" t="s">
        <v>38</v>
      </c>
      <c r="F491" s="471">
        <f t="shared" si="226"/>
        <v>3357000</v>
      </c>
      <c r="G491" s="462">
        <f t="shared" si="226"/>
        <v>3357000</v>
      </c>
      <c r="H491" s="462"/>
      <c r="I491" s="462">
        <f t="shared" si="226"/>
        <v>2500000</v>
      </c>
      <c r="J491" s="462">
        <f t="shared" si="226"/>
        <v>3597234.46</v>
      </c>
      <c r="K491" s="462">
        <f t="shared" si="213"/>
        <v>107.15622460530234</v>
      </c>
      <c r="L491" s="462">
        <f t="shared" si="214"/>
        <v>240234.45999999996</v>
      </c>
      <c r="M491" s="462">
        <f t="shared" si="227"/>
        <v>3597234.46</v>
      </c>
      <c r="N491" s="178">
        <f t="shared" si="212"/>
        <v>0</v>
      </c>
      <c r="O491" s="179">
        <f t="shared" si="215"/>
        <v>240234.45999999996</v>
      </c>
    </row>
    <row r="492" spans="1:15" ht="20.25" customHeight="1" outlineLevel="7" x14ac:dyDescent="0.3">
      <c r="A492" s="189" t="s">
        <v>39</v>
      </c>
      <c r="B492" s="392" t="s">
        <v>455</v>
      </c>
      <c r="C492" s="392" t="s">
        <v>106</v>
      </c>
      <c r="D492" s="392" t="s">
        <v>307</v>
      </c>
      <c r="E492" s="392" t="s">
        <v>40</v>
      </c>
      <c r="F492" s="475">
        <v>3357000</v>
      </c>
      <c r="G492" s="462">
        <f>'потребность 2023 (5)'!K511</f>
        <v>3357000</v>
      </c>
      <c r="H492" s="462"/>
      <c r="I492" s="462">
        <v>2500000</v>
      </c>
      <c r="J492" s="449">
        <v>3597234.46</v>
      </c>
      <c r="K492" s="462">
        <f t="shared" si="213"/>
        <v>107.15622460530234</v>
      </c>
      <c r="L492" s="462">
        <f t="shared" si="214"/>
        <v>240234.45999999996</v>
      </c>
      <c r="M492" s="449">
        <v>3597234.46</v>
      </c>
      <c r="N492" s="178">
        <f t="shared" si="212"/>
        <v>0</v>
      </c>
      <c r="O492" s="179">
        <f t="shared" si="215"/>
        <v>240234.45999999996</v>
      </c>
    </row>
    <row r="493" spans="1:15" ht="29.9" customHeight="1" outlineLevel="6" x14ac:dyDescent="0.3">
      <c r="A493" s="186" t="s">
        <v>481</v>
      </c>
      <c r="B493" s="458" t="s">
        <v>456</v>
      </c>
      <c r="C493" s="458" t="s">
        <v>5</v>
      </c>
      <c r="D493" s="458" t="s">
        <v>126</v>
      </c>
      <c r="E493" s="458" t="s">
        <v>6</v>
      </c>
      <c r="F493" s="481">
        <f>F494</f>
        <v>5509254.1400000006</v>
      </c>
      <c r="G493" s="459">
        <f>G494</f>
        <v>5646668.2999999998</v>
      </c>
      <c r="H493" s="459"/>
      <c r="I493" s="459">
        <f>I494</f>
        <v>5723967.9299999997</v>
      </c>
      <c r="J493" s="459">
        <f>J494</f>
        <v>6308611.0899999999</v>
      </c>
      <c r="K493" s="462">
        <f t="shared" si="213"/>
        <v>111.72271425966353</v>
      </c>
      <c r="L493" s="462">
        <f t="shared" si="214"/>
        <v>661942.79</v>
      </c>
      <c r="M493" s="459">
        <f>M494</f>
        <v>6308611.0899999999</v>
      </c>
      <c r="N493" s="178">
        <f t="shared" si="212"/>
        <v>0</v>
      </c>
      <c r="O493" s="179">
        <f t="shared" si="215"/>
        <v>661942.79</v>
      </c>
    </row>
    <row r="494" spans="1:15" outlineLevel="7" x14ac:dyDescent="0.3">
      <c r="A494" s="189" t="s">
        <v>7</v>
      </c>
      <c r="B494" s="392" t="s">
        <v>456</v>
      </c>
      <c r="C494" s="392" t="s">
        <v>8</v>
      </c>
      <c r="D494" s="392" t="s">
        <v>126</v>
      </c>
      <c r="E494" s="392" t="s">
        <v>6</v>
      </c>
      <c r="F494" s="471">
        <f>F495+F510</f>
        <v>5509254.1400000006</v>
      </c>
      <c r="G494" s="462">
        <f>G495+G510</f>
        <v>5646668.2999999998</v>
      </c>
      <c r="H494" s="462"/>
      <c r="I494" s="462">
        <f>I495+I510</f>
        <v>5723967.9299999997</v>
      </c>
      <c r="J494" s="462">
        <f>J495+J510</f>
        <v>6308611.0899999999</v>
      </c>
      <c r="K494" s="462">
        <f t="shared" si="213"/>
        <v>111.72271425966353</v>
      </c>
      <c r="L494" s="462">
        <f t="shared" si="214"/>
        <v>661942.79</v>
      </c>
      <c r="M494" s="462">
        <f>M495+M510</f>
        <v>6308611.0899999999</v>
      </c>
      <c r="N494" s="178">
        <f t="shared" si="212"/>
        <v>0</v>
      </c>
      <c r="O494" s="179">
        <f t="shared" si="215"/>
        <v>661942.79</v>
      </c>
    </row>
    <row r="495" spans="1:15" ht="67.95" outlineLevel="5" x14ac:dyDescent="0.3">
      <c r="A495" s="189" t="s">
        <v>108</v>
      </c>
      <c r="B495" s="392" t="s">
        <v>456</v>
      </c>
      <c r="C495" s="392" t="s">
        <v>109</v>
      </c>
      <c r="D495" s="392" t="s">
        <v>126</v>
      </c>
      <c r="E495" s="392" t="s">
        <v>6</v>
      </c>
      <c r="F495" s="471">
        <f>F496</f>
        <v>5356508.6400000006</v>
      </c>
      <c r="G495" s="462">
        <f>G496</f>
        <v>5429388.2999999998</v>
      </c>
      <c r="H495" s="462"/>
      <c r="I495" s="462">
        <f>I496</f>
        <v>5581195.9299999997</v>
      </c>
      <c r="J495" s="462">
        <f>J496</f>
        <v>6155611.0899999999</v>
      </c>
      <c r="K495" s="462">
        <f t="shared" si="213"/>
        <v>113.37577549942412</v>
      </c>
      <c r="L495" s="462">
        <f t="shared" si="214"/>
        <v>726222.79</v>
      </c>
      <c r="M495" s="462">
        <f>M496</f>
        <v>6155611.0899999999</v>
      </c>
      <c r="N495" s="178">
        <f t="shared" si="212"/>
        <v>0</v>
      </c>
      <c r="O495" s="179">
        <f t="shared" si="215"/>
        <v>726222.79</v>
      </c>
    </row>
    <row r="496" spans="1:15" ht="34" outlineLevel="6" x14ac:dyDescent="0.3">
      <c r="A496" s="189" t="s">
        <v>132</v>
      </c>
      <c r="B496" s="392" t="s">
        <v>456</v>
      </c>
      <c r="C496" s="392" t="s">
        <v>109</v>
      </c>
      <c r="D496" s="392" t="s">
        <v>127</v>
      </c>
      <c r="E496" s="392" t="s">
        <v>6</v>
      </c>
      <c r="F496" s="471">
        <f>F497+F500+F507</f>
        <v>5356508.6400000006</v>
      </c>
      <c r="G496" s="462">
        <f>G497+G500+G507</f>
        <v>5429388.2999999998</v>
      </c>
      <c r="H496" s="462"/>
      <c r="I496" s="462">
        <f>I497+I500+I507</f>
        <v>5581195.9299999997</v>
      </c>
      <c r="J496" s="462">
        <f>J497+J500+J507</f>
        <v>6155611.0899999999</v>
      </c>
      <c r="K496" s="462">
        <f t="shared" si="213"/>
        <v>113.37577549942412</v>
      </c>
      <c r="L496" s="462">
        <f t="shared" si="214"/>
        <v>726222.79</v>
      </c>
      <c r="M496" s="462">
        <f>M497+M500+M507</f>
        <v>6155611.0899999999</v>
      </c>
      <c r="N496" s="178">
        <f t="shared" si="212"/>
        <v>0</v>
      </c>
      <c r="O496" s="179">
        <f t="shared" si="215"/>
        <v>726222.79</v>
      </c>
    </row>
    <row r="497" spans="1:15" ht="34" outlineLevel="7" x14ac:dyDescent="0.3">
      <c r="A497" s="189" t="s">
        <v>482</v>
      </c>
      <c r="B497" s="392" t="s">
        <v>456</v>
      </c>
      <c r="C497" s="392" t="s">
        <v>109</v>
      </c>
      <c r="D497" s="392" t="s">
        <v>483</v>
      </c>
      <c r="E497" s="392" t="s">
        <v>6</v>
      </c>
      <c r="F497" s="471">
        <f>F498</f>
        <v>2497158.35</v>
      </c>
      <c r="G497" s="462">
        <f t="shared" ref="G497:J498" si="228">G498</f>
        <v>2537974.2999999998</v>
      </c>
      <c r="H497" s="462"/>
      <c r="I497" s="462">
        <f t="shared" si="228"/>
        <v>2639493.27</v>
      </c>
      <c r="J497" s="462">
        <f t="shared" si="228"/>
        <v>2872093.52</v>
      </c>
      <c r="K497" s="462">
        <f t="shared" si="213"/>
        <v>113.16479918650084</v>
      </c>
      <c r="L497" s="462">
        <f t="shared" si="214"/>
        <v>334119.2200000002</v>
      </c>
      <c r="M497" s="462">
        <f t="shared" ref="M497:M498" si="229">M498</f>
        <v>2872093.52</v>
      </c>
      <c r="N497" s="178">
        <f t="shared" si="212"/>
        <v>0</v>
      </c>
      <c r="O497" s="179">
        <f t="shared" si="215"/>
        <v>334119.2200000002</v>
      </c>
    </row>
    <row r="498" spans="1:15" ht="37.549999999999997" customHeight="1" outlineLevel="2" x14ac:dyDescent="0.3">
      <c r="A498" s="189" t="s">
        <v>11</v>
      </c>
      <c r="B498" s="392" t="s">
        <v>456</v>
      </c>
      <c r="C498" s="392" t="s">
        <v>109</v>
      </c>
      <c r="D498" s="392" t="s">
        <v>483</v>
      </c>
      <c r="E498" s="392" t="s">
        <v>12</v>
      </c>
      <c r="F498" s="471">
        <f>F499</f>
        <v>2497158.35</v>
      </c>
      <c r="G498" s="462">
        <f t="shared" si="228"/>
        <v>2537974.2999999998</v>
      </c>
      <c r="H498" s="462"/>
      <c r="I498" s="462">
        <f t="shared" si="228"/>
        <v>2639493.27</v>
      </c>
      <c r="J498" s="462">
        <f t="shared" si="228"/>
        <v>2872093.52</v>
      </c>
      <c r="K498" s="462">
        <f t="shared" si="213"/>
        <v>113.16479918650084</v>
      </c>
      <c r="L498" s="462">
        <f t="shared" si="214"/>
        <v>334119.2200000002</v>
      </c>
      <c r="M498" s="462">
        <f t="shared" si="229"/>
        <v>2872093.52</v>
      </c>
      <c r="N498" s="178">
        <f t="shared" si="212"/>
        <v>0</v>
      </c>
      <c r="O498" s="179">
        <f t="shared" si="215"/>
        <v>334119.2200000002</v>
      </c>
    </row>
    <row r="499" spans="1:15" ht="34" outlineLevel="4" x14ac:dyDescent="0.3">
      <c r="A499" s="189" t="s">
        <v>13</v>
      </c>
      <c r="B499" s="392" t="s">
        <v>456</v>
      </c>
      <c r="C499" s="392" t="s">
        <v>109</v>
      </c>
      <c r="D499" s="392" t="s">
        <v>483</v>
      </c>
      <c r="E499" s="392" t="s">
        <v>14</v>
      </c>
      <c r="F499" s="475">
        <v>2497158.35</v>
      </c>
      <c r="G499" s="449">
        <f>'потребность 2023 (5)'!K518</f>
        <v>2537974.2999999998</v>
      </c>
      <c r="H499" s="449"/>
      <c r="I499" s="449">
        <v>2639493.27</v>
      </c>
      <c r="J499" s="449">
        <v>2872093.52</v>
      </c>
      <c r="K499" s="462">
        <f t="shared" si="213"/>
        <v>113.16479918650084</v>
      </c>
      <c r="L499" s="462">
        <f t="shared" si="214"/>
        <v>334119.2200000002</v>
      </c>
      <c r="M499" s="449">
        <v>2872093.52</v>
      </c>
      <c r="N499" s="178">
        <f t="shared" si="212"/>
        <v>0</v>
      </c>
      <c r="O499" s="179">
        <f t="shared" si="215"/>
        <v>334119.2200000002</v>
      </c>
    </row>
    <row r="500" spans="1:15" ht="67.95" outlineLevel="5" x14ac:dyDescent="0.3">
      <c r="A500" s="189" t="s">
        <v>449</v>
      </c>
      <c r="B500" s="392" t="s">
        <v>456</v>
      </c>
      <c r="C500" s="392" t="s">
        <v>109</v>
      </c>
      <c r="D500" s="392" t="s">
        <v>450</v>
      </c>
      <c r="E500" s="392" t="s">
        <v>6</v>
      </c>
      <c r="F500" s="471">
        <f>F501+F503+F505</f>
        <v>2679350.29</v>
      </c>
      <c r="G500" s="462">
        <f>G501+G503+G505</f>
        <v>2711414</v>
      </c>
      <c r="H500" s="462"/>
      <c r="I500" s="462">
        <f>I501+I503+I505</f>
        <v>2761702.66</v>
      </c>
      <c r="J500" s="462">
        <f>J501+J503+J505</f>
        <v>3103517.57</v>
      </c>
      <c r="K500" s="462">
        <f t="shared" si="213"/>
        <v>114.46122097178815</v>
      </c>
      <c r="L500" s="462">
        <f t="shared" si="214"/>
        <v>392103.56999999983</v>
      </c>
      <c r="M500" s="462">
        <f>M501+M503+M505</f>
        <v>3103517.57</v>
      </c>
      <c r="N500" s="178">
        <f t="shared" si="212"/>
        <v>0</v>
      </c>
      <c r="O500" s="179">
        <f t="shared" si="215"/>
        <v>392103.56999999983</v>
      </c>
    </row>
    <row r="501" spans="1:15" ht="101.9" outlineLevel="6" x14ac:dyDescent="0.3">
      <c r="A501" s="189" t="s">
        <v>11</v>
      </c>
      <c r="B501" s="392" t="s">
        <v>456</v>
      </c>
      <c r="C501" s="392" t="s">
        <v>109</v>
      </c>
      <c r="D501" s="392" t="s">
        <v>450</v>
      </c>
      <c r="E501" s="392" t="s">
        <v>12</v>
      </c>
      <c r="F501" s="471">
        <f>F502</f>
        <v>2488444.35</v>
      </c>
      <c r="G501" s="462">
        <f>G502</f>
        <v>2560414</v>
      </c>
      <c r="H501" s="462"/>
      <c r="I501" s="462">
        <f>I502</f>
        <v>2544862.66</v>
      </c>
      <c r="J501" s="462">
        <f>J502</f>
        <v>2871517.57</v>
      </c>
      <c r="K501" s="462">
        <f t="shared" si="213"/>
        <v>112.15051823650393</v>
      </c>
      <c r="L501" s="462">
        <f t="shared" si="214"/>
        <v>311103.56999999983</v>
      </c>
      <c r="M501" s="462">
        <f>M502</f>
        <v>2871517.57</v>
      </c>
      <c r="N501" s="178">
        <f t="shared" si="212"/>
        <v>0</v>
      </c>
      <c r="O501" s="179">
        <f t="shared" si="215"/>
        <v>311103.56999999983</v>
      </c>
    </row>
    <row r="502" spans="1:15" ht="34" outlineLevel="7" x14ac:dyDescent="0.3">
      <c r="A502" s="189" t="s">
        <v>13</v>
      </c>
      <c r="B502" s="392" t="s">
        <v>456</v>
      </c>
      <c r="C502" s="392" t="s">
        <v>109</v>
      </c>
      <c r="D502" s="392" t="s">
        <v>450</v>
      </c>
      <c r="E502" s="392" t="s">
        <v>14</v>
      </c>
      <c r="F502" s="475">
        <v>2488444.35</v>
      </c>
      <c r="G502" s="462">
        <f>'потребность 2023 (5)'!K521</f>
        <v>2560414</v>
      </c>
      <c r="H502" s="462"/>
      <c r="I502" s="462">
        <v>2544862.66</v>
      </c>
      <c r="J502" s="449">
        <v>2871517.57</v>
      </c>
      <c r="K502" s="462">
        <f t="shared" si="213"/>
        <v>112.15051823650393</v>
      </c>
      <c r="L502" s="462">
        <f t="shared" si="214"/>
        <v>311103.56999999983</v>
      </c>
      <c r="M502" s="449">
        <v>2871517.57</v>
      </c>
      <c r="N502" s="178">
        <f t="shared" si="212"/>
        <v>0</v>
      </c>
      <c r="O502" s="179">
        <f t="shared" si="215"/>
        <v>311103.56999999983</v>
      </c>
    </row>
    <row r="503" spans="1:15" ht="34" outlineLevel="7" x14ac:dyDescent="0.3">
      <c r="A503" s="189" t="s">
        <v>15</v>
      </c>
      <c r="B503" s="392" t="s">
        <v>456</v>
      </c>
      <c r="C503" s="392" t="s">
        <v>109</v>
      </c>
      <c r="D503" s="392" t="s">
        <v>450</v>
      </c>
      <c r="E503" s="392" t="s">
        <v>16</v>
      </c>
      <c r="F503" s="471">
        <f>F504</f>
        <v>190905.94</v>
      </c>
      <c r="G503" s="462">
        <f>G504</f>
        <v>146000</v>
      </c>
      <c r="H503" s="462"/>
      <c r="I503" s="462">
        <f>I504</f>
        <v>211840</v>
      </c>
      <c r="J503" s="462">
        <f>J504</f>
        <v>227000</v>
      </c>
      <c r="K503" s="462">
        <f t="shared" si="213"/>
        <v>155.47945205479451</v>
      </c>
      <c r="L503" s="462">
        <f t="shared" si="214"/>
        <v>81000</v>
      </c>
      <c r="M503" s="462">
        <f>M504</f>
        <v>227000</v>
      </c>
      <c r="N503" s="178">
        <f t="shared" si="212"/>
        <v>0</v>
      </c>
      <c r="O503" s="179">
        <f t="shared" si="215"/>
        <v>81000</v>
      </c>
    </row>
    <row r="504" spans="1:15" ht="50.95" outlineLevel="7" x14ac:dyDescent="0.3">
      <c r="A504" s="189" t="s">
        <v>17</v>
      </c>
      <c r="B504" s="392" t="s">
        <v>456</v>
      </c>
      <c r="C504" s="392" t="s">
        <v>109</v>
      </c>
      <c r="D504" s="392" t="s">
        <v>450</v>
      </c>
      <c r="E504" s="392" t="s">
        <v>18</v>
      </c>
      <c r="F504" s="475">
        <v>190905.94</v>
      </c>
      <c r="G504" s="449">
        <f>'потребность 2023 (5)'!K523-20000-80000</f>
        <v>146000</v>
      </c>
      <c r="H504" s="449"/>
      <c r="I504" s="449">
        <v>211840</v>
      </c>
      <c r="J504" s="449">
        <v>227000</v>
      </c>
      <c r="K504" s="462">
        <f t="shared" si="213"/>
        <v>155.47945205479451</v>
      </c>
      <c r="L504" s="462">
        <f t="shared" si="214"/>
        <v>81000</v>
      </c>
      <c r="M504" s="449">
        <v>227000</v>
      </c>
      <c r="N504" s="178">
        <f t="shared" si="212"/>
        <v>0</v>
      </c>
      <c r="O504" s="179">
        <f t="shared" si="215"/>
        <v>81000</v>
      </c>
    </row>
    <row r="505" spans="1:15" outlineLevel="2" x14ac:dyDescent="0.3">
      <c r="A505" s="189" t="s">
        <v>19</v>
      </c>
      <c r="B505" s="392" t="s">
        <v>456</v>
      </c>
      <c r="C505" s="392" t="s">
        <v>109</v>
      </c>
      <c r="D505" s="392" t="s">
        <v>450</v>
      </c>
      <c r="E505" s="392" t="s">
        <v>20</v>
      </c>
      <c r="F505" s="471">
        <f>F506</f>
        <v>0</v>
      </c>
      <c r="G505" s="462">
        <f>G506</f>
        <v>5000</v>
      </c>
      <c r="H505" s="462"/>
      <c r="I505" s="462">
        <f>I506</f>
        <v>5000</v>
      </c>
      <c r="J505" s="462">
        <f>J506</f>
        <v>5000</v>
      </c>
      <c r="K505" s="462">
        <f t="shared" si="213"/>
        <v>100</v>
      </c>
      <c r="L505" s="462">
        <f t="shared" si="214"/>
        <v>0</v>
      </c>
      <c r="M505" s="462">
        <f>M506</f>
        <v>5000</v>
      </c>
      <c r="N505" s="178">
        <f t="shared" si="212"/>
        <v>0</v>
      </c>
      <c r="O505" s="179">
        <f t="shared" si="215"/>
        <v>0</v>
      </c>
    </row>
    <row r="506" spans="1:15" s="224" customFormat="1" outlineLevel="3" x14ac:dyDescent="0.3">
      <c r="A506" s="189" t="s">
        <v>21</v>
      </c>
      <c r="B506" s="392" t="s">
        <v>456</v>
      </c>
      <c r="C506" s="392" t="s">
        <v>109</v>
      </c>
      <c r="D506" s="392" t="s">
        <v>450</v>
      </c>
      <c r="E506" s="392" t="s">
        <v>22</v>
      </c>
      <c r="F506" s="500">
        <v>0</v>
      </c>
      <c r="G506" s="449">
        <f>'потребность 2023 (5)'!K525</f>
        <v>5000</v>
      </c>
      <c r="H506" s="449"/>
      <c r="I506" s="449">
        <v>5000</v>
      </c>
      <c r="J506" s="467">
        <v>5000</v>
      </c>
      <c r="K506" s="462">
        <f t="shared" si="213"/>
        <v>100</v>
      </c>
      <c r="L506" s="462">
        <f t="shared" si="214"/>
        <v>0</v>
      </c>
      <c r="M506" s="467">
        <v>5000</v>
      </c>
      <c r="N506" s="178">
        <f t="shared" si="212"/>
        <v>0</v>
      </c>
      <c r="O506" s="179">
        <f t="shared" si="215"/>
        <v>0</v>
      </c>
    </row>
    <row r="507" spans="1:15" ht="34" outlineLevel="4" x14ac:dyDescent="0.3">
      <c r="A507" s="189" t="s">
        <v>485</v>
      </c>
      <c r="B507" s="392" t="s">
        <v>456</v>
      </c>
      <c r="C507" s="392" t="s">
        <v>109</v>
      </c>
      <c r="D507" s="392" t="s">
        <v>484</v>
      </c>
      <c r="E507" s="392" t="s">
        <v>6</v>
      </c>
      <c r="F507" s="471">
        <f>F508</f>
        <v>180000</v>
      </c>
      <c r="G507" s="462">
        <f t="shared" ref="G507:J508" si="230">G508</f>
        <v>180000</v>
      </c>
      <c r="H507" s="462"/>
      <c r="I507" s="462">
        <f t="shared" si="230"/>
        <v>180000</v>
      </c>
      <c r="J507" s="462">
        <f t="shared" si="230"/>
        <v>180000</v>
      </c>
      <c r="K507" s="462">
        <f t="shared" si="213"/>
        <v>100</v>
      </c>
      <c r="L507" s="462">
        <f t="shared" si="214"/>
        <v>0</v>
      </c>
      <c r="M507" s="462">
        <f t="shared" ref="M507:M508" si="231">M508</f>
        <v>180000</v>
      </c>
      <c r="N507" s="178">
        <f t="shared" si="212"/>
        <v>0</v>
      </c>
      <c r="O507" s="179">
        <f t="shared" si="215"/>
        <v>0</v>
      </c>
    </row>
    <row r="508" spans="1:15" ht="101.9" outlineLevel="5" x14ac:dyDescent="0.3">
      <c r="A508" s="189" t="s">
        <v>11</v>
      </c>
      <c r="B508" s="392" t="s">
        <v>456</v>
      </c>
      <c r="C508" s="392" t="s">
        <v>109</v>
      </c>
      <c r="D508" s="392" t="s">
        <v>484</v>
      </c>
      <c r="E508" s="392" t="s">
        <v>12</v>
      </c>
      <c r="F508" s="471">
        <f>F509</f>
        <v>180000</v>
      </c>
      <c r="G508" s="462">
        <f t="shared" si="230"/>
        <v>180000</v>
      </c>
      <c r="H508" s="462"/>
      <c r="I508" s="462">
        <f t="shared" si="230"/>
        <v>180000</v>
      </c>
      <c r="J508" s="462">
        <f t="shared" si="230"/>
        <v>180000</v>
      </c>
      <c r="K508" s="462">
        <f t="shared" si="213"/>
        <v>100</v>
      </c>
      <c r="L508" s="462">
        <f t="shared" si="214"/>
        <v>0</v>
      </c>
      <c r="M508" s="462">
        <f t="shared" si="231"/>
        <v>180000</v>
      </c>
      <c r="N508" s="178">
        <f t="shared" si="212"/>
        <v>0</v>
      </c>
      <c r="O508" s="179">
        <f t="shared" si="215"/>
        <v>0</v>
      </c>
    </row>
    <row r="509" spans="1:15" ht="31.75" customHeight="1" outlineLevel="6" x14ac:dyDescent="0.3">
      <c r="A509" s="189" t="s">
        <v>13</v>
      </c>
      <c r="B509" s="392" t="s">
        <v>456</v>
      </c>
      <c r="C509" s="392" t="s">
        <v>109</v>
      </c>
      <c r="D509" s="392" t="s">
        <v>484</v>
      </c>
      <c r="E509" s="392" t="s">
        <v>14</v>
      </c>
      <c r="F509" s="475">
        <v>180000</v>
      </c>
      <c r="G509" s="449">
        <f>'потребность 2023 (5)'!K528</f>
        <v>180000</v>
      </c>
      <c r="H509" s="449"/>
      <c r="I509" s="449">
        <v>180000</v>
      </c>
      <c r="J509" s="462">
        <v>180000</v>
      </c>
      <c r="K509" s="462">
        <f t="shared" si="213"/>
        <v>100</v>
      </c>
      <c r="L509" s="462">
        <f t="shared" si="214"/>
        <v>0</v>
      </c>
      <c r="M509" s="462">
        <v>180000</v>
      </c>
      <c r="N509" s="178">
        <f t="shared" si="212"/>
        <v>0</v>
      </c>
      <c r="O509" s="179">
        <f t="shared" si="215"/>
        <v>0</v>
      </c>
    </row>
    <row r="510" spans="1:15" s="461" customFormat="1" x14ac:dyDescent="0.3">
      <c r="A510" s="189" t="s">
        <v>23</v>
      </c>
      <c r="B510" s="392" t="s">
        <v>456</v>
      </c>
      <c r="C510" s="392" t="s">
        <v>24</v>
      </c>
      <c r="D510" s="392" t="s">
        <v>126</v>
      </c>
      <c r="E510" s="392" t="s">
        <v>6</v>
      </c>
      <c r="F510" s="471">
        <f>F511+F516</f>
        <v>152745.5</v>
      </c>
      <c r="G510" s="462">
        <f>G511+G516</f>
        <v>217280</v>
      </c>
      <c r="H510" s="462"/>
      <c r="I510" s="462">
        <f>I511+I516</f>
        <v>142772</v>
      </c>
      <c r="J510" s="462">
        <f>J511+J516</f>
        <v>153000</v>
      </c>
      <c r="K510" s="462">
        <f t="shared" si="213"/>
        <v>70.416053019145807</v>
      </c>
      <c r="L510" s="462">
        <f t="shared" si="214"/>
        <v>-64280</v>
      </c>
      <c r="M510" s="462">
        <f>M511+M516</f>
        <v>153000</v>
      </c>
      <c r="N510" s="178">
        <f t="shared" si="212"/>
        <v>0</v>
      </c>
      <c r="O510" s="179">
        <f t="shared" si="215"/>
        <v>-64280</v>
      </c>
    </row>
    <row r="511" spans="1:15" s="224" customFormat="1" ht="50.95" outlineLevel="1" x14ac:dyDescent="0.3">
      <c r="A511" s="233" t="s">
        <v>1020</v>
      </c>
      <c r="B511" s="397" t="s">
        <v>456</v>
      </c>
      <c r="C511" s="397" t="s">
        <v>24</v>
      </c>
      <c r="D511" s="397" t="s">
        <v>128</v>
      </c>
      <c r="E511" s="397" t="s">
        <v>6</v>
      </c>
      <c r="F511" s="473">
        <f t="shared" ref="F511:J514" si="232">F512</f>
        <v>0</v>
      </c>
      <c r="G511" s="465">
        <f t="shared" si="232"/>
        <v>13620</v>
      </c>
      <c r="H511" s="465"/>
      <c r="I511" s="465">
        <f t="shared" si="232"/>
        <v>34612</v>
      </c>
      <c r="J511" s="462">
        <f t="shared" si="232"/>
        <v>21000</v>
      </c>
      <c r="K511" s="462">
        <f t="shared" si="213"/>
        <v>154.18502202643171</v>
      </c>
      <c r="L511" s="462">
        <f t="shared" si="214"/>
        <v>7380</v>
      </c>
      <c r="M511" s="462">
        <f t="shared" ref="M511:M514" si="233">M512</f>
        <v>21000</v>
      </c>
      <c r="N511" s="178">
        <f t="shared" si="212"/>
        <v>0</v>
      </c>
      <c r="O511" s="179">
        <f t="shared" si="215"/>
        <v>7380</v>
      </c>
    </row>
    <row r="512" spans="1:15" ht="50.95" outlineLevel="2" x14ac:dyDescent="0.3">
      <c r="A512" s="189" t="s">
        <v>729</v>
      </c>
      <c r="B512" s="392" t="s">
        <v>456</v>
      </c>
      <c r="C512" s="392" t="s">
        <v>24</v>
      </c>
      <c r="D512" s="392" t="s">
        <v>303</v>
      </c>
      <c r="E512" s="392" t="s">
        <v>6</v>
      </c>
      <c r="F512" s="471">
        <f t="shared" si="232"/>
        <v>0</v>
      </c>
      <c r="G512" s="462">
        <f t="shared" si="232"/>
        <v>13620</v>
      </c>
      <c r="H512" s="462"/>
      <c r="I512" s="462">
        <f t="shared" si="232"/>
        <v>34612</v>
      </c>
      <c r="J512" s="462">
        <f t="shared" si="232"/>
        <v>21000</v>
      </c>
      <c r="K512" s="462">
        <f t="shared" si="213"/>
        <v>154.18502202643171</v>
      </c>
      <c r="L512" s="462">
        <f t="shared" si="214"/>
        <v>7380</v>
      </c>
      <c r="M512" s="462">
        <f t="shared" si="233"/>
        <v>21000</v>
      </c>
      <c r="N512" s="178">
        <f t="shared" si="212"/>
        <v>0</v>
      </c>
      <c r="O512" s="179">
        <f t="shared" si="215"/>
        <v>7380</v>
      </c>
    </row>
    <row r="513" spans="1:15" s="224" customFormat="1" outlineLevel="3" x14ac:dyDescent="0.3">
      <c r="A513" s="189" t="s">
        <v>309</v>
      </c>
      <c r="B513" s="392" t="s">
        <v>456</v>
      </c>
      <c r="C513" s="392" t="s">
        <v>24</v>
      </c>
      <c r="D513" s="392" t="s">
        <v>304</v>
      </c>
      <c r="E513" s="392" t="s">
        <v>6</v>
      </c>
      <c r="F513" s="471">
        <f t="shared" si="232"/>
        <v>0</v>
      </c>
      <c r="G513" s="462">
        <f t="shared" si="232"/>
        <v>13620</v>
      </c>
      <c r="H513" s="462"/>
      <c r="I513" s="462">
        <f t="shared" si="232"/>
        <v>34612</v>
      </c>
      <c r="J513" s="462">
        <f t="shared" si="232"/>
        <v>21000</v>
      </c>
      <c r="K513" s="462">
        <f t="shared" si="213"/>
        <v>154.18502202643171</v>
      </c>
      <c r="L513" s="462">
        <f t="shared" si="214"/>
        <v>7380</v>
      </c>
      <c r="M513" s="462">
        <f t="shared" si="233"/>
        <v>21000</v>
      </c>
      <c r="N513" s="178">
        <f t="shared" si="212"/>
        <v>0</v>
      </c>
      <c r="O513" s="179">
        <f t="shared" si="215"/>
        <v>7380</v>
      </c>
    </row>
    <row r="514" spans="1:15" ht="34" outlineLevel="4" x14ac:dyDescent="0.3">
      <c r="A514" s="189" t="s">
        <v>15</v>
      </c>
      <c r="B514" s="392" t="s">
        <v>456</v>
      </c>
      <c r="C514" s="392" t="s">
        <v>24</v>
      </c>
      <c r="D514" s="392" t="s">
        <v>304</v>
      </c>
      <c r="E514" s="392" t="s">
        <v>16</v>
      </c>
      <c r="F514" s="471">
        <f t="shared" si="232"/>
        <v>0</v>
      </c>
      <c r="G514" s="462">
        <f t="shared" si="232"/>
        <v>13620</v>
      </c>
      <c r="H514" s="462"/>
      <c r="I514" s="462">
        <f t="shared" si="232"/>
        <v>34612</v>
      </c>
      <c r="J514" s="462">
        <f t="shared" si="232"/>
        <v>21000</v>
      </c>
      <c r="K514" s="462">
        <f t="shared" si="213"/>
        <v>154.18502202643171</v>
      </c>
      <c r="L514" s="462">
        <f t="shared" si="214"/>
        <v>7380</v>
      </c>
      <c r="M514" s="462">
        <f t="shared" si="233"/>
        <v>21000</v>
      </c>
      <c r="N514" s="178">
        <f t="shared" si="212"/>
        <v>0</v>
      </c>
      <c r="O514" s="179">
        <f t="shared" si="215"/>
        <v>7380</v>
      </c>
    </row>
    <row r="515" spans="1:15" ht="50.95" outlineLevel="4" x14ac:dyDescent="0.3">
      <c r="A515" s="189" t="s">
        <v>17</v>
      </c>
      <c r="B515" s="392" t="s">
        <v>456</v>
      </c>
      <c r="C515" s="392" t="s">
        <v>24</v>
      </c>
      <c r="D515" s="392" t="s">
        <v>304</v>
      </c>
      <c r="E515" s="392" t="s">
        <v>18</v>
      </c>
      <c r="F515" s="486">
        <v>0</v>
      </c>
      <c r="G515" s="462">
        <f>'потребность 2023 (5)'!K539-19660</f>
        <v>13620</v>
      </c>
      <c r="H515" s="462"/>
      <c r="I515" s="462">
        <v>34612</v>
      </c>
      <c r="J515" s="449">
        <v>21000</v>
      </c>
      <c r="K515" s="462">
        <f t="shared" si="213"/>
        <v>154.18502202643171</v>
      </c>
      <c r="L515" s="462">
        <f t="shared" si="214"/>
        <v>7380</v>
      </c>
      <c r="M515" s="449">
        <v>21000</v>
      </c>
      <c r="N515" s="178">
        <f t="shared" si="212"/>
        <v>0</v>
      </c>
      <c r="O515" s="179">
        <f t="shared" si="215"/>
        <v>7380</v>
      </c>
    </row>
    <row r="516" spans="1:15" ht="34" outlineLevel="5" x14ac:dyDescent="0.3">
      <c r="A516" s="233" t="s">
        <v>132</v>
      </c>
      <c r="B516" s="397" t="s">
        <v>456</v>
      </c>
      <c r="C516" s="397" t="s">
        <v>24</v>
      </c>
      <c r="D516" s="397" t="s">
        <v>127</v>
      </c>
      <c r="E516" s="397" t="s">
        <v>6</v>
      </c>
      <c r="F516" s="477">
        <f t="shared" ref="F516:J518" si="234">F517</f>
        <v>152745.5</v>
      </c>
      <c r="G516" s="467">
        <f t="shared" si="234"/>
        <v>203660</v>
      </c>
      <c r="H516" s="467"/>
      <c r="I516" s="467">
        <f t="shared" si="234"/>
        <v>108160</v>
      </c>
      <c r="J516" s="467">
        <f t="shared" si="234"/>
        <v>132000</v>
      </c>
      <c r="K516" s="462">
        <f t="shared" si="213"/>
        <v>64.813905528822545</v>
      </c>
      <c r="L516" s="462">
        <f t="shared" si="214"/>
        <v>-71660</v>
      </c>
      <c r="M516" s="467">
        <f t="shared" ref="M516:M518" si="235">M517</f>
        <v>132000</v>
      </c>
      <c r="N516" s="178">
        <f t="shared" si="212"/>
        <v>0</v>
      </c>
      <c r="O516" s="179">
        <f t="shared" si="215"/>
        <v>-71660</v>
      </c>
    </row>
    <row r="517" spans="1:15" ht="34" outlineLevel="6" x14ac:dyDescent="0.3">
      <c r="A517" s="189" t="s">
        <v>486</v>
      </c>
      <c r="B517" s="392" t="s">
        <v>456</v>
      </c>
      <c r="C517" s="392" t="s">
        <v>24</v>
      </c>
      <c r="D517" s="240">
        <v>9909970201</v>
      </c>
      <c r="E517" s="392" t="s">
        <v>6</v>
      </c>
      <c r="F517" s="476">
        <f t="shared" si="234"/>
        <v>152745.5</v>
      </c>
      <c r="G517" s="449">
        <f t="shared" si="234"/>
        <v>203660</v>
      </c>
      <c r="H517" s="449"/>
      <c r="I517" s="449">
        <f t="shared" si="234"/>
        <v>108160</v>
      </c>
      <c r="J517" s="449">
        <f t="shared" si="234"/>
        <v>132000</v>
      </c>
      <c r="K517" s="462">
        <f t="shared" si="213"/>
        <v>64.813905528822545</v>
      </c>
      <c r="L517" s="462">
        <f t="shared" si="214"/>
        <v>-71660</v>
      </c>
      <c r="M517" s="449">
        <f t="shared" si="235"/>
        <v>132000</v>
      </c>
      <c r="N517" s="178">
        <f t="shared" si="212"/>
        <v>0</v>
      </c>
      <c r="O517" s="179">
        <f t="shared" si="215"/>
        <v>-71660</v>
      </c>
    </row>
    <row r="518" spans="1:15" ht="34" outlineLevel="7" x14ac:dyDescent="0.3">
      <c r="A518" s="189" t="s">
        <v>15</v>
      </c>
      <c r="B518" s="392" t="s">
        <v>456</v>
      </c>
      <c r="C518" s="392" t="s">
        <v>24</v>
      </c>
      <c r="D518" s="240">
        <v>9909970201</v>
      </c>
      <c r="E518" s="392" t="s">
        <v>16</v>
      </c>
      <c r="F518" s="476">
        <f t="shared" si="234"/>
        <v>152745.5</v>
      </c>
      <c r="G518" s="449">
        <f t="shared" si="234"/>
        <v>203660</v>
      </c>
      <c r="H518" s="449"/>
      <c r="I518" s="449">
        <f t="shared" si="234"/>
        <v>108160</v>
      </c>
      <c r="J518" s="449">
        <f t="shared" si="234"/>
        <v>132000</v>
      </c>
      <c r="K518" s="462">
        <f t="shared" si="213"/>
        <v>64.813905528822545</v>
      </c>
      <c r="L518" s="462">
        <f t="shared" si="214"/>
        <v>-71660</v>
      </c>
      <c r="M518" s="449">
        <f t="shared" si="235"/>
        <v>132000</v>
      </c>
      <c r="N518" s="178">
        <f t="shared" si="212"/>
        <v>0</v>
      </c>
      <c r="O518" s="179">
        <f t="shared" si="215"/>
        <v>-71660</v>
      </c>
    </row>
    <row r="519" spans="1:15" ht="45" customHeight="1" outlineLevel="7" x14ac:dyDescent="0.3">
      <c r="A519" s="189" t="s">
        <v>17</v>
      </c>
      <c r="B519" s="392" t="s">
        <v>456</v>
      </c>
      <c r="C519" s="392" t="s">
        <v>24</v>
      </c>
      <c r="D519" s="240">
        <v>9909970201</v>
      </c>
      <c r="E519" s="392" t="s">
        <v>18</v>
      </c>
      <c r="F519" s="475">
        <v>152745.5</v>
      </c>
      <c r="G519" s="462">
        <f>'потребность 2023 (5)'!K543+99660</f>
        <v>203660</v>
      </c>
      <c r="H519" s="462"/>
      <c r="I519" s="462">
        <v>108160</v>
      </c>
      <c r="J519" s="449">
        <v>132000</v>
      </c>
      <c r="K519" s="462">
        <f t="shared" si="213"/>
        <v>64.813905528822545</v>
      </c>
      <c r="L519" s="462">
        <f t="shared" si="214"/>
        <v>-71660</v>
      </c>
      <c r="M519" s="449">
        <v>132000</v>
      </c>
      <c r="N519" s="178">
        <f t="shared" si="212"/>
        <v>0</v>
      </c>
      <c r="O519" s="179">
        <f t="shared" si="215"/>
        <v>-71660</v>
      </c>
    </row>
    <row r="520" spans="1:15" ht="50.95" outlineLevel="7" x14ac:dyDescent="0.3">
      <c r="A520" s="186" t="s">
        <v>498</v>
      </c>
      <c r="B520" s="458" t="s">
        <v>490</v>
      </c>
      <c r="C520" s="458" t="s">
        <v>5</v>
      </c>
      <c r="D520" s="458" t="s">
        <v>126</v>
      </c>
      <c r="E520" s="458" t="s">
        <v>6</v>
      </c>
      <c r="F520" s="481">
        <f>F521+F653+F669</f>
        <v>85054076.280000001</v>
      </c>
      <c r="G520" s="459">
        <f>G521+G688+G704</f>
        <v>224516761.55000001</v>
      </c>
      <c r="H520" s="459"/>
      <c r="I520" s="459">
        <f>I521+I688+I704</f>
        <v>200991035.39000002</v>
      </c>
      <c r="J520" s="459">
        <f>J521+J688+J704</f>
        <v>258983152.15000004</v>
      </c>
      <c r="K520" s="462">
        <f t="shared" si="213"/>
        <v>115.35136635770704</v>
      </c>
      <c r="L520" s="462">
        <f t="shared" si="214"/>
        <v>34466390.600000024</v>
      </c>
      <c r="M520" s="459">
        <f>M521+M688+M704</f>
        <v>248684420.15000001</v>
      </c>
      <c r="N520" s="178">
        <f t="shared" ref="N520:N583" si="236">M520-J520</f>
        <v>-10298732.00000003</v>
      </c>
      <c r="O520" s="179">
        <f t="shared" si="215"/>
        <v>24167658.599999994</v>
      </c>
    </row>
    <row r="521" spans="1:15" outlineLevel="7" x14ac:dyDescent="0.3">
      <c r="A521" s="233" t="s">
        <v>69</v>
      </c>
      <c r="B521" s="397" t="s">
        <v>490</v>
      </c>
      <c r="C521" s="397" t="s">
        <v>70</v>
      </c>
      <c r="D521" s="397" t="s">
        <v>126</v>
      </c>
      <c r="E521" s="397" t="s">
        <v>6</v>
      </c>
      <c r="F521" s="473">
        <f>F522+F545+F610+F590</f>
        <v>69626315.329999998</v>
      </c>
      <c r="G521" s="465">
        <f>G522+G560+G637+G659+G610</f>
        <v>222901461.55000001</v>
      </c>
      <c r="H521" s="465"/>
      <c r="I521" s="465">
        <f>I522+I560+I637+I659+I610</f>
        <v>200991035.39000002</v>
      </c>
      <c r="J521" s="465">
        <f>J522+J560+J637+J659+J610</f>
        <v>257083152.15000004</v>
      </c>
      <c r="K521" s="462">
        <f t="shared" ref="K521:K584" si="237">J521/G521*100</f>
        <v>115.33488850288789</v>
      </c>
      <c r="L521" s="462">
        <f t="shared" ref="L521:L584" si="238">J521-G521</f>
        <v>34181690.600000024</v>
      </c>
      <c r="M521" s="465">
        <f>M522+M560+M637+M659+M610</f>
        <v>246784420.15000001</v>
      </c>
      <c r="N521" s="178">
        <f t="shared" si="236"/>
        <v>-10298732.00000003</v>
      </c>
      <c r="O521" s="179">
        <f t="shared" ref="O521:O584" si="239">M521-G521</f>
        <v>23882958.599999994</v>
      </c>
    </row>
    <row r="522" spans="1:15" outlineLevel="7" x14ac:dyDescent="0.3">
      <c r="A522" s="189" t="s">
        <v>110</v>
      </c>
      <c r="B522" s="392" t="s">
        <v>490</v>
      </c>
      <c r="C522" s="392" t="s">
        <v>111</v>
      </c>
      <c r="D522" s="392" t="s">
        <v>126</v>
      </c>
      <c r="E522" s="392" t="s">
        <v>6</v>
      </c>
      <c r="F522" s="471">
        <f>F523</f>
        <v>43562077.859999999</v>
      </c>
      <c r="G522" s="462">
        <f t="shared" ref="G522:J523" si="240">G523</f>
        <v>60001396.549999997</v>
      </c>
      <c r="H522" s="462"/>
      <c r="I522" s="462">
        <f t="shared" si="240"/>
        <v>49423001.300000004</v>
      </c>
      <c r="J522" s="462">
        <f t="shared" si="240"/>
        <v>60251377.210000001</v>
      </c>
      <c r="K522" s="462">
        <f t="shared" si="237"/>
        <v>100.41662473604542</v>
      </c>
      <c r="L522" s="462">
        <f t="shared" si="238"/>
        <v>249980.66000000387</v>
      </c>
      <c r="M522" s="462">
        <f t="shared" ref="M522:M523" si="241">M523</f>
        <v>58828377.210000001</v>
      </c>
      <c r="N522" s="178">
        <f t="shared" si="236"/>
        <v>-1423000</v>
      </c>
      <c r="O522" s="179">
        <f t="shared" si="239"/>
        <v>-1173019.3399999961</v>
      </c>
    </row>
    <row r="523" spans="1:15" ht="50.95" outlineLevel="7" x14ac:dyDescent="0.3">
      <c r="A523" s="233" t="s">
        <v>1017</v>
      </c>
      <c r="B523" s="397" t="s">
        <v>490</v>
      </c>
      <c r="C523" s="397" t="s">
        <v>111</v>
      </c>
      <c r="D523" s="397" t="s">
        <v>138</v>
      </c>
      <c r="E523" s="397" t="s">
        <v>6</v>
      </c>
      <c r="F523" s="473">
        <f>F524</f>
        <v>43562077.859999999</v>
      </c>
      <c r="G523" s="465">
        <f t="shared" si="240"/>
        <v>60001396.549999997</v>
      </c>
      <c r="H523" s="465"/>
      <c r="I523" s="465">
        <f t="shared" si="240"/>
        <v>49423001.300000004</v>
      </c>
      <c r="J523" s="465">
        <f t="shared" si="240"/>
        <v>60251377.210000001</v>
      </c>
      <c r="K523" s="462">
        <f t="shared" si="237"/>
        <v>100.41662473604542</v>
      </c>
      <c r="L523" s="462">
        <f t="shared" si="238"/>
        <v>249980.66000000387</v>
      </c>
      <c r="M523" s="465">
        <f t="shared" si="241"/>
        <v>58828377.210000001</v>
      </c>
      <c r="N523" s="178">
        <f t="shared" si="236"/>
        <v>-1423000</v>
      </c>
      <c r="O523" s="179">
        <f t="shared" si="239"/>
        <v>-1173019.3399999961</v>
      </c>
    </row>
    <row r="524" spans="1:15" ht="50.95" outlineLevel="7" x14ac:dyDescent="0.3">
      <c r="A524" s="189" t="s">
        <v>1038</v>
      </c>
      <c r="B524" s="392" t="s">
        <v>490</v>
      </c>
      <c r="C524" s="392" t="s">
        <v>111</v>
      </c>
      <c r="D524" s="392" t="s">
        <v>139</v>
      </c>
      <c r="E524" s="392" t="s">
        <v>6</v>
      </c>
      <c r="F524" s="471">
        <f>F525+F532</f>
        <v>43562077.859999999</v>
      </c>
      <c r="G524" s="462">
        <f>G525+G532</f>
        <v>60001396.549999997</v>
      </c>
      <c r="H524" s="462"/>
      <c r="I524" s="462">
        <f>I525+I532</f>
        <v>49423001.300000004</v>
      </c>
      <c r="J524" s="462">
        <f>J525+J532</f>
        <v>60251377.210000001</v>
      </c>
      <c r="K524" s="462">
        <f t="shared" si="237"/>
        <v>100.41662473604542</v>
      </c>
      <c r="L524" s="462">
        <f t="shared" si="238"/>
        <v>249980.66000000387</v>
      </c>
      <c r="M524" s="462">
        <f>M525+M532</f>
        <v>58828377.210000001</v>
      </c>
      <c r="N524" s="178">
        <f t="shared" si="236"/>
        <v>-1423000</v>
      </c>
      <c r="O524" s="179">
        <f t="shared" si="239"/>
        <v>-1173019.3399999961</v>
      </c>
    </row>
    <row r="525" spans="1:15" ht="50.95" outlineLevel="7" x14ac:dyDescent="0.3">
      <c r="A525" s="189" t="s">
        <v>200</v>
      </c>
      <c r="B525" s="392" t="s">
        <v>490</v>
      </c>
      <c r="C525" s="392" t="s">
        <v>111</v>
      </c>
      <c r="D525" s="392" t="s">
        <v>216</v>
      </c>
      <c r="E525" s="392" t="s">
        <v>6</v>
      </c>
      <c r="F525" s="471">
        <f>F526+F529</f>
        <v>43562077.859999999</v>
      </c>
      <c r="G525" s="462">
        <f>G526+G529</f>
        <v>52633669.18</v>
      </c>
      <c r="H525" s="462"/>
      <c r="I525" s="462">
        <f>I526+I529</f>
        <v>48688062.090000004</v>
      </c>
      <c r="J525" s="462">
        <f>J526+J529</f>
        <v>59616438</v>
      </c>
      <c r="K525" s="462">
        <f t="shared" si="237"/>
        <v>113.26673387735877</v>
      </c>
      <c r="L525" s="462">
        <f t="shared" si="238"/>
        <v>6982768.8200000003</v>
      </c>
      <c r="M525" s="462">
        <f>M526+M529</f>
        <v>58193438</v>
      </c>
      <c r="N525" s="178">
        <f t="shared" si="236"/>
        <v>-1423000</v>
      </c>
      <c r="O525" s="179">
        <f t="shared" si="239"/>
        <v>5559768.8200000003</v>
      </c>
    </row>
    <row r="526" spans="1:15" ht="67.95" outlineLevel="7" x14ac:dyDescent="0.3">
      <c r="A526" s="189" t="s">
        <v>113</v>
      </c>
      <c r="B526" s="392" t="s">
        <v>490</v>
      </c>
      <c r="C526" s="392" t="s">
        <v>111</v>
      </c>
      <c r="D526" s="392" t="s">
        <v>144</v>
      </c>
      <c r="E526" s="392" t="s">
        <v>6</v>
      </c>
      <c r="F526" s="471">
        <f>F527</f>
        <v>43562077.859999999</v>
      </c>
      <c r="G526" s="462">
        <f t="shared" ref="G526:J527" si="242">G527</f>
        <v>52633669.18</v>
      </c>
      <c r="H526" s="462"/>
      <c r="I526" s="462">
        <f t="shared" si="242"/>
        <v>48688062.090000004</v>
      </c>
      <c r="J526" s="462">
        <f t="shared" si="242"/>
        <v>59616438</v>
      </c>
      <c r="K526" s="462">
        <f t="shared" si="237"/>
        <v>113.26673387735877</v>
      </c>
      <c r="L526" s="462">
        <f t="shared" si="238"/>
        <v>6982768.8200000003</v>
      </c>
      <c r="M526" s="462">
        <f t="shared" ref="M526:M527" si="243">M527</f>
        <v>58193438</v>
      </c>
      <c r="N526" s="178">
        <f t="shared" si="236"/>
        <v>-1423000</v>
      </c>
      <c r="O526" s="179">
        <f t="shared" si="239"/>
        <v>5559768.8200000003</v>
      </c>
    </row>
    <row r="527" spans="1:15" ht="50.95" outlineLevel="7" x14ac:dyDescent="0.3">
      <c r="A527" s="189" t="s">
        <v>37</v>
      </c>
      <c r="B527" s="392" t="s">
        <v>490</v>
      </c>
      <c r="C527" s="392" t="s">
        <v>111</v>
      </c>
      <c r="D527" s="392" t="s">
        <v>144</v>
      </c>
      <c r="E527" s="392" t="s">
        <v>38</v>
      </c>
      <c r="F527" s="471">
        <f>F528</f>
        <v>43562077.859999999</v>
      </c>
      <c r="G527" s="462">
        <f t="shared" si="242"/>
        <v>52633669.18</v>
      </c>
      <c r="H527" s="462"/>
      <c r="I527" s="462">
        <f t="shared" si="242"/>
        <v>48688062.090000004</v>
      </c>
      <c r="J527" s="462">
        <f t="shared" si="242"/>
        <v>59616438</v>
      </c>
      <c r="K527" s="462">
        <f t="shared" si="237"/>
        <v>113.26673387735877</v>
      </c>
      <c r="L527" s="462">
        <f t="shared" si="238"/>
        <v>6982768.8200000003</v>
      </c>
      <c r="M527" s="462">
        <f t="shared" si="243"/>
        <v>58193438</v>
      </c>
      <c r="N527" s="178">
        <f t="shared" si="236"/>
        <v>-1423000</v>
      </c>
      <c r="O527" s="179">
        <f t="shared" si="239"/>
        <v>5559768.8200000003</v>
      </c>
    </row>
    <row r="528" spans="1:15" outlineLevel="7" x14ac:dyDescent="0.3">
      <c r="A528" s="189" t="s">
        <v>74</v>
      </c>
      <c r="B528" s="392" t="s">
        <v>490</v>
      </c>
      <c r="C528" s="392" t="s">
        <v>111</v>
      </c>
      <c r="D528" s="392" t="s">
        <v>144</v>
      </c>
      <c r="E528" s="392" t="s">
        <v>75</v>
      </c>
      <c r="F528" s="475">
        <v>43562077.859999999</v>
      </c>
      <c r="G528" s="449">
        <f>'потребность 2023 (5)'!K557+3522880-390000+581100+3.88</f>
        <v>52633669.18</v>
      </c>
      <c r="H528" s="449"/>
      <c r="I528" s="449">
        <v>48688062.090000004</v>
      </c>
      <c r="J528" s="449">
        <v>59616438</v>
      </c>
      <c r="K528" s="462">
        <f t="shared" si="237"/>
        <v>113.26673387735877</v>
      </c>
      <c r="L528" s="462">
        <f t="shared" si="238"/>
        <v>6982768.8200000003</v>
      </c>
      <c r="M528" s="449">
        <f>59616438-1423000</f>
        <v>58193438</v>
      </c>
      <c r="N528" s="178">
        <f t="shared" si="236"/>
        <v>-1423000</v>
      </c>
      <c r="O528" s="179">
        <f t="shared" si="239"/>
        <v>5559768.8200000003</v>
      </c>
    </row>
    <row r="529" spans="1:15" ht="84.9" hidden="1" outlineLevel="7" x14ac:dyDescent="0.3">
      <c r="A529" s="202" t="s">
        <v>935</v>
      </c>
      <c r="B529" s="392" t="s">
        <v>490</v>
      </c>
      <c r="C529" s="392" t="s">
        <v>111</v>
      </c>
      <c r="D529" s="392" t="s">
        <v>145</v>
      </c>
      <c r="E529" s="392" t="s">
        <v>6</v>
      </c>
      <c r="F529" s="471">
        <f>F530</f>
        <v>0</v>
      </c>
      <c r="G529" s="462">
        <f t="shared" ref="G529:J530" si="244">G530</f>
        <v>0</v>
      </c>
      <c r="H529" s="462"/>
      <c r="I529" s="462">
        <f t="shared" si="244"/>
        <v>0</v>
      </c>
      <c r="J529" s="462">
        <f t="shared" si="244"/>
        <v>0</v>
      </c>
      <c r="K529" s="462" t="e">
        <f t="shared" si="237"/>
        <v>#DIV/0!</v>
      </c>
      <c r="L529" s="462">
        <f t="shared" si="238"/>
        <v>0</v>
      </c>
      <c r="M529" s="462">
        <f t="shared" ref="M529:M530" si="245">M530</f>
        <v>0</v>
      </c>
      <c r="N529" s="178">
        <f t="shared" si="236"/>
        <v>0</v>
      </c>
      <c r="O529" s="179">
        <f t="shared" si="239"/>
        <v>0</v>
      </c>
    </row>
    <row r="530" spans="1:15" ht="50.95" hidden="1" outlineLevel="7" x14ac:dyDescent="0.3">
      <c r="A530" s="189" t="s">
        <v>37</v>
      </c>
      <c r="B530" s="392" t="s">
        <v>490</v>
      </c>
      <c r="C530" s="392" t="s">
        <v>111</v>
      </c>
      <c r="D530" s="392" t="s">
        <v>145</v>
      </c>
      <c r="E530" s="392" t="s">
        <v>38</v>
      </c>
      <c r="F530" s="471">
        <f>F531</f>
        <v>0</v>
      </c>
      <c r="G530" s="462">
        <f t="shared" si="244"/>
        <v>0</v>
      </c>
      <c r="H530" s="462"/>
      <c r="I530" s="462">
        <f t="shared" si="244"/>
        <v>0</v>
      </c>
      <c r="J530" s="462">
        <f t="shared" si="244"/>
        <v>0</v>
      </c>
      <c r="K530" s="462" t="e">
        <f t="shared" si="237"/>
        <v>#DIV/0!</v>
      </c>
      <c r="L530" s="462">
        <f t="shared" si="238"/>
        <v>0</v>
      </c>
      <c r="M530" s="462">
        <f t="shared" si="245"/>
        <v>0</v>
      </c>
      <c r="N530" s="178">
        <f t="shared" si="236"/>
        <v>0</v>
      </c>
      <c r="O530" s="179">
        <f t="shared" si="239"/>
        <v>0</v>
      </c>
    </row>
    <row r="531" spans="1:15" ht="24.8" hidden="1" customHeight="1" outlineLevel="7" x14ac:dyDescent="0.3">
      <c r="A531" s="189" t="s">
        <v>74</v>
      </c>
      <c r="B531" s="392" t="s">
        <v>490</v>
      </c>
      <c r="C531" s="392" t="s">
        <v>111</v>
      </c>
      <c r="D531" s="392" t="s">
        <v>145</v>
      </c>
      <c r="E531" s="392" t="s">
        <v>75</v>
      </c>
      <c r="F531" s="475">
        <v>0</v>
      </c>
      <c r="G531" s="449">
        <v>0</v>
      </c>
      <c r="H531" s="449"/>
      <c r="I531" s="449">
        <v>0</v>
      </c>
      <c r="J531" s="449"/>
      <c r="K531" s="462" t="e">
        <f t="shared" si="237"/>
        <v>#DIV/0!</v>
      </c>
      <c r="L531" s="462">
        <f t="shared" si="238"/>
        <v>0</v>
      </c>
      <c r="M531" s="449"/>
      <c r="N531" s="178">
        <f t="shared" si="236"/>
        <v>0</v>
      </c>
      <c r="O531" s="179">
        <f t="shared" si="239"/>
        <v>0</v>
      </c>
    </row>
    <row r="532" spans="1:15" ht="34" outlineLevel="7" x14ac:dyDescent="0.3">
      <c r="A532" s="189" t="s">
        <v>201</v>
      </c>
      <c r="B532" s="392" t="s">
        <v>490</v>
      </c>
      <c r="C532" s="392" t="s">
        <v>111</v>
      </c>
      <c r="D532" s="392" t="s">
        <v>218</v>
      </c>
      <c r="E532" s="392" t="s">
        <v>6</v>
      </c>
      <c r="F532" s="462"/>
      <c r="G532" s="449">
        <f>G557+G533+G536+G539+G548+G551+G545+G542</f>
        <v>7367727.3700000001</v>
      </c>
      <c r="H532" s="449"/>
      <c r="I532" s="449">
        <f>I557+I533+I536+I539+I548+I551+I545+I542</f>
        <v>734939.21</v>
      </c>
      <c r="J532" s="449">
        <f>J557+J533+J536+J539+J548+J551+J545+J542</f>
        <v>634939.21</v>
      </c>
      <c r="K532" s="462">
        <f t="shared" si="237"/>
        <v>8.6178434422716688</v>
      </c>
      <c r="L532" s="462">
        <f t="shared" si="238"/>
        <v>-6732788.1600000001</v>
      </c>
      <c r="M532" s="449">
        <f>M557+M533+M536+M539+M548+M551+M545+M542</f>
        <v>634939.21</v>
      </c>
      <c r="N532" s="178">
        <f t="shared" si="236"/>
        <v>0</v>
      </c>
      <c r="O532" s="179">
        <f t="shared" si="239"/>
        <v>-6732788.1600000001</v>
      </c>
    </row>
    <row r="533" spans="1:15" ht="50.95" hidden="1" outlineLevel="7" x14ac:dyDescent="0.3">
      <c r="A533" s="189" t="s">
        <v>274</v>
      </c>
      <c r="B533" s="392" t="s">
        <v>490</v>
      </c>
      <c r="C533" s="392" t="s">
        <v>111</v>
      </c>
      <c r="D533" s="392" t="s">
        <v>275</v>
      </c>
      <c r="E533" s="392" t="s">
        <v>6</v>
      </c>
      <c r="F533" s="462"/>
      <c r="G533" s="449">
        <f t="shared" ref="G533:J534" si="246">G534</f>
        <v>0</v>
      </c>
      <c r="H533" s="449"/>
      <c r="I533" s="449">
        <f t="shared" si="246"/>
        <v>100000</v>
      </c>
      <c r="J533" s="449">
        <f t="shared" si="246"/>
        <v>0</v>
      </c>
      <c r="K533" s="462" t="e">
        <f t="shared" si="237"/>
        <v>#DIV/0!</v>
      </c>
      <c r="L533" s="462">
        <f t="shared" si="238"/>
        <v>0</v>
      </c>
      <c r="M533" s="449">
        <f t="shared" ref="M533:M534" si="247">M534</f>
        <v>0</v>
      </c>
      <c r="N533" s="178">
        <f t="shared" si="236"/>
        <v>0</v>
      </c>
      <c r="O533" s="179">
        <f t="shared" si="239"/>
        <v>0</v>
      </c>
    </row>
    <row r="534" spans="1:15" ht="22.75" hidden="1" customHeight="1" outlineLevel="7" x14ac:dyDescent="0.3">
      <c r="A534" s="189" t="s">
        <v>37</v>
      </c>
      <c r="B534" s="392" t="s">
        <v>490</v>
      </c>
      <c r="C534" s="392" t="s">
        <v>111</v>
      </c>
      <c r="D534" s="392" t="s">
        <v>275</v>
      </c>
      <c r="E534" s="392" t="s">
        <v>38</v>
      </c>
      <c r="F534" s="462"/>
      <c r="G534" s="449">
        <f t="shared" si="246"/>
        <v>0</v>
      </c>
      <c r="H534" s="449"/>
      <c r="I534" s="449">
        <f t="shared" si="246"/>
        <v>100000</v>
      </c>
      <c r="J534" s="449">
        <f t="shared" si="246"/>
        <v>0</v>
      </c>
      <c r="K534" s="462" t="e">
        <f t="shared" si="237"/>
        <v>#DIV/0!</v>
      </c>
      <c r="L534" s="462">
        <f t="shared" si="238"/>
        <v>0</v>
      </c>
      <c r="M534" s="449">
        <f t="shared" si="247"/>
        <v>0</v>
      </c>
      <c r="N534" s="178">
        <f t="shared" si="236"/>
        <v>0</v>
      </c>
      <c r="O534" s="179">
        <f t="shared" si="239"/>
        <v>0</v>
      </c>
    </row>
    <row r="535" spans="1:15" hidden="1" outlineLevel="7" x14ac:dyDescent="0.3">
      <c r="A535" s="189" t="s">
        <v>74</v>
      </c>
      <c r="B535" s="392" t="s">
        <v>490</v>
      </c>
      <c r="C535" s="392" t="s">
        <v>111</v>
      </c>
      <c r="D535" s="392" t="s">
        <v>275</v>
      </c>
      <c r="E535" s="392" t="s">
        <v>75</v>
      </c>
      <c r="F535" s="462"/>
      <c r="G535" s="449">
        <f>'потребность 2023 (5)'!K564-100000</f>
        <v>0</v>
      </c>
      <c r="H535" s="449"/>
      <c r="I535" s="449">
        <v>100000</v>
      </c>
      <c r="J535" s="449">
        <v>0</v>
      </c>
      <c r="K535" s="462" t="e">
        <f t="shared" si="237"/>
        <v>#DIV/0!</v>
      </c>
      <c r="L535" s="462">
        <f t="shared" si="238"/>
        <v>0</v>
      </c>
      <c r="M535" s="449">
        <v>0</v>
      </c>
      <c r="N535" s="178">
        <f t="shared" si="236"/>
        <v>0</v>
      </c>
      <c r="O535" s="179">
        <f t="shared" si="239"/>
        <v>0</v>
      </c>
    </row>
    <row r="536" spans="1:15" ht="34" outlineLevel="7" x14ac:dyDescent="0.3">
      <c r="A536" s="189" t="s">
        <v>262</v>
      </c>
      <c r="B536" s="392" t="s">
        <v>490</v>
      </c>
      <c r="C536" s="392" t="s">
        <v>111</v>
      </c>
      <c r="D536" s="392" t="s">
        <v>276</v>
      </c>
      <c r="E536" s="392" t="s">
        <v>6</v>
      </c>
      <c r="F536" s="476">
        <f>F537</f>
        <v>86780.44</v>
      </c>
      <c r="G536" s="449">
        <f t="shared" ref="G536:J537" si="248">G537</f>
        <v>158000</v>
      </c>
      <c r="H536" s="449"/>
      <c r="I536" s="449">
        <f t="shared" si="248"/>
        <v>158000</v>
      </c>
      <c r="J536" s="449">
        <f t="shared" si="248"/>
        <v>158000</v>
      </c>
      <c r="K536" s="462">
        <f t="shared" si="237"/>
        <v>100</v>
      </c>
      <c r="L536" s="462">
        <f t="shared" si="238"/>
        <v>0</v>
      </c>
      <c r="M536" s="449">
        <f t="shared" ref="M536:M537" si="249">M537</f>
        <v>158000</v>
      </c>
      <c r="N536" s="178">
        <f t="shared" si="236"/>
        <v>0</v>
      </c>
      <c r="O536" s="179">
        <f t="shared" si="239"/>
        <v>0</v>
      </c>
    </row>
    <row r="537" spans="1:15" ht="50.95" outlineLevel="7" x14ac:dyDescent="0.3">
      <c r="A537" s="189" t="s">
        <v>37</v>
      </c>
      <c r="B537" s="392" t="s">
        <v>490</v>
      </c>
      <c r="C537" s="392" t="s">
        <v>111</v>
      </c>
      <c r="D537" s="392" t="s">
        <v>276</v>
      </c>
      <c r="E537" s="392" t="s">
        <v>38</v>
      </c>
      <c r="F537" s="476">
        <f>F538</f>
        <v>86780.44</v>
      </c>
      <c r="G537" s="449">
        <f t="shared" si="248"/>
        <v>158000</v>
      </c>
      <c r="H537" s="449"/>
      <c r="I537" s="449">
        <f t="shared" si="248"/>
        <v>158000</v>
      </c>
      <c r="J537" s="449">
        <f t="shared" si="248"/>
        <v>158000</v>
      </c>
      <c r="K537" s="462">
        <f t="shared" si="237"/>
        <v>100</v>
      </c>
      <c r="L537" s="462">
        <f t="shared" si="238"/>
        <v>0</v>
      </c>
      <c r="M537" s="449">
        <f t="shared" si="249"/>
        <v>158000</v>
      </c>
      <c r="N537" s="178">
        <f t="shared" si="236"/>
        <v>0</v>
      </c>
      <c r="O537" s="179">
        <f t="shared" si="239"/>
        <v>0</v>
      </c>
    </row>
    <row r="538" spans="1:15" outlineLevel="7" x14ac:dyDescent="0.3">
      <c r="A538" s="189" t="s">
        <v>74</v>
      </c>
      <c r="B538" s="392" t="s">
        <v>490</v>
      </c>
      <c r="C538" s="392" t="s">
        <v>111</v>
      </c>
      <c r="D538" s="392" t="s">
        <v>276</v>
      </c>
      <c r="E538" s="392" t="s">
        <v>75</v>
      </c>
      <c r="F538" s="475">
        <v>86780.44</v>
      </c>
      <c r="G538" s="449">
        <f>'потребность 2023 (5)'!K567</f>
        <v>158000</v>
      </c>
      <c r="H538" s="449"/>
      <c r="I538" s="449">
        <v>158000</v>
      </c>
      <c r="J538" s="449">
        <v>158000</v>
      </c>
      <c r="K538" s="462">
        <f t="shared" si="237"/>
        <v>100</v>
      </c>
      <c r="L538" s="462">
        <f t="shared" si="238"/>
        <v>0</v>
      </c>
      <c r="M538" s="449">
        <v>158000</v>
      </c>
      <c r="N538" s="178">
        <f t="shared" si="236"/>
        <v>0</v>
      </c>
      <c r="O538" s="179">
        <f t="shared" si="239"/>
        <v>0</v>
      </c>
    </row>
    <row r="539" spans="1:15" ht="50.95" outlineLevel="7" x14ac:dyDescent="0.3">
      <c r="A539" s="189" t="s">
        <v>461</v>
      </c>
      <c r="B539" s="392" t="s">
        <v>490</v>
      </c>
      <c r="C539" s="392" t="s">
        <v>111</v>
      </c>
      <c r="D539" s="392" t="s">
        <v>488</v>
      </c>
      <c r="E539" s="392" t="s">
        <v>6</v>
      </c>
      <c r="F539" s="476">
        <f>F540</f>
        <v>61700</v>
      </c>
      <c r="G539" s="449">
        <f t="shared" ref="G539:J540" si="250">G540</f>
        <v>685000</v>
      </c>
      <c r="H539" s="449"/>
      <c r="I539" s="449">
        <f t="shared" si="250"/>
        <v>0</v>
      </c>
      <c r="J539" s="449">
        <f t="shared" si="250"/>
        <v>0</v>
      </c>
      <c r="K539" s="462">
        <f t="shared" si="237"/>
        <v>0</v>
      </c>
      <c r="L539" s="462">
        <f t="shared" si="238"/>
        <v>-685000</v>
      </c>
      <c r="M539" s="449">
        <f t="shared" ref="M539:M540" si="251">M540</f>
        <v>0</v>
      </c>
      <c r="N539" s="178">
        <f t="shared" si="236"/>
        <v>0</v>
      </c>
      <c r="O539" s="179">
        <f t="shared" si="239"/>
        <v>-685000</v>
      </c>
    </row>
    <row r="540" spans="1:15" ht="50.95" outlineLevel="7" x14ac:dyDescent="0.3">
      <c r="A540" s="189" t="s">
        <v>37</v>
      </c>
      <c r="B540" s="392" t="s">
        <v>490</v>
      </c>
      <c r="C540" s="392" t="s">
        <v>111</v>
      </c>
      <c r="D540" s="392" t="s">
        <v>488</v>
      </c>
      <c r="E540" s="392" t="s">
        <v>38</v>
      </c>
      <c r="F540" s="476">
        <f>F541</f>
        <v>61700</v>
      </c>
      <c r="G540" s="449">
        <f t="shared" si="250"/>
        <v>685000</v>
      </c>
      <c r="H540" s="449"/>
      <c r="I540" s="449">
        <f t="shared" si="250"/>
        <v>0</v>
      </c>
      <c r="J540" s="449">
        <f t="shared" si="250"/>
        <v>0</v>
      </c>
      <c r="K540" s="462">
        <f t="shared" si="237"/>
        <v>0</v>
      </c>
      <c r="L540" s="462">
        <f t="shared" si="238"/>
        <v>-685000</v>
      </c>
      <c r="M540" s="449">
        <f t="shared" si="251"/>
        <v>0</v>
      </c>
      <c r="N540" s="178">
        <f t="shared" si="236"/>
        <v>0</v>
      </c>
      <c r="O540" s="179">
        <f t="shared" si="239"/>
        <v>-685000</v>
      </c>
    </row>
    <row r="541" spans="1:15" outlineLevel="7" x14ac:dyDescent="0.3">
      <c r="A541" s="189" t="s">
        <v>74</v>
      </c>
      <c r="B541" s="392" t="s">
        <v>490</v>
      </c>
      <c r="C541" s="392" t="s">
        <v>111</v>
      </c>
      <c r="D541" s="392" t="s">
        <v>488</v>
      </c>
      <c r="E541" s="392" t="s">
        <v>75</v>
      </c>
      <c r="F541" s="475">
        <v>61700</v>
      </c>
      <c r="G541" s="449">
        <f>2200000-2038000+2000+521000</f>
        <v>685000</v>
      </c>
      <c r="H541" s="449"/>
      <c r="I541" s="449">
        <v>0</v>
      </c>
      <c r="J541" s="449">
        <v>0</v>
      </c>
      <c r="K541" s="462">
        <f t="shared" si="237"/>
        <v>0</v>
      </c>
      <c r="L541" s="462">
        <f t="shared" si="238"/>
        <v>-685000</v>
      </c>
      <c r="M541" s="449">
        <v>0</v>
      </c>
      <c r="N541" s="178">
        <f t="shared" si="236"/>
        <v>0</v>
      </c>
      <c r="O541" s="179">
        <f t="shared" si="239"/>
        <v>-685000</v>
      </c>
    </row>
    <row r="542" spans="1:15" ht="56.4" hidden="1" customHeight="1" outlineLevel="7" x14ac:dyDescent="0.3">
      <c r="A542" s="189" t="s">
        <v>956</v>
      </c>
      <c r="B542" s="392" t="s">
        <v>490</v>
      </c>
      <c r="C542" s="392" t="s">
        <v>111</v>
      </c>
      <c r="D542" s="392" t="s">
        <v>1063</v>
      </c>
      <c r="E542" s="392" t="s">
        <v>6</v>
      </c>
      <c r="F542" s="462" t="s">
        <v>838</v>
      </c>
      <c r="G542" s="449">
        <f t="shared" ref="G542:J543" si="252">G543</f>
        <v>0</v>
      </c>
      <c r="H542" s="449"/>
      <c r="I542" s="449">
        <f t="shared" si="252"/>
        <v>0</v>
      </c>
      <c r="J542" s="449">
        <f t="shared" si="252"/>
        <v>0</v>
      </c>
      <c r="K542" s="462" t="e">
        <f t="shared" si="237"/>
        <v>#DIV/0!</v>
      </c>
      <c r="L542" s="462">
        <f t="shared" si="238"/>
        <v>0</v>
      </c>
      <c r="M542" s="449">
        <f t="shared" ref="M542:M543" si="253">M543</f>
        <v>0</v>
      </c>
      <c r="N542" s="178">
        <f t="shared" si="236"/>
        <v>0</v>
      </c>
      <c r="O542" s="179">
        <f t="shared" si="239"/>
        <v>0</v>
      </c>
    </row>
    <row r="543" spans="1:15" ht="50.95" hidden="1" outlineLevel="7" x14ac:dyDescent="0.3">
      <c r="A543" s="189" t="s">
        <v>37</v>
      </c>
      <c r="B543" s="392" t="s">
        <v>490</v>
      </c>
      <c r="C543" s="392" t="s">
        <v>111</v>
      </c>
      <c r="D543" s="392" t="s">
        <v>1063</v>
      </c>
      <c r="E543" s="392" t="s">
        <v>38</v>
      </c>
      <c r="F543" s="462" t="s">
        <v>838</v>
      </c>
      <c r="G543" s="449">
        <f t="shared" si="252"/>
        <v>0</v>
      </c>
      <c r="H543" s="449"/>
      <c r="I543" s="449">
        <f t="shared" si="252"/>
        <v>0</v>
      </c>
      <c r="J543" s="449">
        <f t="shared" si="252"/>
        <v>0</v>
      </c>
      <c r="K543" s="462" t="e">
        <f t="shared" si="237"/>
        <v>#DIV/0!</v>
      </c>
      <c r="L543" s="462">
        <f t="shared" si="238"/>
        <v>0</v>
      </c>
      <c r="M543" s="449">
        <f t="shared" si="253"/>
        <v>0</v>
      </c>
      <c r="N543" s="178">
        <f t="shared" si="236"/>
        <v>0</v>
      </c>
      <c r="O543" s="179">
        <f t="shared" si="239"/>
        <v>0</v>
      </c>
    </row>
    <row r="544" spans="1:15" hidden="1" outlineLevel="7" x14ac:dyDescent="0.3">
      <c r="A544" s="189" t="s">
        <v>74</v>
      </c>
      <c r="B544" s="392" t="s">
        <v>490</v>
      </c>
      <c r="C544" s="392" t="s">
        <v>111</v>
      </c>
      <c r="D544" s="392" t="s">
        <v>1063</v>
      </c>
      <c r="E544" s="392" t="s">
        <v>75</v>
      </c>
      <c r="F544" s="462" t="s">
        <v>838</v>
      </c>
      <c r="G544" s="449">
        <v>0</v>
      </c>
      <c r="H544" s="449"/>
      <c r="I544" s="449">
        <v>0</v>
      </c>
      <c r="J544" s="449"/>
      <c r="K544" s="462" t="e">
        <f t="shared" si="237"/>
        <v>#DIV/0!</v>
      </c>
      <c r="L544" s="462">
        <f t="shared" si="238"/>
        <v>0</v>
      </c>
      <c r="M544" s="449"/>
      <c r="N544" s="178">
        <f t="shared" si="236"/>
        <v>0</v>
      </c>
      <c r="O544" s="179">
        <f t="shared" si="239"/>
        <v>0</v>
      </c>
    </row>
    <row r="545" spans="1:15" ht="50.95" outlineLevel="7" x14ac:dyDescent="0.3">
      <c r="A545" s="189" t="s">
        <v>616</v>
      </c>
      <c r="B545" s="392" t="s">
        <v>490</v>
      </c>
      <c r="C545" s="392" t="s">
        <v>111</v>
      </c>
      <c r="D545" s="392" t="s">
        <v>1056</v>
      </c>
      <c r="E545" s="392" t="s">
        <v>6</v>
      </c>
      <c r="F545" s="462" t="s">
        <v>838</v>
      </c>
      <c r="G545" s="449">
        <f t="shared" ref="G545:J546" si="254">G546</f>
        <v>234727.37</v>
      </c>
      <c r="H545" s="449"/>
      <c r="I545" s="449">
        <f t="shared" si="254"/>
        <v>0</v>
      </c>
      <c r="J545" s="449">
        <f t="shared" si="254"/>
        <v>0</v>
      </c>
      <c r="K545" s="462">
        <f t="shared" si="237"/>
        <v>0</v>
      </c>
      <c r="L545" s="462">
        <f t="shared" si="238"/>
        <v>-234727.37</v>
      </c>
      <c r="M545" s="449">
        <f t="shared" ref="M545:M546" si="255">M546</f>
        <v>0</v>
      </c>
      <c r="N545" s="178">
        <f t="shared" si="236"/>
        <v>0</v>
      </c>
      <c r="O545" s="179">
        <f t="shared" si="239"/>
        <v>-234727.37</v>
      </c>
    </row>
    <row r="546" spans="1:15" ht="50.95" outlineLevel="7" x14ac:dyDescent="0.3">
      <c r="A546" s="189" t="s">
        <v>37</v>
      </c>
      <c r="B546" s="392" t="s">
        <v>490</v>
      </c>
      <c r="C546" s="392" t="s">
        <v>111</v>
      </c>
      <c r="D546" s="392" t="s">
        <v>1056</v>
      </c>
      <c r="E546" s="392" t="s">
        <v>38</v>
      </c>
      <c r="F546" s="462" t="s">
        <v>838</v>
      </c>
      <c r="G546" s="449">
        <f t="shared" si="254"/>
        <v>234727.37</v>
      </c>
      <c r="H546" s="449"/>
      <c r="I546" s="449">
        <f t="shared" si="254"/>
        <v>0</v>
      </c>
      <c r="J546" s="449">
        <f t="shared" si="254"/>
        <v>0</v>
      </c>
      <c r="K546" s="462">
        <f t="shared" si="237"/>
        <v>0</v>
      </c>
      <c r="L546" s="462">
        <f t="shared" si="238"/>
        <v>-234727.37</v>
      </c>
      <c r="M546" s="449">
        <f t="shared" si="255"/>
        <v>0</v>
      </c>
      <c r="N546" s="178">
        <f t="shared" si="236"/>
        <v>0</v>
      </c>
      <c r="O546" s="179">
        <f t="shared" si="239"/>
        <v>-234727.37</v>
      </c>
    </row>
    <row r="547" spans="1:15" outlineLevel="7" x14ac:dyDescent="0.3">
      <c r="A547" s="189" t="s">
        <v>74</v>
      </c>
      <c r="B547" s="392" t="s">
        <v>490</v>
      </c>
      <c r="C547" s="392" t="s">
        <v>111</v>
      </c>
      <c r="D547" s="392" t="s">
        <v>1056</v>
      </c>
      <c r="E547" s="392" t="s">
        <v>75</v>
      </c>
      <c r="F547" s="462" t="s">
        <v>838</v>
      </c>
      <c r="G547" s="449">
        <f>30303.03-3.88+204428.22</f>
        <v>234727.37</v>
      </c>
      <c r="H547" s="449"/>
      <c r="I547" s="449">
        <v>0</v>
      </c>
      <c r="J547" s="449"/>
      <c r="K547" s="462">
        <f t="shared" si="237"/>
        <v>0</v>
      </c>
      <c r="L547" s="462">
        <f t="shared" si="238"/>
        <v>-234727.37</v>
      </c>
      <c r="M547" s="449"/>
      <c r="N547" s="178">
        <f t="shared" si="236"/>
        <v>0</v>
      </c>
      <c r="O547" s="179">
        <f t="shared" si="239"/>
        <v>-234727.37</v>
      </c>
    </row>
    <row r="548" spans="1:15" ht="50.95" outlineLevel="7" x14ac:dyDescent="0.3">
      <c r="A548" s="189" t="s">
        <v>415</v>
      </c>
      <c r="B548" s="392" t="s">
        <v>490</v>
      </c>
      <c r="C548" s="392" t="s">
        <v>111</v>
      </c>
      <c r="D548" s="392" t="s">
        <v>416</v>
      </c>
      <c r="E548" s="392" t="s">
        <v>6</v>
      </c>
      <c r="F548" s="476">
        <f>F549</f>
        <v>6000000</v>
      </c>
      <c r="G548" s="449">
        <f t="shared" ref="G548:J549" si="256">G549</f>
        <v>5390000</v>
      </c>
      <c r="H548" s="449"/>
      <c r="I548" s="449">
        <f t="shared" si="256"/>
        <v>0</v>
      </c>
      <c r="J548" s="449">
        <f t="shared" si="256"/>
        <v>0</v>
      </c>
      <c r="K548" s="462">
        <f t="shared" si="237"/>
        <v>0</v>
      </c>
      <c r="L548" s="462">
        <f t="shared" si="238"/>
        <v>-5390000</v>
      </c>
      <c r="M548" s="449">
        <f t="shared" ref="M548:M549" si="257">M549</f>
        <v>0</v>
      </c>
      <c r="N548" s="178">
        <f t="shared" si="236"/>
        <v>0</v>
      </c>
      <c r="O548" s="179">
        <f t="shared" si="239"/>
        <v>-5390000</v>
      </c>
    </row>
    <row r="549" spans="1:15" ht="50.95" outlineLevel="7" x14ac:dyDescent="0.3">
      <c r="A549" s="189" t="s">
        <v>37</v>
      </c>
      <c r="B549" s="392" t="s">
        <v>490</v>
      </c>
      <c r="C549" s="392" t="s">
        <v>111</v>
      </c>
      <c r="D549" s="392" t="s">
        <v>416</v>
      </c>
      <c r="E549" s="392" t="s">
        <v>38</v>
      </c>
      <c r="F549" s="476">
        <f>F550</f>
        <v>6000000</v>
      </c>
      <c r="G549" s="449">
        <f t="shared" si="256"/>
        <v>5390000</v>
      </c>
      <c r="H549" s="449"/>
      <c r="I549" s="449">
        <f t="shared" si="256"/>
        <v>0</v>
      </c>
      <c r="J549" s="449">
        <f t="shared" si="256"/>
        <v>0</v>
      </c>
      <c r="K549" s="462">
        <f t="shared" si="237"/>
        <v>0</v>
      </c>
      <c r="L549" s="462">
        <f t="shared" si="238"/>
        <v>-5390000</v>
      </c>
      <c r="M549" s="449">
        <f t="shared" si="257"/>
        <v>0</v>
      </c>
      <c r="N549" s="178">
        <f t="shared" si="236"/>
        <v>0</v>
      </c>
      <c r="O549" s="179">
        <f t="shared" si="239"/>
        <v>-5390000</v>
      </c>
    </row>
    <row r="550" spans="1:15" ht="17.7" outlineLevel="2" thickBot="1" x14ac:dyDescent="0.35">
      <c r="A550" s="189" t="s">
        <v>74</v>
      </c>
      <c r="B550" s="392" t="s">
        <v>490</v>
      </c>
      <c r="C550" s="392" t="s">
        <v>111</v>
      </c>
      <c r="D550" s="392" t="s">
        <v>416</v>
      </c>
      <c r="E550" s="392" t="s">
        <v>75</v>
      </c>
      <c r="F550" s="475">
        <v>6000000</v>
      </c>
      <c r="G550" s="449">
        <f>390000+5000000</f>
        <v>5390000</v>
      </c>
      <c r="H550" s="449"/>
      <c r="I550" s="449">
        <v>0</v>
      </c>
      <c r="J550" s="449"/>
      <c r="K550" s="462">
        <f t="shared" si="237"/>
        <v>0</v>
      </c>
      <c r="L550" s="462">
        <f t="shared" si="238"/>
        <v>-5390000</v>
      </c>
      <c r="M550" s="449"/>
      <c r="N550" s="178">
        <f t="shared" si="236"/>
        <v>0</v>
      </c>
      <c r="O550" s="179">
        <f t="shared" si="239"/>
        <v>-5390000</v>
      </c>
    </row>
    <row r="551" spans="1:15" s="224" customFormat="1" ht="57.25" customHeight="1" outlineLevel="3" thickBot="1" x14ac:dyDescent="0.35">
      <c r="A551" s="408" t="s">
        <v>806</v>
      </c>
      <c r="B551" s="392" t="s">
        <v>490</v>
      </c>
      <c r="C551" s="392" t="s">
        <v>111</v>
      </c>
      <c r="D551" s="392" t="s">
        <v>657</v>
      </c>
      <c r="E551" s="392" t="s">
        <v>6</v>
      </c>
      <c r="F551" s="476">
        <f>F552</f>
        <v>3365356.19</v>
      </c>
      <c r="G551" s="449">
        <f t="shared" ref="G551:J552" si="258">G552</f>
        <v>900000</v>
      </c>
      <c r="H551" s="449"/>
      <c r="I551" s="449">
        <f t="shared" si="258"/>
        <v>0</v>
      </c>
      <c r="J551" s="449">
        <f t="shared" si="258"/>
        <v>0</v>
      </c>
      <c r="K551" s="462">
        <f t="shared" si="237"/>
        <v>0</v>
      </c>
      <c r="L551" s="462">
        <f t="shared" si="238"/>
        <v>-900000</v>
      </c>
      <c r="M551" s="449">
        <f t="shared" ref="M551:M552" si="259">M552</f>
        <v>0</v>
      </c>
      <c r="N551" s="178">
        <f t="shared" si="236"/>
        <v>0</v>
      </c>
      <c r="O551" s="179">
        <f t="shared" si="239"/>
        <v>-900000</v>
      </c>
    </row>
    <row r="552" spans="1:15" ht="23.95" customHeight="1" outlineLevel="4" x14ac:dyDescent="0.3">
      <c r="A552" s="189" t="s">
        <v>37</v>
      </c>
      <c r="B552" s="392" t="s">
        <v>490</v>
      </c>
      <c r="C552" s="392" t="s">
        <v>111</v>
      </c>
      <c r="D552" s="392" t="s">
        <v>657</v>
      </c>
      <c r="E552" s="392" t="s">
        <v>38</v>
      </c>
      <c r="F552" s="476">
        <f>F553</f>
        <v>3365356.19</v>
      </c>
      <c r="G552" s="449">
        <f t="shared" si="258"/>
        <v>900000</v>
      </c>
      <c r="H552" s="449"/>
      <c r="I552" s="449">
        <f t="shared" si="258"/>
        <v>0</v>
      </c>
      <c r="J552" s="449">
        <f t="shared" si="258"/>
        <v>0</v>
      </c>
      <c r="K552" s="462">
        <f t="shared" si="237"/>
        <v>0</v>
      </c>
      <c r="L552" s="462">
        <f t="shared" si="238"/>
        <v>-900000</v>
      </c>
      <c r="M552" s="449">
        <f t="shared" si="259"/>
        <v>0</v>
      </c>
      <c r="N552" s="178">
        <f t="shared" si="236"/>
        <v>0</v>
      </c>
      <c r="O552" s="179">
        <f t="shared" si="239"/>
        <v>-900000</v>
      </c>
    </row>
    <row r="553" spans="1:15" ht="22.75" customHeight="1" outlineLevel="4" thickBot="1" x14ac:dyDescent="0.35">
      <c r="A553" s="189" t="s">
        <v>74</v>
      </c>
      <c r="B553" s="392" t="s">
        <v>490</v>
      </c>
      <c r="C553" s="392" t="s">
        <v>111</v>
      </c>
      <c r="D553" s="392" t="s">
        <v>657</v>
      </c>
      <c r="E553" s="392" t="s">
        <v>75</v>
      </c>
      <c r="F553" s="475">
        <v>3365356.19</v>
      </c>
      <c r="G553" s="449">
        <v>900000</v>
      </c>
      <c r="H553" s="449"/>
      <c r="I553" s="449">
        <v>0</v>
      </c>
      <c r="J553" s="449"/>
      <c r="K553" s="462">
        <f t="shared" si="237"/>
        <v>0</v>
      </c>
      <c r="L553" s="462">
        <f t="shared" si="238"/>
        <v>-900000</v>
      </c>
      <c r="M553" s="449"/>
      <c r="N553" s="178">
        <f t="shared" si="236"/>
        <v>0</v>
      </c>
      <c r="O553" s="179">
        <f t="shared" si="239"/>
        <v>-900000</v>
      </c>
    </row>
    <row r="554" spans="1:15" ht="54" hidden="1" customHeight="1" outlineLevel="4" x14ac:dyDescent="0.3">
      <c r="A554" s="185" t="s">
        <v>1011</v>
      </c>
      <c r="B554" s="392" t="s">
        <v>490</v>
      </c>
      <c r="C554" s="392" t="s">
        <v>111</v>
      </c>
      <c r="D554" s="392" t="s">
        <v>534</v>
      </c>
      <c r="E554" s="392" t="s">
        <v>6</v>
      </c>
      <c r="F554" s="462"/>
      <c r="G554" s="449">
        <f t="shared" ref="G554:J555" si="260">G555</f>
        <v>0</v>
      </c>
      <c r="H554" s="449"/>
      <c r="I554" s="449">
        <f t="shared" si="260"/>
        <v>0</v>
      </c>
      <c r="J554" s="449">
        <f t="shared" si="260"/>
        <v>0</v>
      </c>
      <c r="K554" s="462" t="e">
        <f t="shared" si="237"/>
        <v>#DIV/0!</v>
      </c>
      <c r="L554" s="462">
        <f t="shared" si="238"/>
        <v>0</v>
      </c>
      <c r="M554" s="449">
        <f t="shared" ref="M554:M555" si="261">M555</f>
        <v>0</v>
      </c>
      <c r="N554" s="178">
        <f t="shared" si="236"/>
        <v>0</v>
      </c>
      <c r="O554" s="179">
        <f t="shared" si="239"/>
        <v>0</v>
      </c>
    </row>
    <row r="555" spans="1:15" ht="43.5" hidden="1" customHeight="1" outlineLevel="4" x14ac:dyDescent="0.3">
      <c r="A555" s="189" t="s">
        <v>37</v>
      </c>
      <c r="B555" s="392" t="s">
        <v>490</v>
      </c>
      <c r="C555" s="392" t="s">
        <v>111</v>
      </c>
      <c r="D555" s="392" t="s">
        <v>534</v>
      </c>
      <c r="E555" s="392" t="s">
        <v>38</v>
      </c>
      <c r="F555" s="462"/>
      <c r="G555" s="449">
        <f t="shared" si="260"/>
        <v>0</v>
      </c>
      <c r="H555" s="449"/>
      <c r="I555" s="449">
        <f t="shared" si="260"/>
        <v>0</v>
      </c>
      <c r="J555" s="449">
        <f t="shared" si="260"/>
        <v>0</v>
      </c>
      <c r="K555" s="462" t="e">
        <f t="shared" si="237"/>
        <v>#DIV/0!</v>
      </c>
      <c r="L555" s="462">
        <f t="shared" si="238"/>
        <v>0</v>
      </c>
      <c r="M555" s="449">
        <f t="shared" si="261"/>
        <v>0</v>
      </c>
      <c r="N555" s="178">
        <f t="shared" si="236"/>
        <v>0</v>
      </c>
      <c r="O555" s="179">
        <f t="shared" si="239"/>
        <v>0</v>
      </c>
    </row>
    <row r="556" spans="1:15" ht="30.75" hidden="1" customHeight="1" outlineLevel="4" thickBot="1" x14ac:dyDescent="0.35">
      <c r="A556" s="189" t="s">
        <v>74</v>
      </c>
      <c r="B556" s="392" t="s">
        <v>490</v>
      </c>
      <c r="C556" s="392" t="s">
        <v>111</v>
      </c>
      <c r="D556" s="392" t="s">
        <v>534</v>
      </c>
      <c r="E556" s="392" t="s">
        <v>75</v>
      </c>
      <c r="F556" s="462"/>
      <c r="G556" s="449">
        <f>'потребность 2023 (5)'!K579</f>
        <v>0</v>
      </c>
      <c r="H556" s="449"/>
      <c r="I556" s="449">
        <f>'потребность 2023 (5)'!L579</f>
        <v>0</v>
      </c>
      <c r="J556" s="449"/>
      <c r="K556" s="462" t="e">
        <f t="shared" si="237"/>
        <v>#DIV/0!</v>
      </c>
      <c r="L556" s="462">
        <f t="shared" si="238"/>
        <v>0</v>
      </c>
      <c r="M556" s="449"/>
      <c r="N556" s="178">
        <f t="shared" si="236"/>
        <v>0</v>
      </c>
      <c r="O556" s="179">
        <f t="shared" si="239"/>
        <v>0</v>
      </c>
    </row>
    <row r="557" spans="1:15" ht="85.6" outlineLevel="5" thickBot="1" x14ac:dyDescent="0.35">
      <c r="A557" s="408" t="s">
        <v>1010</v>
      </c>
      <c r="B557" s="392" t="s">
        <v>490</v>
      </c>
      <c r="C557" s="392" t="s">
        <v>111</v>
      </c>
      <c r="D557" s="392" t="s">
        <v>406</v>
      </c>
      <c r="E557" s="392" t="s">
        <v>6</v>
      </c>
      <c r="F557" s="462"/>
      <c r="G557" s="449">
        <f t="shared" ref="G557:J558" si="262">G558</f>
        <v>0</v>
      </c>
      <c r="H557" s="449"/>
      <c r="I557" s="449">
        <f t="shared" si="262"/>
        <v>476939.21</v>
      </c>
      <c r="J557" s="449">
        <f t="shared" si="262"/>
        <v>476939.21</v>
      </c>
      <c r="K557" s="462" t="e">
        <f t="shared" si="237"/>
        <v>#DIV/0!</v>
      </c>
      <c r="L557" s="462">
        <f t="shared" si="238"/>
        <v>476939.21</v>
      </c>
      <c r="M557" s="449">
        <f t="shared" ref="M557:M558" si="263">M558</f>
        <v>476939.21</v>
      </c>
      <c r="N557" s="178">
        <f t="shared" si="236"/>
        <v>0</v>
      </c>
      <c r="O557" s="179">
        <f t="shared" si="239"/>
        <v>476939.21</v>
      </c>
    </row>
    <row r="558" spans="1:15" ht="50.95" outlineLevel="6" x14ac:dyDescent="0.3">
      <c r="A558" s="189" t="s">
        <v>37</v>
      </c>
      <c r="B558" s="392" t="s">
        <v>490</v>
      </c>
      <c r="C558" s="392" t="s">
        <v>111</v>
      </c>
      <c r="D558" s="392" t="s">
        <v>406</v>
      </c>
      <c r="E558" s="392" t="s">
        <v>38</v>
      </c>
      <c r="F558" s="462"/>
      <c r="G558" s="449">
        <f t="shared" si="262"/>
        <v>0</v>
      </c>
      <c r="H558" s="449"/>
      <c r="I558" s="449">
        <f t="shared" si="262"/>
        <v>476939.21</v>
      </c>
      <c r="J558" s="449">
        <f t="shared" si="262"/>
        <v>476939.21</v>
      </c>
      <c r="K558" s="462" t="e">
        <f t="shared" si="237"/>
        <v>#DIV/0!</v>
      </c>
      <c r="L558" s="462">
        <f t="shared" si="238"/>
        <v>476939.21</v>
      </c>
      <c r="M558" s="449">
        <f t="shared" si="263"/>
        <v>476939.21</v>
      </c>
      <c r="N558" s="178">
        <f t="shared" si="236"/>
        <v>0</v>
      </c>
      <c r="O558" s="179">
        <f t="shared" si="239"/>
        <v>476939.21</v>
      </c>
    </row>
    <row r="559" spans="1:15" ht="20.25" customHeight="1" outlineLevel="7" x14ac:dyDescent="0.3">
      <c r="A559" s="189" t="s">
        <v>74</v>
      </c>
      <c r="B559" s="392" t="s">
        <v>490</v>
      </c>
      <c r="C559" s="392" t="s">
        <v>111</v>
      </c>
      <c r="D559" s="392" t="s">
        <v>406</v>
      </c>
      <c r="E559" s="392" t="s">
        <v>75</v>
      </c>
      <c r="F559" s="462"/>
      <c r="G559" s="449">
        <f>'потребность 2023 (5)'!K582-188466.9</f>
        <v>0</v>
      </c>
      <c r="H559" s="449"/>
      <c r="I559" s="449">
        <v>476939.21</v>
      </c>
      <c r="J559" s="449">
        <v>476939.21</v>
      </c>
      <c r="K559" s="462" t="e">
        <f t="shared" si="237"/>
        <v>#DIV/0!</v>
      </c>
      <c r="L559" s="462">
        <f t="shared" si="238"/>
        <v>476939.21</v>
      </c>
      <c r="M559" s="449">
        <v>476939.21</v>
      </c>
      <c r="N559" s="178">
        <f t="shared" si="236"/>
        <v>0</v>
      </c>
      <c r="O559" s="179">
        <f t="shared" si="239"/>
        <v>476939.21</v>
      </c>
    </row>
    <row r="560" spans="1:15" outlineLevel="5" x14ac:dyDescent="0.3">
      <c r="A560" s="189" t="s">
        <v>71</v>
      </c>
      <c r="B560" s="392" t="s">
        <v>490</v>
      </c>
      <c r="C560" s="392" t="s">
        <v>72</v>
      </c>
      <c r="D560" s="392" t="s">
        <v>126</v>
      </c>
      <c r="E560" s="392" t="s">
        <v>6</v>
      </c>
      <c r="F560" s="471">
        <f>F561</f>
        <v>100469389.2</v>
      </c>
      <c r="G560" s="462">
        <f t="shared" ref="G560:J561" si="264">G561</f>
        <v>111736222.04000001</v>
      </c>
      <c r="H560" s="462"/>
      <c r="I560" s="462">
        <f t="shared" si="264"/>
        <v>101969246.09</v>
      </c>
      <c r="J560" s="462">
        <f t="shared" si="264"/>
        <v>136880186.94000003</v>
      </c>
      <c r="K560" s="462">
        <f t="shared" si="237"/>
        <v>122.502966755936</v>
      </c>
      <c r="L560" s="462">
        <f t="shared" si="238"/>
        <v>25143964.900000021</v>
      </c>
      <c r="M560" s="462">
        <f t="shared" ref="M560:M561" si="265">M561</f>
        <v>130626184.94</v>
      </c>
      <c r="N560" s="178">
        <f t="shared" si="236"/>
        <v>-6254002.0000000298</v>
      </c>
      <c r="O560" s="179">
        <f t="shared" si="239"/>
        <v>18889962.899999991</v>
      </c>
    </row>
    <row r="561" spans="1:15" ht="50.95" outlineLevel="5" x14ac:dyDescent="0.3">
      <c r="A561" s="233" t="s">
        <v>1017</v>
      </c>
      <c r="B561" s="397" t="s">
        <v>490</v>
      </c>
      <c r="C561" s="397" t="s">
        <v>72</v>
      </c>
      <c r="D561" s="397" t="s">
        <v>138</v>
      </c>
      <c r="E561" s="397" t="s">
        <v>6</v>
      </c>
      <c r="F561" s="473">
        <f>F562</f>
        <v>100469389.2</v>
      </c>
      <c r="G561" s="465">
        <f t="shared" si="264"/>
        <v>111736222.04000001</v>
      </c>
      <c r="H561" s="465"/>
      <c r="I561" s="465">
        <f t="shared" si="264"/>
        <v>101969246.09</v>
      </c>
      <c r="J561" s="465">
        <f t="shared" si="264"/>
        <v>136880186.94000003</v>
      </c>
      <c r="K561" s="462">
        <f t="shared" si="237"/>
        <v>122.502966755936</v>
      </c>
      <c r="L561" s="462">
        <f t="shared" si="238"/>
        <v>25143964.900000021</v>
      </c>
      <c r="M561" s="465">
        <f t="shared" si="265"/>
        <v>130626184.94</v>
      </c>
      <c r="N561" s="178">
        <f t="shared" si="236"/>
        <v>-6254002.0000000298</v>
      </c>
      <c r="O561" s="179">
        <f t="shared" si="239"/>
        <v>18889962.899999991</v>
      </c>
    </row>
    <row r="562" spans="1:15" ht="45" customHeight="1" outlineLevel="5" x14ac:dyDescent="0.3">
      <c r="A562" s="189" t="s">
        <v>1039</v>
      </c>
      <c r="B562" s="392" t="s">
        <v>490</v>
      </c>
      <c r="C562" s="392" t="s">
        <v>72</v>
      </c>
      <c r="D562" s="392" t="s">
        <v>146</v>
      </c>
      <c r="E562" s="392" t="s">
        <v>6</v>
      </c>
      <c r="F562" s="471">
        <f>F563+F576+F595</f>
        <v>100469389.2</v>
      </c>
      <c r="G562" s="462">
        <f>G563+G576+G595+G606</f>
        <v>111736222.04000001</v>
      </c>
      <c r="H562" s="462"/>
      <c r="I562" s="462">
        <f>I563+I576+I595+I606+I602</f>
        <v>101969246.09</v>
      </c>
      <c r="J562" s="462">
        <f>J563+J576+J595+J606+J602</f>
        <v>136880186.94000003</v>
      </c>
      <c r="K562" s="462">
        <f t="shared" si="237"/>
        <v>122.502966755936</v>
      </c>
      <c r="L562" s="462">
        <f t="shared" si="238"/>
        <v>25143964.900000021</v>
      </c>
      <c r="M562" s="462">
        <f>M563+M576+M595+M606+M602</f>
        <v>130626184.94</v>
      </c>
      <c r="N562" s="178">
        <f t="shared" si="236"/>
        <v>-6254002.0000000298</v>
      </c>
      <c r="O562" s="179">
        <f t="shared" si="239"/>
        <v>18889962.899999991</v>
      </c>
    </row>
    <row r="563" spans="1:15" ht="45.7" customHeight="1" outlineLevel="5" x14ac:dyDescent="0.3">
      <c r="A563" s="189" t="s">
        <v>203</v>
      </c>
      <c r="B563" s="392" t="s">
        <v>490</v>
      </c>
      <c r="C563" s="392" t="s">
        <v>72</v>
      </c>
      <c r="D563" s="392" t="s">
        <v>219</v>
      </c>
      <c r="E563" s="392" t="s">
        <v>6</v>
      </c>
      <c r="F563" s="471">
        <f>F564+F567+F570+F573</f>
        <v>95248429.939999998</v>
      </c>
      <c r="G563" s="462">
        <f>G564+G567+G570+G573</f>
        <v>108130535.04000001</v>
      </c>
      <c r="H563" s="462"/>
      <c r="I563" s="462">
        <f>I564+I567+I570+I573</f>
        <v>99463771.150000006</v>
      </c>
      <c r="J563" s="462">
        <f>J564+J567+J570+J573</f>
        <v>130952712</v>
      </c>
      <c r="K563" s="462">
        <f t="shared" si="237"/>
        <v>121.1061352388181</v>
      </c>
      <c r="L563" s="462">
        <f t="shared" si="238"/>
        <v>22822176.959999993</v>
      </c>
      <c r="M563" s="462">
        <f>M564+M567+M570+M573</f>
        <v>127698710</v>
      </c>
      <c r="N563" s="178">
        <f t="shared" si="236"/>
        <v>-3254002</v>
      </c>
      <c r="O563" s="179">
        <f t="shared" si="239"/>
        <v>19568174.959999993</v>
      </c>
    </row>
    <row r="564" spans="1:15" ht="67.95" hidden="1" outlineLevel="5" x14ac:dyDescent="0.3">
      <c r="A564" s="202" t="s">
        <v>961</v>
      </c>
      <c r="B564" s="392" t="s">
        <v>490</v>
      </c>
      <c r="C564" s="392" t="s">
        <v>72</v>
      </c>
      <c r="D564" s="392" t="s">
        <v>538</v>
      </c>
      <c r="E564" s="392" t="s">
        <v>6</v>
      </c>
      <c r="F564" s="471">
        <f>F565</f>
        <v>0</v>
      </c>
      <c r="G564" s="462">
        <f t="shared" ref="G564:J565" si="266">G565</f>
        <v>0</v>
      </c>
      <c r="H564" s="462"/>
      <c r="I564" s="462">
        <f t="shared" si="266"/>
        <v>0</v>
      </c>
      <c r="J564" s="462">
        <f t="shared" si="266"/>
        <v>0</v>
      </c>
      <c r="K564" s="462" t="e">
        <f t="shared" si="237"/>
        <v>#DIV/0!</v>
      </c>
      <c r="L564" s="462">
        <f t="shared" si="238"/>
        <v>0</v>
      </c>
      <c r="M564" s="462">
        <f t="shared" ref="M564:M565" si="267">M565</f>
        <v>0</v>
      </c>
      <c r="N564" s="178">
        <f t="shared" si="236"/>
        <v>0</v>
      </c>
      <c r="O564" s="179">
        <f t="shared" si="239"/>
        <v>0</v>
      </c>
    </row>
    <row r="565" spans="1:15" ht="50.95" hidden="1" outlineLevel="5" x14ac:dyDescent="0.3">
      <c r="A565" s="189" t="s">
        <v>37</v>
      </c>
      <c r="B565" s="392" t="s">
        <v>490</v>
      </c>
      <c r="C565" s="392" t="s">
        <v>72</v>
      </c>
      <c r="D565" s="392" t="s">
        <v>538</v>
      </c>
      <c r="E565" s="392" t="s">
        <v>38</v>
      </c>
      <c r="F565" s="471">
        <f>F566</f>
        <v>0</v>
      </c>
      <c r="G565" s="462">
        <f t="shared" si="266"/>
        <v>0</v>
      </c>
      <c r="H565" s="462"/>
      <c r="I565" s="462">
        <f t="shared" si="266"/>
        <v>0</v>
      </c>
      <c r="J565" s="462">
        <f t="shared" si="266"/>
        <v>0</v>
      </c>
      <c r="K565" s="462" t="e">
        <f t="shared" si="237"/>
        <v>#DIV/0!</v>
      </c>
      <c r="L565" s="462">
        <f t="shared" si="238"/>
        <v>0</v>
      </c>
      <c r="M565" s="462">
        <f t="shared" si="267"/>
        <v>0</v>
      </c>
      <c r="N565" s="178">
        <f t="shared" si="236"/>
        <v>0</v>
      </c>
      <c r="O565" s="179">
        <f t="shared" si="239"/>
        <v>0</v>
      </c>
    </row>
    <row r="566" spans="1:15" hidden="1" outlineLevel="5" x14ac:dyDescent="0.3">
      <c r="A566" s="189" t="s">
        <v>74</v>
      </c>
      <c r="B566" s="392" t="s">
        <v>490</v>
      </c>
      <c r="C566" s="392" t="s">
        <v>72</v>
      </c>
      <c r="D566" s="392" t="s">
        <v>538</v>
      </c>
      <c r="E566" s="392" t="s">
        <v>75</v>
      </c>
      <c r="F566" s="475">
        <v>0</v>
      </c>
      <c r="G566" s="462">
        <v>0</v>
      </c>
      <c r="H566" s="462"/>
      <c r="I566" s="462">
        <v>0</v>
      </c>
      <c r="J566" s="449"/>
      <c r="K566" s="462" t="e">
        <f t="shared" si="237"/>
        <v>#DIV/0!</v>
      </c>
      <c r="L566" s="462">
        <f t="shared" si="238"/>
        <v>0</v>
      </c>
      <c r="M566" s="449"/>
      <c r="N566" s="178">
        <f t="shared" si="236"/>
        <v>0</v>
      </c>
      <c r="O566" s="179">
        <f t="shared" si="239"/>
        <v>0</v>
      </c>
    </row>
    <row r="567" spans="1:15" ht="71.5" customHeight="1" outlineLevel="5" x14ac:dyDescent="0.3">
      <c r="A567" s="189" t="s">
        <v>114</v>
      </c>
      <c r="B567" s="392" t="s">
        <v>490</v>
      </c>
      <c r="C567" s="392" t="s">
        <v>72</v>
      </c>
      <c r="D567" s="392" t="s">
        <v>147</v>
      </c>
      <c r="E567" s="392" t="s">
        <v>6</v>
      </c>
      <c r="F567" s="471">
        <f>F568</f>
        <v>95248429.939999998</v>
      </c>
      <c r="G567" s="462">
        <f t="shared" ref="G567:J568" si="268">G568</f>
        <v>108130535.04000001</v>
      </c>
      <c r="H567" s="462"/>
      <c r="I567" s="462">
        <f t="shared" si="268"/>
        <v>99463771.150000006</v>
      </c>
      <c r="J567" s="462">
        <f t="shared" si="268"/>
        <v>130952712</v>
      </c>
      <c r="K567" s="462">
        <f t="shared" si="237"/>
        <v>121.1061352388181</v>
      </c>
      <c r="L567" s="462">
        <f t="shared" si="238"/>
        <v>22822176.959999993</v>
      </c>
      <c r="M567" s="462">
        <f t="shared" ref="M567:M568" si="269">M568</f>
        <v>127698710</v>
      </c>
      <c r="N567" s="178">
        <f t="shared" si="236"/>
        <v>-3254002</v>
      </c>
      <c r="O567" s="179">
        <f t="shared" si="239"/>
        <v>19568174.959999993</v>
      </c>
    </row>
    <row r="568" spans="1:15" ht="50.95" outlineLevel="5" x14ac:dyDescent="0.3">
      <c r="A568" s="189" t="s">
        <v>37</v>
      </c>
      <c r="B568" s="392" t="s">
        <v>490</v>
      </c>
      <c r="C568" s="392" t="s">
        <v>72</v>
      </c>
      <c r="D568" s="392" t="s">
        <v>147</v>
      </c>
      <c r="E568" s="392" t="s">
        <v>38</v>
      </c>
      <c r="F568" s="471">
        <f>F569</f>
        <v>95248429.939999998</v>
      </c>
      <c r="G568" s="462">
        <f t="shared" si="268"/>
        <v>108130535.04000001</v>
      </c>
      <c r="H568" s="462"/>
      <c r="I568" s="462">
        <f t="shared" si="268"/>
        <v>99463771.150000006</v>
      </c>
      <c r="J568" s="462">
        <f t="shared" si="268"/>
        <v>130952712</v>
      </c>
      <c r="K568" s="462">
        <f t="shared" si="237"/>
        <v>121.1061352388181</v>
      </c>
      <c r="L568" s="462">
        <f t="shared" si="238"/>
        <v>22822176.959999993</v>
      </c>
      <c r="M568" s="462">
        <f t="shared" si="269"/>
        <v>127698710</v>
      </c>
      <c r="N568" s="178">
        <f t="shared" si="236"/>
        <v>-3254002</v>
      </c>
      <c r="O568" s="179">
        <f t="shared" si="239"/>
        <v>19568174.959999993</v>
      </c>
    </row>
    <row r="569" spans="1:15" outlineLevel="5" x14ac:dyDescent="0.3">
      <c r="A569" s="189" t="s">
        <v>74</v>
      </c>
      <c r="B569" s="392" t="s">
        <v>490</v>
      </c>
      <c r="C569" s="392" t="s">
        <v>72</v>
      </c>
      <c r="D569" s="392" t="s">
        <v>147</v>
      </c>
      <c r="E569" s="392" t="s">
        <v>75</v>
      </c>
      <c r="F569" s="475">
        <v>95248429.939999998</v>
      </c>
      <c r="G569" s="449">
        <f>'потребность 2023 (5)'!K596+3552590+90000+37000+1644187+1000000+700000-150000</f>
        <v>108130535.04000001</v>
      </c>
      <c r="H569" s="449"/>
      <c r="I569" s="449">
        <v>99463771.150000006</v>
      </c>
      <c r="J569" s="449">
        <v>130952712</v>
      </c>
      <c r="K569" s="462">
        <f t="shared" si="237"/>
        <v>121.1061352388181</v>
      </c>
      <c r="L569" s="462">
        <f t="shared" si="238"/>
        <v>22822176.959999993</v>
      </c>
      <c r="M569" s="449">
        <f>130952712-2119002-1135000</f>
        <v>127698710</v>
      </c>
      <c r="N569" s="178">
        <f t="shared" si="236"/>
        <v>-3254002</v>
      </c>
      <c r="O569" s="179">
        <f t="shared" si="239"/>
        <v>19568174.959999993</v>
      </c>
    </row>
    <row r="570" spans="1:15" ht="118.9" hidden="1" outlineLevel="5" x14ac:dyDescent="0.3">
      <c r="A570" s="189" t="s">
        <v>936</v>
      </c>
      <c r="B570" s="392" t="s">
        <v>490</v>
      </c>
      <c r="C570" s="392" t="s">
        <v>72</v>
      </c>
      <c r="D570" s="392" t="s">
        <v>148</v>
      </c>
      <c r="E570" s="392" t="s">
        <v>6</v>
      </c>
      <c r="F570" s="471">
        <f>F571</f>
        <v>0</v>
      </c>
      <c r="G570" s="462">
        <f t="shared" ref="G570:J571" si="270">G571</f>
        <v>0</v>
      </c>
      <c r="H570" s="462"/>
      <c r="I570" s="462">
        <f t="shared" si="270"/>
        <v>0</v>
      </c>
      <c r="J570" s="462">
        <f t="shared" si="270"/>
        <v>0</v>
      </c>
      <c r="K570" s="462" t="e">
        <f t="shared" si="237"/>
        <v>#DIV/0!</v>
      </c>
      <c r="L570" s="462">
        <f t="shared" si="238"/>
        <v>0</v>
      </c>
      <c r="M570" s="462">
        <f t="shared" ref="M570:M571" si="271">M571</f>
        <v>0</v>
      </c>
      <c r="N570" s="178">
        <f t="shared" si="236"/>
        <v>0</v>
      </c>
      <c r="O570" s="179">
        <f t="shared" si="239"/>
        <v>0</v>
      </c>
    </row>
    <row r="571" spans="1:15" ht="50.95" hidden="1" outlineLevel="5" x14ac:dyDescent="0.3">
      <c r="A571" s="189" t="s">
        <v>37</v>
      </c>
      <c r="B571" s="392" t="s">
        <v>490</v>
      </c>
      <c r="C571" s="392" t="s">
        <v>72</v>
      </c>
      <c r="D571" s="392" t="s">
        <v>148</v>
      </c>
      <c r="E571" s="392" t="s">
        <v>38</v>
      </c>
      <c r="F571" s="471">
        <f>F572</f>
        <v>0</v>
      </c>
      <c r="G571" s="462">
        <f t="shared" si="270"/>
        <v>0</v>
      </c>
      <c r="H571" s="462"/>
      <c r="I571" s="462">
        <f t="shared" si="270"/>
        <v>0</v>
      </c>
      <c r="J571" s="462">
        <f t="shared" si="270"/>
        <v>0</v>
      </c>
      <c r="K571" s="462" t="e">
        <f t="shared" si="237"/>
        <v>#DIV/0!</v>
      </c>
      <c r="L571" s="462">
        <f t="shared" si="238"/>
        <v>0</v>
      </c>
      <c r="M571" s="462">
        <f t="shared" si="271"/>
        <v>0</v>
      </c>
      <c r="N571" s="178">
        <f t="shared" si="236"/>
        <v>0</v>
      </c>
      <c r="O571" s="179">
        <f t="shared" si="239"/>
        <v>0</v>
      </c>
    </row>
    <row r="572" spans="1:15" hidden="1" outlineLevel="5" x14ac:dyDescent="0.3">
      <c r="A572" s="189" t="s">
        <v>74</v>
      </c>
      <c r="B572" s="392" t="s">
        <v>490</v>
      </c>
      <c r="C572" s="392" t="s">
        <v>72</v>
      </c>
      <c r="D572" s="392" t="s">
        <v>148</v>
      </c>
      <c r="E572" s="392" t="s">
        <v>75</v>
      </c>
      <c r="F572" s="475">
        <v>0</v>
      </c>
      <c r="G572" s="449">
        <v>0</v>
      </c>
      <c r="H572" s="449"/>
      <c r="I572" s="449">
        <v>0</v>
      </c>
      <c r="J572" s="449"/>
      <c r="K572" s="462" t="e">
        <f t="shared" si="237"/>
        <v>#DIV/0!</v>
      </c>
      <c r="L572" s="462">
        <f t="shared" si="238"/>
        <v>0</v>
      </c>
      <c r="M572" s="449"/>
      <c r="N572" s="178">
        <f t="shared" si="236"/>
        <v>0</v>
      </c>
      <c r="O572" s="179">
        <f t="shared" si="239"/>
        <v>0</v>
      </c>
    </row>
    <row r="573" spans="1:15" ht="101.9" hidden="1" outlineLevel="5" x14ac:dyDescent="0.3">
      <c r="A573" s="202" t="s">
        <v>958</v>
      </c>
      <c r="B573" s="392" t="s">
        <v>490</v>
      </c>
      <c r="C573" s="392" t="s">
        <v>72</v>
      </c>
      <c r="D573" s="392" t="s">
        <v>794</v>
      </c>
      <c r="E573" s="392" t="s">
        <v>6</v>
      </c>
      <c r="F573" s="476">
        <f>F574</f>
        <v>0</v>
      </c>
      <c r="G573" s="449">
        <f t="shared" ref="G573:J574" si="272">G574</f>
        <v>0</v>
      </c>
      <c r="H573" s="449"/>
      <c r="I573" s="449">
        <f t="shared" si="272"/>
        <v>0</v>
      </c>
      <c r="J573" s="449">
        <f t="shared" si="272"/>
        <v>0</v>
      </c>
      <c r="K573" s="462" t="e">
        <f t="shared" si="237"/>
        <v>#DIV/0!</v>
      </c>
      <c r="L573" s="462">
        <f t="shared" si="238"/>
        <v>0</v>
      </c>
      <c r="M573" s="449">
        <f t="shared" ref="M573:M574" si="273">M574</f>
        <v>0</v>
      </c>
      <c r="N573" s="178">
        <f t="shared" si="236"/>
        <v>0</v>
      </c>
      <c r="O573" s="179">
        <f t="shared" si="239"/>
        <v>0</v>
      </c>
    </row>
    <row r="574" spans="1:15" ht="50.95" hidden="1" outlineLevel="5" x14ac:dyDescent="0.3">
      <c r="A574" s="189" t="s">
        <v>37</v>
      </c>
      <c r="B574" s="392" t="s">
        <v>490</v>
      </c>
      <c r="C574" s="392" t="s">
        <v>72</v>
      </c>
      <c r="D574" s="392" t="s">
        <v>794</v>
      </c>
      <c r="E574" s="392" t="s">
        <v>38</v>
      </c>
      <c r="F574" s="476">
        <f>F575</f>
        <v>0</v>
      </c>
      <c r="G574" s="449">
        <f t="shared" si="272"/>
        <v>0</v>
      </c>
      <c r="H574" s="449"/>
      <c r="I574" s="449">
        <f t="shared" si="272"/>
        <v>0</v>
      </c>
      <c r="J574" s="449">
        <f t="shared" si="272"/>
        <v>0</v>
      </c>
      <c r="K574" s="462" t="e">
        <f t="shared" si="237"/>
        <v>#DIV/0!</v>
      </c>
      <c r="L574" s="462">
        <f t="shared" si="238"/>
        <v>0</v>
      </c>
      <c r="M574" s="449">
        <f t="shared" si="273"/>
        <v>0</v>
      </c>
      <c r="N574" s="178">
        <f t="shared" si="236"/>
        <v>0</v>
      </c>
      <c r="O574" s="179">
        <f t="shared" si="239"/>
        <v>0</v>
      </c>
    </row>
    <row r="575" spans="1:15" hidden="1" outlineLevel="5" x14ac:dyDescent="0.3">
      <c r="A575" s="189" t="s">
        <v>74</v>
      </c>
      <c r="B575" s="392" t="s">
        <v>490</v>
      </c>
      <c r="C575" s="392" t="s">
        <v>72</v>
      </c>
      <c r="D575" s="392" t="s">
        <v>794</v>
      </c>
      <c r="E575" s="392" t="s">
        <v>75</v>
      </c>
      <c r="F575" s="475">
        <v>0</v>
      </c>
      <c r="G575" s="449">
        <v>0</v>
      </c>
      <c r="H575" s="449"/>
      <c r="I575" s="449">
        <v>0</v>
      </c>
      <c r="J575" s="449"/>
      <c r="K575" s="462" t="e">
        <f t="shared" si="237"/>
        <v>#DIV/0!</v>
      </c>
      <c r="L575" s="462">
        <f t="shared" si="238"/>
        <v>0</v>
      </c>
      <c r="M575" s="449"/>
      <c r="N575" s="178">
        <f t="shared" si="236"/>
        <v>0</v>
      </c>
      <c r="O575" s="179">
        <f t="shared" si="239"/>
        <v>0</v>
      </c>
    </row>
    <row r="576" spans="1:15" ht="34" outlineLevel="5" x14ac:dyDescent="0.3">
      <c r="A576" s="189" t="s">
        <v>204</v>
      </c>
      <c r="B576" s="392" t="s">
        <v>490</v>
      </c>
      <c r="C576" s="392" t="s">
        <v>72</v>
      </c>
      <c r="D576" s="392" t="s">
        <v>217</v>
      </c>
      <c r="E576" s="392" t="s">
        <v>6</v>
      </c>
      <c r="F576" s="476">
        <f>F589+F577+F580+F586+F583+F592+F602</f>
        <v>5155679.26</v>
      </c>
      <c r="G576" s="449">
        <f>G589+G577+G580+G586+G583+G592+G603</f>
        <v>2700747</v>
      </c>
      <c r="H576" s="449"/>
      <c r="I576" s="449">
        <f>I589+I577+I580+I586+I583+I592</f>
        <v>2382000.11</v>
      </c>
      <c r="J576" s="449">
        <f>J589+J577+J580+J586+J583+J592</f>
        <v>5382000.1099999994</v>
      </c>
      <c r="K576" s="462">
        <f t="shared" si="237"/>
        <v>199.27820377103075</v>
      </c>
      <c r="L576" s="462">
        <f t="shared" si="238"/>
        <v>2681253.1099999994</v>
      </c>
      <c r="M576" s="449">
        <f>M589+M577+M580+M586+M583+M592</f>
        <v>2382000.11</v>
      </c>
      <c r="N576" s="178">
        <f t="shared" si="236"/>
        <v>-2999999.9999999995</v>
      </c>
      <c r="O576" s="179">
        <f t="shared" si="239"/>
        <v>-318746.89000000013</v>
      </c>
    </row>
    <row r="577" spans="1:15" ht="34" outlineLevel="5" x14ac:dyDescent="0.3">
      <c r="A577" s="189" t="s">
        <v>262</v>
      </c>
      <c r="B577" s="392" t="s">
        <v>490</v>
      </c>
      <c r="C577" s="392" t="s">
        <v>72</v>
      </c>
      <c r="D577" s="392" t="s">
        <v>263</v>
      </c>
      <c r="E577" s="392" t="s">
        <v>6</v>
      </c>
      <c r="F577" s="476">
        <f>F578</f>
        <v>139044.26999999999</v>
      </c>
      <c r="G577" s="449">
        <f t="shared" ref="G577:J578" si="274">G578</f>
        <v>221200</v>
      </c>
      <c r="H577" s="449"/>
      <c r="I577" s="449">
        <f t="shared" si="274"/>
        <v>221200</v>
      </c>
      <c r="J577" s="449">
        <f t="shared" si="274"/>
        <v>221200</v>
      </c>
      <c r="K577" s="462">
        <f t="shared" si="237"/>
        <v>100</v>
      </c>
      <c r="L577" s="462">
        <f t="shared" si="238"/>
        <v>0</v>
      </c>
      <c r="M577" s="449">
        <f t="shared" ref="M577:M578" si="275">M578</f>
        <v>221200</v>
      </c>
      <c r="N577" s="178">
        <f t="shared" si="236"/>
        <v>0</v>
      </c>
      <c r="O577" s="179">
        <f t="shared" si="239"/>
        <v>0</v>
      </c>
    </row>
    <row r="578" spans="1:15" ht="50.95" outlineLevel="5" x14ac:dyDescent="0.3">
      <c r="A578" s="189" t="s">
        <v>37</v>
      </c>
      <c r="B578" s="392" t="s">
        <v>490</v>
      </c>
      <c r="C578" s="392" t="s">
        <v>72</v>
      </c>
      <c r="D578" s="392" t="s">
        <v>263</v>
      </c>
      <c r="E578" s="392" t="s">
        <v>38</v>
      </c>
      <c r="F578" s="476">
        <f>F579</f>
        <v>139044.26999999999</v>
      </c>
      <c r="G578" s="449">
        <f t="shared" si="274"/>
        <v>221200</v>
      </c>
      <c r="H578" s="449"/>
      <c r="I578" s="449">
        <f t="shared" si="274"/>
        <v>221200</v>
      </c>
      <c r="J578" s="449">
        <f t="shared" si="274"/>
        <v>221200</v>
      </c>
      <c r="K578" s="462">
        <f t="shared" si="237"/>
        <v>100</v>
      </c>
      <c r="L578" s="462">
        <f t="shared" si="238"/>
        <v>0</v>
      </c>
      <c r="M578" s="449">
        <f t="shared" si="275"/>
        <v>221200</v>
      </c>
      <c r="N578" s="178">
        <f t="shared" si="236"/>
        <v>0</v>
      </c>
      <c r="O578" s="179">
        <f t="shared" si="239"/>
        <v>0</v>
      </c>
    </row>
    <row r="579" spans="1:15" outlineLevel="5" x14ac:dyDescent="0.3">
      <c r="A579" s="189" t="s">
        <v>74</v>
      </c>
      <c r="B579" s="392" t="s">
        <v>490</v>
      </c>
      <c r="C579" s="392" t="s">
        <v>72</v>
      </c>
      <c r="D579" s="392" t="s">
        <v>263</v>
      </c>
      <c r="E579" s="392" t="s">
        <v>75</v>
      </c>
      <c r="F579" s="475">
        <v>139044.26999999999</v>
      </c>
      <c r="G579" s="449">
        <f>'потребность 2023 (5)'!K606</f>
        <v>221200</v>
      </c>
      <c r="H579" s="449"/>
      <c r="I579" s="449">
        <v>221200</v>
      </c>
      <c r="J579" s="449">
        <v>221200</v>
      </c>
      <c r="K579" s="462">
        <f t="shared" si="237"/>
        <v>100</v>
      </c>
      <c r="L579" s="462">
        <f t="shared" si="238"/>
        <v>0</v>
      </c>
      <c r="M579" s="449">
        <v>221200</v>
      </c>
      <c r="N579" s="178">
        <f t="shared" si="236"/>
        <v>0</v>
      </c>
      <c r="O579" s="179">
        <f t="shared" si="239"/>
        <v>0</v>
      </c>
    </row>
    <row r="580" spans="1:15" ht="50.95" outlineLevel="5" x14ac:dyDescent="0.3">
      <c r="A580" s="189" t="s">
        <v>461</v>
      </c>
      <c r="B580" s="392" t="s">
        <v>490</v>
      </c>
      <c r="C580" s="392" t="s">
        <v>72</v>
      </c>
      <c r="D580" s="392" t="s">
        <v>301</v>
      </c>
      <c r="E580" s="392" t="s">
        <v>6</v>
      </c>
      <c r="F580" s="476">
        <f>F581</f>
        <v>874250</v>
      </c>
      <c r="G580" s="449">
        <f t="shared" ref="G580:J581" si="276">G581</f>
        <v>1355167</v>
      </c>
      <c r="H580" s="449"/>
      <c r="I580" s="449">
        <f t="shared" si="276"/>
        <v>0</v>
      </c>
      <c r="J580" s="449">
        <f t="shared" si="276"/>
        <v>3000000</v>
      </c>
      <c r="K580" s="462">
        <f t="shared" si="237"/>
        <v>221.37493017465744</v>
      </c>
      <c r="L580" s="462">
        <f t="shared" si="238"/>
        <v>1644833</v>
      </c>
      <c r="M580" s="449">
        <f t="shared" ref="M580:M581" si="277">M581</f>
        <v>0</v>
      </c>
      <c r="N580" s="178">
        <f t="shared" si="236"/>
        <v>-3000000</v>
      </c>
      <c r="O580" s="179">
        <f t="shared" si="239"/>
        <v>-1355167</v>
      </c>
    </row>
    <row r="581" spans="1:15" ht="50.95" outlineLevel="5" x14ac:dyDescent="0.3">
      <c r="A581" s="189" t="s">
        <v>37</v>
      </c>
      <c r="B581" s="392" t="s">
        <v>490</v>
      </c>
      <c r="C581" s="392" t="s">
        <v>72</v>
      </c>
      <c r="D581" s="392" t="s">
        <v>301</v>
      </c>
      <c r="E581" s="392" t="s">
        <v>38</v>
      </c>
      <c r="F581" s="476">
        <f>F582</f>
        <v>874250</v>
      </c>
      <c r="G581" s="449">
        <f t="shared" si="276"/>
        <v>1355167</v>
      </c>
      <c r="H581" s="449"/>
      <c r="I581" s="449">
        <f t="shared" si="276"/>
        <v>0</v>
      </c>
      <c r="J581" s="449">
        <f t="shared" si="276"/>
        <v>3000000</v>
      </c>
      <c r="K581" s="462">
        <f t="shared" si="237"/>
        <v>221.37493017465744</v>
      </c>
      <c r="L581" s="462">
        <f t="shared" si="238"/>
        <v>1644833</v>
      </c>
      <c r="M581" s="449">
        <f t="shared" si="277"/>
        <v>0</v>
      </c>
      <c r="N581" s="178">
        <f t="shared" si="236"/>
        <v>-3000000</v>
      </c>
      <c r="O581" s="179">
        <f t="shared" si="239"/>
        <v>-1355167</v>
      </c>
    </row>
    <row r="582" spans="1:15" outlineLevel="5" x14ac:dyDescent="0.3">
      <c r="A582" s="189" t="s">
        <v>74</v>
      </c>
      <c r="B582" s="392" t="s">
        <v>490</v>
      </c>
      <c r="C582" s="392" t="s">
        <v>72</v>
      </c>
      <c r="D582" s="392" t="s">
        <v>301</v>
      </c>
      <c r="E582" s="392" t="s">
        <v>75</v>
      </c>
      <c r="F582" s="475">
        <v>874250</v>
      </c>
      <c r="G582" s="449">
        <f>3000000-1047413+8000-605420</f>
        <v>1355167</v>
      </c>
      <c r="H582" s="449"/>
      <c r="I582" s="449">
        <v>0</v>
      </c>
      <c r="J582" s="449">
        <v>3000000</v>
      </c>
      <c r="K582" s="462">
        <f t="shared" si="237"/>
        <v>221.37493017465744</v>
      </c>
      <c r="L582" s="462">
        <f t="shared" si="238"/>
        <v>1644833</v>
      </c>
      <c r="M582" s="449">
        <f>3000000-3000000</f>
        <v>0</v>
      </c>
      <c r="N582" s="178">
        <f t="shared" si="236"/>
        <v>-3000000</v>
      </c>
      <c r="O582" s="179">
        <f t="shared" si="239"/>
        <v>-1355167</v>
      </c>
    </row>
    <row r="583" spans="1:15" ht="39.75" customHeight="1" outlineLevel="5" x14ac:dyDescent="0.3">
      <c r="A583" s="189" t="s">
        <v>415</v>
      </c>
      <c r="B583" s="392" t="s">
        <v>490</v>
      </c>
      <c r="C583" s="392" t="s">
        <v>72</v>
      </c>
      <c r="D583" s="392" t="s">
        <v>651</v>
      </c>
      <c r="E583" s="392" t="s">
        <v>6</v>
      </c>
      <c r="F583" s="476">
        <f>F584</f>
        <v>193200</v>
      </c>
      <c r="G583" s="449">
        <f t="shared" ref="G583:J584" si="278">G584</f>
        <v>647080</v>
      </c>
      <c r="H583" s="449"/>
      <c r="I583" s="449">
        <f t="shared" si="278"/>
        <v>0</v>
      </c>
      <c r="J583" s="449">
        <f t="shared" si="278"/>
        <v>0</v>
      </c>
      <c r="K583" s="462">
        <f t="shared" si="237"/>
        <v>0</v>
      </c>
      <c r="L583" s="462">
        <f t="shared" si="238"/>
        <v>-647080</v>
      </c>
      <c r="M583" s="449">
        <f t="shared" ref="M583:M584" si="279">M584</f>
        <v>0</v>
      </c>
      <c r="N583" s="178">
        <f t="shared" si="236"/>
        <v>0</v>
      </c>
      <c r="O583" s="179">
        <f t="shared" si="239"/>
        <v>-647080</v>
      </c>
    </row>
    <row r="584" spans="1:15" ht="50.95" outlineLevel="5" x14ac:dyDescent="0.3">
      <c r="A584" s="189" t="s">
        <v>37</v>
      </c>
      <c r="B584" s="392" t="s">
        <v>490</v>
      </c>
      <c r="C584" s="392" t="s">
        <v>72</v>
      </c>
      <c r="D584" s="392" t="s">
        <v>651</v>
      </c>
      <c r="E584" s="392" t="s">
        <v>38</v>
      </c>
      <c r="F584" s="476">
        <f>F585</f>
        <v>193200</v>
      </c>
      <c r="G584" s="449">
        <f t="shared" si="278"/>
        <v>647080</v>
      </c>
      <c r="H584" s="449"/>
      <c r="I584" s="449">
        <f t="shared" si="278"/>
        <v>0</v>
      </c>
      <c r="J584" s="449">
        <f t="shared" si="278"/>
        <v>0</v>
      </c>
      <c r="K584" s="462">
        <f t="shared" si="237"/>
        <v>0</v>
      </c>
      <c r="L584" s="462">
        <f t="shared" si="238"/>
        <v>-647080</v>
      </c>
      <c r="M584" s="449">
        <f t="shared" si="279"/>
        <v>0</v>
      </c>
      <c r="N584" s="178">
        <f t="shared" ref="N584:N647" si="280">M584-J584</f>
        <v>0</v>
      </c>
      <c r="O584" s="179">
        <f t="shared" si="239"/>
        <v>-647080</v>
      </c>
    </row>
    <row r="585" spans="1:15" outlineLevel="5" x14ac:dyDescent="0.3">
      <c r="A585" s="189" t="s">
        <v>74</v>
      </c>
      <c r="B585" s="392" t="s">
        <v>490</v>
      </c>
      <c r="C585" s="392" t="s">
        <v>72</v>
      </c>
      <c r="D585" s="392" t="s">
        <v>651</v>
      </c>
      <c r="E585" s="392" t="s">
        <v>75</v>
      </c>
      <c r="F585" s="475">
        <v>193200</v>
      </c>
      <c r="G585" s="449">
        <v>647080</v>
      </c>
      <c r="H585" s="449"/>
      <c r="I585" s="449">
        <v>0</v>
      </c>
      <c r="J585" s="449"/>
      <c r="K585" s="462">
        <f t="shared" ref="K585:K648" si="281">J585/G585*100</f>
        <v>0</v>
      </c>
      <c r="L585" s="462">
        <f t="shared" ref="L585:L648" si="282">J585-G585</f>
        <v>-647080</v>
      </c>
      <c r="M585" s="449"/>
      <c r="N585" s="178">
        <f t="shared" si="280"/>
        <v>0</v>
      </c>
      <c r="O585" s="179">
        <f t="shared" ref="O585:O648" si="283">M585-G585</f>
        <v>-647080</v>
      </c>
    </row>
    <row r="586" spans="1:15" ht="34" hidden="1" outlineLevel="5" x14ac:dyDescent="0.3">
      <c r="A586" s="189" t="s">
        <v>950</v>
      </c>
      <c r="B586" s="392" t="s">
        <v>490</v>
      </c>
      <c r="C586" s="392" t="s">
        <v>72</v>
      </c>
      <c r="D586" s="392" t="s">
        <v>540</v>
      </c>
      <c r="E586" s="392" t="s">
        <v>6</v>
      </c>
      <c r="F586" s="476">
        <f>F587</f>
        <v>0</v>
      </c>
      <c r="G586" s="449">
        <f t="shared" ref="G586:J587" si="284">G587</f>
        <v>0</v>
      </c>
      <c r="H586" s="449"/>
      <c r="I586" s="449">
        <f t="shared" si="284"/>
        <v>0</v>
      </c>
      <c r="J586" s="449">
        <f t="shared" si="284"/>
        <v>0</v>
      </c>
      <c r="K586" s="462" t="e">
        <f t="shared" si="281"/>
        <v>#DIV/0!</v>
      </c>
      <c r="L586" s="462">
        <f t="shared" si="282"/>
        <v>0</v>
      </c>
      <c r="M586" s="449">
        <f t="shared" ref="M586:M587" si="285">M587</f>
        <v>0</v>
      </c>
      <c r="N586" s="178">
        <f t="shared" si="280"/>
        <v>0</v>
      </c>
      <c r="O586" s="179">
        <f t="shared" si="283"/>
        <v>0</v>
      </c>
    </row>
    <row r="587" spans="1:15" s="224" customFormat="1" ht="40.75" hidden="1" customHeight="1" outlineLevel="5" x14ac:dyDescent="0.3">
      <c r="A587" s="189" t="s">
        <v>37</v>
      </c>
      <c r="B587" s="392" t="s">
        <v>490</v>
      </c>
      <c r="C587" s="392" t="s">
        <v>72</v>
      </c>
      <c r="D587" s="392" t="s">
        <v>540</v>
      </c>
      <c r="E587" s="392" t="s">
        <v>38</v>
      </c>
      <c r="F587" s="476">
        <f>F588</f>
        <v>0</v>
      </c>
      <c r="G587" s="449">
        <f t="shared" si="284"/>
        <v>0</v>
      </c>
      <c r="H587" s="449"/>
      <c r="I587" s="449">
        <f t="shared" si="284"/>
        <v>0</v>
      </c>
      <c r="J587" s="449">
        <f t="shared" si="284"/>
        <v>0</v>
      </c>
      <c r="K587" s="462" t="e">
        <f t="shared" si="281"/>
        <v>#DIV/0!</v>
      </c>
      <c r="L587" s="462">
        <f t="shared" si="282"/>
        <v>0</v>
      </c>
      <c r="M587" s="449">
        <f t="shared" si="285"/>
        <v>0</v>
      </c>
      <c r="N587" s="178">
        <f t="shared" si="280"/>
        <v>0</v>
      </c>
      <c r="O587" s="179">
        <f t="shared" si="283"/>
        <v>0</v>
      </c>
    </row>
    <row r="588" spans="1:15" ht="35.5" hidden="1" customHeight="1" outlineLevel="4" x14ac:dyDescent="0.3">
      <c r="A588" s="189" t="s">
        <v>74</v>
      </c>
      <c r="B588" s="392" t="s">
        <v>490</v>
      </c>
      <c r="C588" s="392" t="s">
        <v>72</v>
      </c>
      <c r="D588" s="392" t="s">
        <v>540</v>
      </c>
      <c r="E588" s="392" t="s">
        <v>75</v>
      </c>
      <c r="F588" s="475">
        <v>0</v>
      </c>
      <c r="G588" s="449">
        <f>'потребность 2023 (5)'!K615</f>
        <v>0</v>
      </c>
      <c r="H588" s="449"/>
      <c r="I588" s="449">
        <f>'потребность 2023 (5)'!L615</f>
        <v>0</v>
      </c>
      <c r="J588" s="449"/>
      <c r="K588" s="462" t="e">
        <f t="shared" si="281"/>
        <v>#DIV/0!</v>
      </c>
      <c r="L588" s="462">
        <f t="shared" si="282"/>
        <v>0</v>
      </c>
      <c r="M588" s="449"/>
      <c r="N588" s="178">
        <f t="shared" si="280"/>
        <v>0</v>
      </c>
      <c r="O588" s="179">
        <f t="shared" si="283"/>
        <v>0</v>
      </c>
    </row>
    <row r="589" spans="1:15" ht="42.3" customHeight="1" outlineLevel="4" x14ac:dyDescent="0.3">
      <c r="A589" s="189" t="s">
        <v>1012</v>
      </c>
      <c r="B589" s="392" t="s">
        <v>490</v>
      </c>
      <c r="C589" s="392" t="s">
        <v>72</v>
      </c>
      <c r="D589" s="392" t="s">
        <v>408</v>
      </c>
      <c r="E589" s="392" t="s">
        <v>6</v>
      </c>
      <c r="F589" s="476">
        <f>F590</f>
        <v>589142.87</v>
      </c>
      <c r="G589" s="449">
        <f t="shared" ref="G589:J590" si="286">G590</f>
        <v>0</v>
      </c>
      <c r="H589" s="449"/>
      <c r="I589" s="449">
        <f t="shared" si="286"/>
        <v>2160800.11</v>
      </c>
      <c r="J589" s="449">
        <f t="shared" si="286"/>
        <v>2160800.11</v>
      </c>
      <c r="K589" s="462" t="e">
        <f t="shared" si="281"/>
        <v>#DIV/0!</v>
      </c>
      <c r="L589" s="462">
        <f t="shared" si="282"/>
        <v>2160800.11</v>
      </c>
      <c r="M589" s="449">
        <f t="shared" ref="M589:M590" si="287">M590</f>
        <v>2160800.11</v>
      </c>
      <c r="N589" s="178">
        <f t="shared" si="280"/>
        <v>0</v>
      </c>
      <c r="O589" s="179">
        <f t="shared" si="283"/>
        <v>2160800.11</v>
      </c>
    </row>
    <row r="590" spans="1:15" ht="52.3" customHeight="1" outlineLevel="5" x14ac:dyDescent="0.3">
      <c r="A590" s="189" t="s">
        <v>37</v>
      </c>
      <c r="B590" s="392" t="s">
        <v>490</v>
      </c>
      <c r="C590" s="392" t="s">
        <v>72</v>
      </c>
      <c r="D590" s="392" t="s">
        <v>408</v>
      </c>
      <c r="E590" s="392" t="s">
        <v>38</v>
      </c>
      <c r="F590" s="476">
        <f>F591</f>
        <v>589142.87</v>
      </c>
      <c r="G590" s="449">
        <f t="shared" si="286"/>
        <v>0</v>
      </c>
      <c r="H590" s="449"/>
      <c r="I590" s="449">
        <f t="shared" si="286"/>
        <v>2160800.11</v>
      </c>
      <c r="J590" s="449">
        <f t="shared" si="286"/>
        <v>2160800.11</v>
      </c>
      <c r="K590" s="462" t="e">
        <f t="shared" si="281"/>
        <v>#DIV/0!</v>
      </c>
      <c r="L590" s="462">
        <f t="shared" si="282"/>
        <v>2160800.11</v>
      </c>
      <c r="M590" s="449">
        <f t="shared" si="287"/>
        <v>2160800.11</v>
      </c>
      <c r="N590" s="178">
        <f t="shared" si="280"/>
        <v>0</v>
      </c>
      <c r="O590" s="179">
        <f t="shared" si="283"/>
        <v>2160800.11</v>
      </c>
    </row>
    <row r="591" spans="1:15" ht="28.05" customHeight="1" outlineLevel="6" thickBot="1" x14ac:dyDescent="0.35">
      <c r="A591" s="189" t="s">
        <v>74</v>
      </c>
      <c r="B591" s="392" t="s">
        <v>490</v>
      </c>
      <c r="C591" s="392" t="s">
        <v>72</v>
      </c>
      <c r="D591" s="392" t="s">
        <v>408</v>
      </c>
      <c r="E591" s="392" t="s">
        <v>75</v>
      </c>
      <c r="F591" s="475">
        <v>589142.87</v>
      </c>
      <c r="G591" s="449">
        <f>'потребность 2023 (5)'!K618-993779.52</f>
        <v>0</v>
      </c>
      <c r="H591" s="449"/>
      <c r="I591" s="449">
        <v>2160800.11</v>
      </c>
      <c r="J591" s="449">
        <v>2160800.11</v>
      </c>
      <c r="K591" s="462" t="e">
        <f t="shared" si="281"/>
        <v>#DIV/0!</v>
      </c>
      <c r="L591" s="462">
        <f t="shared" si="282"/>
        <v>2160800.11</v>
      </c>
      <c r="M591" s="449">
        <v>2160800.11</v>
      </c>
      <c r="N591" s="178">
        <f t="shared" si="280"/>
        <v>0</v>
      </c>
      <c r="O591" s="179">
        <f t="shared" si="283"/>
        <v>2160800.11</v>
      </c>
    </row>
    <row r="592" spans="1:15" ht="67.45" customHeight="1" outlineLevel="6" thickBot="1" x14ac:dyDescent="0.35">
      <c r="A592" s="408" t="s">
        <v>806</v>
      </c>
      <c r="B592" s="392" t="s">
        <v>490</v>
      </c>
      <c r="C592" s="392" t="s">
        <v>72</v>
      </c>
      <c r="D592" s="392" t="s">
        <v>807</v>
      </c>
      <c r="E592" s="392" t="s">
        <v>6</v>
      </c>
      <c r="F592" s="476">
        <f>F593</f>
        <v>3360042.12</v>
      </c>
      <c r="G592" s="449">
        <f t="shared" ref="G592:J593" si="288">G593</f>
        <v>477300</v>
      </c>
      <c r="H592" s="449"/>
      <c r="I592" s="449">
        <f t="shared" si="288"/>
        <v>0</v>
      </c>
      <c r="J592" s="449">
        <f t="shared" si="288"/>
        <v>0</v>
      </c>
      <c r="K592" s="462">
        <f t="shared" si="281"/>
        <v>0</v>
      </c>
      <c r="L592" s="462">
        <f t="shared" si="282"/>
        <v>-477300</v>
      </c>
      <c r="M592" s="449">
        <f t="shared" ref="M592:M593" si="289">M593</f>
        <v>0</v>
      </c>
      <c r="N592" s="178">
        <f t="shared" si="280"/>
        <v>0</v>
      </c>
      <c r="O592" s="179">
        <f t="shared" si="283"/>
        <v>-477300</v>
      </c>
    </row>
    <row r="593" spans="1:15" ht="37.4" customHeight="1" outlineLevel="6" x14ac:dyDescent="0.3">
      <c r="A593" s="189" t="s">
        <v>37</v>
      </c>
      <c r="B593" s="392" t="s">
        <v>490</v>
      </c>
      <c r="C593" s="392" t="s">
        <v>72</v>
      </c>
      <c r="D593" s="392" t="s">
        <v>807</v>
      </c>
      <c r="E593" s="392" t="s">
        <v>38</v>
      </c>
      <c r="F593" s="476">
        <f>F594</f>
        <v>3360042.12</v>
      </c>
      <c r="G593" s="449">
        <f t="shared" si="288"/>
        <v>477300</v>
      </c>
      <c r="H593" s="449"/>
      <c r="I593" s="449">
        <f t="shared" si="288"/>
        <v>0</v>
      </c>
      <c r="J593" s="449">
        <f t="shared" si="288"/>
        <v>0</v>
      </c>
      <c r="K593" s="462">
        <f t="shared" si="281"/>
        <v>0</v>
      </c>
      <c r="L593" s="462">
        <f t="shared" si="282"/>
        <v>-477300</v>
      </c>
      <c r="M593" s="449">
        <f t="shared" si="289"/>
        <v>0</v>
      </c>
      <c r="N593" s="178">
        <f t="shared" si="280"/>
        <v>0</v>
      </c>
      <c r="O593" s="179">
        <f t="shared" si="283"/>
        <v>-477300</v>
      </c>
    </row>
    <row r="594" spans="1:15" ht="36.700000000000003" customHeight="1" outlineLevel="6" x14ac:dyDescent="0.3">
      <c r="A594" s="189" t="s">
        <v>74</v>
      </c>
      <c r="B594" s="392" t="s">
        <v>490</v>
      </c>
      <c r="C594" s="392" t="s">
        <v>72</v>
      </c>
      <c r="D594" s="392" t="s">
        <v>807</v>
      </c>
      <c r="E594" s="392" t="s">
        <v>75</v>
      </c>
      <c r="F594" s="475">
        <v>3360042.12</v>
      </c>
      <c r="G594" s="449">
        <v>477300</v>
      </c>
      <c r="H594" s="449"/>
      <c r="I594" s="449">
        <v>0</v>
      </c>
      <c r="J594" s="449"/>
      <c r="K594" s="462">
        <f t="shared" si="281"/>
        <v>0</v>
      </c>
      <c r="L594" s="462">
        <f t="shared" si="282"/>
        <v>-477300</v>
      </c>
      <c r="M594" s="449"/>
      <c r="N594" s="178">
        <f t="shared" si="280"/>
        <v>0</v>
      </c>
      <c r="O594" s="179">
        <f t="shared" si="283"/>
        <v>-477300</v>
      </c>
    </row>
    <row r="595" spans="1:15" ht="40.1" customHeight="1" outlineLevel="7" x14ac:dyDescent="0.3">
      <c r="A595" s="189" t="s">
        <v>267</v>
      </c>
      <c r="B595" s="392" t="s">
        <v>490</v>
      </c>
      <c r="C595" s="392" t="s">
        <v>72</v>
      </c>
      <c r="D595" s="392" t="s">
        <v>220</v>
      </c>
      <c r="E595" s="392" t="s">
        <v>6</v>
      </c>
      <c r="F595" s="476">
        <f>F596+F599</f>
        <v>65280</v>
      </c>
      <c r="G595" s="449">
        <f>G596+G599</f>
        <v>904940</v>
      </c>
      <c r="H595" s="449"/>
      <c r="I595" s="449">
        <f>I596+I599</f>
        <v>0</v>
      </c>
      <c r="J595" s="449">
        <f>J596+J599</f>
        <v>422000</v>
      </c>
      <c r="K595" s="462">
        <f t="shared" si="281"/>
        <v>46.632925939841314</v>
      </c>
      <c r="L595" s="462">
        <f t="shared" si="282"/>
        <v>-482940</v>
      </c>
      <c r="M595" s="449">
        <f>M596+M599</f>
        <v>422000</v>
      </c>
      <c r="N595" s="178">
        <f t="shared" si="280"/>
        <v>0</v>
      </c>
      <c r="O595" s="179">
        <f t="shared" si="283"/>
        <v>-482940</v>
      </c>
    </row>
    <row r="596" spans="1:15" ht="70" hidden="1" customHeight="1" outlineLevel="7" x14ac:dyDescent="0.3">
      <c r="A596" s="189" t="s">
        <v>942</v>
      </c>
      <c r="B596" s="392" t="s">
        <v>490</v>
      </c>
      <c r="C596" s="392" t="s">
        <v>72</v>
      </c>
      <c r="D596" s="392" t="s">
        <v>596</v>
      </c>
      <c r="E596" s="392" t="s">
        <v>6</v>
      </c>
      <c r="F596" s="476">
        <f>F597</f>
        <v>0</v>
      </c>
      <c r="G596" s="449">
        <f t="shared" ref="G596:J597" si="290">G597</f>
        <v>0</v>
      </c>
      <c r="H596" s="449"/>
      <c r="I596" s="449">
        <f t="shared" si="290"/>
        <v>0</v>
      </c>
      <c r="J596" s="449">
        <f t="shared" si="290"/>
        <v>0</v>
      </c>
      <c r="K596" s="462" t="e">
        <f t="shared" si="281"/>
        <v>#DIV/0!</v>
      </c>
      <c r="L596" s="462">
        <f t="shared" si="282"/>
        <v>0</v>
      </c>
      <c r="M596" s="449">
        <f t="shared" ref="M596:M597" si="291">M597</f>
        <v>0</v>
      </c>
      <c r="N596" s="178">
        <f t="shared" si="280"/>
        <v>0</v>
      </c>
      <c r="O596" s="179">
        <f t="shared" si="283"/>
        <v>0</v>
      </c>
    </row>
    <row r="597" spans="1:15" ht="53.15" hidden="1" customHeight="1" outlineLevel="7" x14ac:dyDescent="0.3">
      <c r="A597" s="189" t="s">
        <v>37</v>
      </c>
      <c r="B597" s="392" t="s">
        <v>490</v>
      </c>
      <c r="C597" s="392" t="s">
        <v>72</v>
      </c>
      <c r="D597" s="392" t="s">
        <v>596</v>
      </c>
      <c r="E597" s="392" t="s">
        <v>38</v>
      </c>
      <c r="F597" s="476">
        <f>F598</f>
        <v>0</v>
      </c>
      <c r="G597" s="449">
        <f t="shared" si="290"/>
        <v>0</v>
      </c>
      <c r="H597" s="449"/>
      <c r="I597" s="449">
        <f t="shared" si="290"/>
        <v>0</v>
      </c>
      <c r="J597" s="449">
        <f t="shared" si="290"/>
        <v>0</v>
      </c>
      <c r="K597" s="462" t="e">
        <f t="shared" si="281"/>
        <v>#DIV/0!</v>
      </c>
      <c r="L597" s="462">
        <f t="shared" si="282"/>
        <v>0</v>
      </c>
      <c r="M597" s="449">
        <f t="shared" si="291"/>
        <v>0</v>
      </c>
      <c r="N597" s="178">
        <f t="shared" si="280"/>
        <v>0</v>
      </c>
      <c r="O597" s="179">
        <f t="shared" si="283"/>
        <v>0</v>
      </c>
    </row>
    <row r="598" spans="1:15" ht="37.4" hidden="1" customHeight="1" outlineLevel="7" x14ac:dyDescent="0.3">
      <c r="A598" s="189" t="s">
        <v>74</v>
      </c>
      <c r="B598" s="392" t="s">
        <v>490</v>
      </c>
      <c r="C598" s="392" t="s">
        <v>72</v>
      </c>
      <c r="D598" s="392" t="s">
        <v>596</v>
      </c>
      <c r="E598" s="392" t="s">
        <v>75</v>
      </c>
      <c r="F598" s="475">
        <v>0</v>
      </c>
      <c r="G598" s="449">
        <v>0</v>
      </c>
      <c r="H598" s="449"/>
      <c r="I598" s="449">
        <v>0</v>
      </c>
      <c r="J598" s="449"/>
      <c r="K598" s="462" t="e">
        <f t="shared" si="281"/>
        <v>#DIV/0!</v>
      </c>
      <c r="L598" s="462">
        <f t="shared" si="282"/>
        <v>0</v>
      </c>
      <c r="M598" s="449"/>
      <c r="N598" s="178">
        <f t="shared" si="280"/>
        <v>0</v>
      </c>
      <c r="O598" s="179">
        <f t="shared" si="283"/>
        <v>0</v>
      </c>
    </row>
    <row r="599" spans="1:15" ht="52.3" customHeight="1" outlineLevel="7" x14ac:dyDescent="0.3">
      <c r="A599" s="482" t="s">
        <v>1057</v>
      </c>
      <c r="B599" s="392" t="s">
        <v>490</v>
      </c>
      <c r="C599" s="392" t="s">
        <v>72</v>
      </c>
      <c r="D599" s="392" t="s">
        <v>1058</v>
      </c>
      <c r="E599" s="392" t="s">
        <v>6</v>
      </c>
      <c r="F599" s="476">
        <f>F600</f>
        <v>65280</v>
      </c>
      <c r="G599" s="449">
        <f t="shared" ref="G599:J600" si="292">G600</f>
        <v>904940</v>
      </c>
      <c r="H599" s="449"/>
      <c r="I599" s="449">
        <f t="shared" si="292"/>
        <v>0</v>
      </c>
      <c r="J599" s="449">
        <f t="shared" si="292"/>
        <v>422000</v>
      </c>
      <c r="K599" s="462">
        <f t="shared" si="281"/>
        <v>46.632925939841314</v>
      </c>
      <c r="L599" s="462">
        <f t="shared" si="282"/>
        <v>-482940</v>
      </c>
      <c r="M599" s="449">
        <f t="shared" ref="M599:M600" si="293">M600</f>
        <v>422000</v>
      </c>
      <c r="N599" s="178">
        <f t="shared" si="280"/>
        <v>0</v>
      </c>
      <c r="O599" s="179">
        <f t="shared" si="283"/>
        <v>-482940</v>
      </c>
    </row>
    <row r="600" spans="1:15" ht="46.9" customHeight="1" outlineLevel="7" x14ac:dyDescent="0.3">
      <c r="A600" s="189" t="s">
        <v>37</v>
      </c>
      <c r="B600" s="392" t="s">
        <v>490</v>
      </c>
      <c r="C600" s="392" t="s">
        <v>72</v>
      </c>
      <c r="D600" s="392" t="s">
        <v>1058</v>
      </c>
      <c r="E600" s="392" t="s">
        <v>38</v>
      </c>
      <c r="F600" s="476">
        <f>F601</f>
        <v>65280</v>
      </c>
      <c r="G600" s="449">
        <f t="shared" si="292"/>
        <v>904940</v>
      </c>
      <c r="H600" s="449"/>
      <c r="I600" s="449">
        <f t="shared" si="292"/>
        <v>0</v>
      </c>
      <c r="J600" s="449">
        <f t="shared" si="292"/>
        <v>422000</v>
      </c>
      <c r="K600" s="462">
        <f t="shared" si="281"/>
        <v>46.632925939841314</v>
      </c>
      <c r="L600" s="462">
        <f t="shared" si="282"/>
        <v>-482940</v>
      </c>
      <c r="M600" s="449">
        <f t="shared" si="293"/>
        <v>422000</v>
      </c>
      <c r="N600" s="178">
        <f t="shared" si="280"/>
        <v>0</v>
      </c>
      <c r="O600" s="179">
        <f t="shared" si="283"/>
        <v>-482940</v>
      </c>
    </row>
    <row r="601" spans="1:15" s="184" customFormat="1" ht="42.8" customHeight="1" outlineLevel="7" x14ac:dyDescent="0.3">
      <c r="A601" s="189" t="s">
        <v>74</v>
      </c>
      <c r="B601" s="392" t="s">
        <v>490</v>
      </c>
      <c r="C601" s="392" t="s">
        <v>72</v>
      </c>
      <c r="D601" s="392" t="s">
        <v>1058</v>
      </c>
      <c r="E601" s="392" t="s">
        <v>75</v>
      </c>
      <c r="F601" s="475">
        <v>65280</v>
      </c>
      <c r="G601" s="449">
        <v>904940</v>
      </c>
      <c r="H601" s="449"/>
      <c r="I601" s="449">
        <v>0</v>
      </c>
      <c r="J601" s="449">
        <v>422000</v>
      </c>
      <c r="K601" s="462">
        <f t="shared" si="281"/>
        <v>46.632925939841314</v>
      </c>
      <c r="L601" s="462">
        <f t="shared" si="282"/>
        <v>-482940</v>
      </c>
      <c r="M601" s="449">
        <v>422000</v>
      </c>
      <c r="N601" s="178">
        <f t="shared" si="280"/>
        <v>0</v>
      </c>
      <c r="O601" s="179">
        <f t="shared" si="283"/>
        <v>-482940</v>
      </c>
    </row>
    <row r="602" spans="1:15" s="184" customFormat="1" ht="36" customHeight="1" outlineLevel="7" x14ac:dyDescent="0.3">
      <c r="A602" s="195" t="s">
        <v>880</v>
      </c>
      <c r="B602" s="392" t="s">
        <v>490</v>
      </c>
      <c r="C602" s="392" t="s">
        <v>72</v>
      </c>
      <c r="D602" s="392" t="s">
        <v>302</v>
      </c>
      <c r="E602" s="483" t="s">
        <v>6</v>
      </c>
      <c r="F602" s="484"/>
      <c r="G602" s="449">
        <v>0</v>
      </c>
      <c r="H602" s="449"/>
      <c r="I602" s="449">
        <f t="shared" ref="I602:J604" si="294">I603</f>
        <v>123474.82999999999</v>
      </c>
      <c r="J602" s="449">
        <f t="shared" si="294"/>
        <v>123474.83</v>
      </c>
      <c r="K602" s="462" t="e">
        <f t="shared" si="281"/>
        <v>#DIV/0!</v>
      </c>
      <c r="L602" s="462">
        <f t="shared" si="282"/>
        <v>123474.83</v>
      </c>
      <c r="M602" s="449">
        <f t="shared" ref="M602:M604" si="295">M603</f>
        <v>123474.83</v>
      </c>
      <c r="N602" s="178">
        <f t="shared" si="280"/>
        <v>0</v>
      </c>
      <c r="O602" s="179">
        <f t="shared" si="283"/>
        <v>123474.83</v>
      </c>
    </row>
    <row r="603" spans="1:15" s="184" customFormat="1" ht="57.25" customHeight="1" outlineLevel="7" x14ac:dyDescent="0.3">
      <c r="A603" s="180" t="s">
        <v>964</v>
      </c>
      <c r="B603" s="392" t="s">
        <v>490</v>
      </c>
      <c r="C603" s="392" t="s">
        <v>72</v>
      </c>
      <c r="D603" s="392" t="s">
        <v>969</v>
      </c>
      <c r="E603" s="483" t="s">
        <v>6</v>
      </c>
      <c r="F603" s="484"/>
      <c r="G603" s="449">
        <f>G604</f>
        <v>0</v>
      </c>
      <c r="H603" s="449"/>
      <c r="I603" s="449">
        <f t="shared" si="294"/>
        <v>123474.82999999999</v>
      </c>
      <c r="J603" s="449">
        <f t="shared" si="294"/>
        <v>123474.83</v>
      </c>
      <c r="K603" s="462" t="e">
        <f t="shared" si="281"/>
        <v>#DIV/0!</v>
      </c>
      <c r="L603" s="462">
        <f t="shared" si="282"/>
        <v>123474.83</v>
      </c>
      <c r="M603" s="449">
        <f t="shared" si="295"/>
        <v>123474.83</v>
      </c>
      <c r="N603" s="178">
        <f t="shared" si="280"/>
        <v>0</v>
      </c>
      <c r="O603" s="179">
        <f t="shared" si="283"/>
        <v>123474.83</v>
      </c>
    </row>
    <row r="604" spans="1:15" s="184" customFormat="1" ht="47.75" customHeight="1" outlineLevel="7" x14ac:dyDescent="0.3">
      <c r="A604" s="189" t="s">
        <v>37</v>
      </c>
      <c r="B604" s="392" t="s">
        <v>490</v>
      </c>
      <c r="C604" s="392" t="s">
        <v>72</v>
      </c>
      <c r="D604" s="392" t="s">
        <v>969</v>
      </c>
      <c r="E604" s="483" t="s">
        <v>38</v>
      </c>
      <c r="F604" s="484"/>
      <c r="G604" s="449">
        <f>G605</f>
        <v>0</v>
      </c>
      <c r="H604" s="449"/>
      <c r="I604" s="449">
        <f t="shared" si="294"/>
        <v>123474.82999999999</v>
      </c>
      <c r="J604" s="449">
        <f t="shared" si="294"/>
        <v>123474.83</v>
      </c>
      <c r="K604" s="462" t="e">
        <f t="shared" si="281"/>
        <v>#DIV/0!</v>
      </c>
      <c r="L604" s="462">
        <f t="shared" si="282"/>
        <v>123474.83</v>
      </c>
      <c r="M604" s="449">
        <f t="shared" si="295"/>
        <v>123474.83</v>
      </c>
      <c r="N604" s="178">
        <f t="shared" si="280"/>
        <v>0</v>
      </c>
      <c r="O604" s="179">
        <f t="shared" si="283"/>
        <v>123474.83</v>
      </c>
    </row>
    <row r="605" spans="1:15" s="184" customFormat="1" ht="28.05" customHeight="1" outlineLevel="7" x14ac:dyDescent="0.3">
      <c r="A605" s="189" t="s">
        <v>74</v>
      </c>
      <c r="B605" s="392" t="s">
        <v>490</v>
      </c>
      <c r="C605" s="392" t="s">
        <v>72</v>
      </c>
      <c r="D605" s="392" t="s">
        <v>969</v>
      </c>
      <c r="E605" s="483" t="s">
        <v>75</v>
      </c>
      <c r="F605" s="484"/>
      <c r="G605" s="449">
        <v>0</v>
      </c>
      <c r="H605" s="449"/>
      <c r="I605" s="449">
        <f>88746.95+34727.88</f>
        <v>123474.82999999999</v>
      </c>
      <c r="J605" s="449">
        <v>123474.83</v>
      </c>
      <c r="K605" s="462" t="e">
        <f t="shared" si="281"/>
        <v>#DIV/0!</v>
      </c>
      <c r="L605" s="462">
        <f t="shared" si="282"/>
        <v>123474.83</v>
      </c>
      <c r="M605" s="449">
        <v>123474.83</v>
      </c>
      <c r="N605" s="178">
        <f t="shared" si="280"/>
        <v>0</v>
      </c>
      <c r="O605" s="179">
        <f t="shared" si="283"/>
        <v>123474.83</v>
      </c>
    </row>
    <row r="606" spans="1:15" s="184" customFormat="1" ht="55.7" customHeight="1" outlineLevel="7" x14ac:dyDescent="0.3">
      <c r="A606" s="186" t="s">
        <v>995</v>
      </c>
      <c r="B606" s="392" t="s">
        <v>490</v>
      </c>
      <c r="C606" s="392" t="s">
        <v>72</v>
      </c>
      <c r="D606" s="392" t="s">
        <v>998</v>
      </c>
      <c r="E606" s="392" t="s">
        <v>6</v>
      </c>
      <c r="F606" s="462"/>
      <c r="G606" s="449">
        <f t="shared" ref="G606:J608" si="296">G607</f>
        <v>0</v>
      </c>
      <c r="H606" s="449"/>
      <c r="I606" s="449">
        <f t="shared" si="296"/>
        <v>0</v>
      </c>
      <c r="J606" s="449">
        <f t="shared" si="296"/>
        <v>0</v>
      </c>
      <c r="K606" s="462" t="e">
        <f t="shared" si="281"/>
        <v>#DIV/0!</v>
      </c>
      <c r="L606" s="462">
        <f t="shared" si="282"/>
        <v>0</v>
      </c>
      <c r="M606" s="449">
        <f t="shared" ref="M606:M608" si="297">M607</f>
        <v>0</v>
      </c>
      <c r="N606" s="178">
        <f t="shared" si="280"/>
        <v>0</v>
      </c>
      <c r="O606" s="179">
        <f t="shared" si="283"/>
        <v>0</v>
      </c>
    </row>
    <row r="607" spans="1:15" s="184" customFormat="1" ht="53.7" hidden="1" customHeight="1" outlineLevel="7" x14ac:dyDescent="0.3">
      <c r="A607" s="180" t="s">
        <v>996</v>
      </c>
      <c r="B607" s="392" t="s">
        <v>490</v>
      </c>
      <c r="C607" s="392" t="s">
        <v>72</v>
      </c>
      <c r="D607" s="392" t="s">
        <v>997</v>
      </c>
      <c r="E607" s="392" t="s">
        <v>6</v>
      </c>
      <c r="F607" s="462"/>
      <c r="G607" s="449">
        <f t="shared" si="296"/>
        <v>0</v>
      </c>
      <c r="H607" s="449"/>
      <c r="I607" s="449">
        <f t="shared" si="296"/>
        <v>0</v>
      </c>
      <c r="J607" s="449">
        <f t="shared" si="296"/>
        <v>0</v>
      </c>
      <c r="K607" s="462" t="e">
        <f t="shared" si="281"/>
        <v>#DIV/0!</v>
      </c>
      <c r="L607" s="462">
        <f t="shared" si="282"/>
        <v>0</v>
      </c>
      <c r="M607" s="449">
        <f t="shared" si="297"/>
        <v>0</v>
      </c>
      <c r="N607" s="178">
        <f t="shared" si="280"/>
        <v>0</v>
      </c>
      <c r="O607" s="179">
        <f t="shared" si="283"/>
        <v>0</v>
      </c>
    </row>
    <row r="608" spans="1:15" s="184" customFormat="1" ht="40.75" hidden="1" customHeight="1" outlineLevel="7" x14ac:dyDescent="0.3">
      <c r="A608" s="189" t="s">
        <v>37</v>
      </c>
      <c r="B608" s="392" t="s">
        <v>490</v>
      </c>
      <c r="C608" s="392" t="s">
        <v>72</v>
      </c>
      <c r="D608" s="392" t="s">
        <v>997</v>
      </c>
      <c r="E608" s="392" t="s">
        <v>38</v>
      </c>
      <c r="F608" s="462"/>
      <c r="G608" s="449">
        <f t="shared" si="296"/>
        <v>0</v>
      </c>
      <c r="H608" s="449"/>
      <c r="I608" s="449">
        <f t="shared" si="296"/>
        <v>0</v>
      </c>
      <c r="J608" s="449">
        <f t="shared" si="296"/>
        <v>0</v>
      </c>
      <c r="K608" s="462" t="e">
        <f t="shared" si="281"/>
        <v>#DIV/0!</v>
      </c>
      <c r="L608" s="462">
        <f t="shared" si="282"/>
        <v>0</v>
      </c>
      <c r="M608" s="449">
        <f t="shared" si="297"/>
        <v>0</v>
      </c>
      <c r="N608" s="178">
        <f t="shared" si="280"/>
        <v>0</v>
      </c>
      <c r="O608" s="179">
        <f t="shared" si="283"/>
        <v>0</v>
      </c>
    </row>
    <row r="609" spans="1:15" s="184" customFormat="1" ht="23.8" hidden="1" customHeight="1" outlineLevel="7" x14ac:dyDescent="0.3">
      <c r="A609" s="189" t="s">
        <v>74</v>
      </c>
      <c r="B609" s="392" t="s">
        <v>490</v>
      </c>
      <c r="C609" s="392" t="s">
        <v>72</v>
      </c>
      <c r="D609" s="392" t="s">
        <v>997</v>
      </c>
      <c r="E609" s="392" t="s">
        <v>75</v>
      </c>
      <c r="F609" s="462"/>
      <c r="G609" s="449">
        <v>0</v>
      </c>
      <c r="H609" s="449"/>
      <c r="I609" s="449">
        <v>0</v>
      </c>
      <c r="J609" s="449"/>
      <c r="K609" s="462" t="e">
        <f t="shared" si="281"/>
        <v>#DIV/0!</v>
      </c>
      <c r="L609" s="462">
        <f t="shared" si="282"/>
        <v>0</v>
      </c>
      <c r="M609" s="449"/>
      <c r="N609" s="178">
        <f t="shared" si="280"/>
        <v>0</v>
      </c>
      <c r="O609" s="179">
        <f t="shared" si="283"/>
        <v>0</v>
      </c>
    </row>
    <row r="610" spans="1:15" s="184" customFormat="1" ht="19.7" customHeight="1" outlineLevel="5" collapsed="1" x14ac:dyDescent="0.3">
      <c r="A610" s="189" t="s">
        <v>251</v>
      </c>
      <c r="B610" s="392" t="s">
        <v>490</v>
      </c>
      <c r="C610" s="392" t="s">
        <v>250</v>
      </c>
      <c r="D610" s="392" t="s">
        <v>126</v>
      </c>
      <c r="E610" s="392" t="s">
        <v>6</v>
      </c>
      <c r="F610" s="476">
        <f>F611</f>
        <v>25475094.599999998</v>
      </c>
      <c r="G610" s="449">
        <f t="shared" ref="G610:J611" si="298">G611</f>
        <v>26801533.960000001</v>
      </c>
      <c r="H610" s="449"/>
      <c r="I610" s="449">
        <f t="shared" si="298"/>
        <v>26710552</v>
      </c>
      <c r="J610" s="449">
        <f t="shared" si="298"/>
        <v>32534882</v>
      </c>
      <c r="K610" s="462">
        <f t="shared" si="281"/>
        <v>121.39186528859409</v>
      </c>
      <c r="L610" s="462">
        <f t="shared" si="282"/>
        <v>5733348.0399999991</v>
      </c>
      <c r="M610" s="449">
        <f t="shared" ref="M610:M611" si="299">M611</f>
        <v>30513152</v>
      </c>
      <c r="N610" s="178">
        <f t="shared" si="280"/>
        <v>-2021730</v>
      </c>
      <c r="O610" s="179">
        <f t="shared" si="283"/>
        <v>3711618.0399999991</v>
      </c>
    </row>
    <row r="611" spans="1:15" s="184" customFormat="1" ht="32.6" customHeight="1" outlineLevel="6" x14ac:dyDescent="0.3">
      <c r="A611" s="233" t="s">
        <v>1017</v>
      </c>
      <c r="B611" s="397" t="s">
        <v>490</v>
      </c>
      <c r="C611" s="397" t="s">
        <v>250</v>
      </c>
      <c r="D611" s="397" t="s">
        <v>138</v>
      </c>
      <c r="E611" s="397" t="s">
        <v>6</v>
      </c>
      <c r="F611" s="477">
        <f>F612</f>
        <v>25475094.599999998</v>
      </c>
      <c r="G611" s="467">
        <f t="shared" si="298"/>
        <v>26801533.960000001</v>
      </c>
      <c r="H611" s="467"/>
      <c r="I611" s="467">
        <f t="shared" si="298"/>
        <v>26710552</v>
      </c>
      <c r="J611" s="467">
        <f t="shared" si="298"/>
        <v>32534882</v>
      </c>
      <c r="K611" s="462">
        <f t="shared" si="281"/>
        <v>121.39186528859409</v>
      </c>
      <c r="L611" s="462">
        <f t="shared" si="282"/>
        <v>5733348.0399999991</v>
      </c>
      <c r="M611" s="467">
        <f t="shared" si="299"/>
        <v>30513152</v>
      </c>
      <c r="N611" s="178">
        <f t="shared" si="280"/>
        <v>-2021730</v>
      </c>
      <c r="O611" s="179">
        <f t="shared" si="283"/>
        <v>3711618.0399999991</v>
      </c>
    </row>
    <row r="612" spans="1:15" s="184" customFormat="1" ht="43.5" customHeight="1" outlineLevel="7" x14ac:dyDescent="0.3">
      <c r="A612" s="189" t="s">
        <v>1018</v>
      </c>
      <c r="B612" s="392" t="s">
        <v>490</v>
      </c>
      <c r="C612" s="392" t="s">
        <v>250</v>
      </c>
      <c r="D612" s="392" t="s">
        <v>149</v>
      </c>
      <c r="E612" s="392" t="s">
        <v>6</v>
      </c>
      <c r="F612" s="471">
        <f>F613+F617+F630</f>
        <v>25475094.599999998</v>
      </c>
      <c r="G612" s="462">
        <f>G613+G617+G630+G633</f>
        <v>26801533.960000001</v>
      </c>
      <c r="H612" s="462"/>
      <c r="I612" s="462">
        <f>I613+I617+I630+I633</f>
        <v>26710552</v>
      </c>
      <c r="J612" s="462">
        <f>J613+J617+J630+J633</f>
        <v>32534882</v>
      </c>
      <c r="K612" s="462">
        <f t="shared" si="281"/>
        <v>121.39186528859409</v>
      </c>
      <c r="L612" s="462">
        <f t="shared" si="282"/>
        <v>5733348.0399999991</v>
      </c>
      <c r="M612" s="462">
        <f>M613+M617+M630+M633</f>
        <v>30513152</v>
      </c>
      <c r="N612" s="178">
        <f t="shared" si="280"/>
        <v>-2021730</v>
      </c>
      <c r="O612" s="179">
        <f t="shared" si="283"/>
        <v>3711618.0399999991</v>
      </c>
    </row>
    <row r="613" spans="1:15" s="184" customFormat="1" ht="44.85" customHeight="1" outlineLevel="7" x14ac:dyDescent="0.3">
      <c r="A613" s="189" t="s">
        <v>205</v>
      </c>
      <c r="B613" s="392" t="s">
        <v>490</v>
      </c>
      <c r="C613" s="392" t="s">
        <v>250</v>
      </c>
      <c r="D613" s="392" t="s">
        <v>221</v>
      </c>
      <c r="E613" s="392" t="s">
        <v>6</v>
      </c>
      <c r="F613" s="471">
        <f t="shared" ref="F613:J615" si="300">F614</f>
        <v>23936037.59</v>
      </c>
      <c r="G613" s="462">
        <f t="shared" si="300"/>
        <v>24935323.960000001</v>
      </c>
      <c r="H613" s="462"/>
      <c r="I613" s="462">
        <f t="shared" si="300"/>
        <v>24942762</v>
      </c>
      <c r="J613" s="462">
        <f t="shared" si="300"/>
        <v>29267092</v>
      </c>
      <c r="K613" s="462">
        <f t="shared" si="281"/>
        <v>117.37201428362754</v>
      </c>
      <c r="L613" s="462">
        <f t="shared" si="282"/>
        <v>4331768.0399999991</v>
      </c>
      <c r="M613" s="462">
        <f t="shared" ref="M613:M615" si="301">M614</f>
        <v>28745362</v>
      </c>
      <c r="N613" s="178">
        <f t="shared" si="280"/>
        <v>-521730</v>
      </c>
      <c r="O613" s="179">
        <f t="shared" si="283"/>
        <v>3810038.0399999991</v>
      </c>
    </row>
    <row r="614" spans="1:15" s="184" customFormat="1" ht="46.9" customHeight="1" outlineLevel="7" x14ac:dyDescent="0.3">
      <c r="A614" s="189" t="s">
        <v>115</v>
      </c>
      <c r="B614" s="392" t="s">
        <v>490</v>
      </c>
      <c r="C614" s="392" t="s">
        <v>250</v>
      </c>
      <c r="D614" s="392" t="s">
        <v>151</v>
      </c>
      <c r="E614" s="392" t="s">
        <v>6</v>
      </c>
      <c r="F614" s="471">
        <f t="shared" si="300"/>
        <v>23936037.59</v>
      </c>
      <c r="G614" s="462">
        <f t="shared" si="300"/>
        <v>24935323.960000001</v>
      </c>
      <c r="H614" s="462"/>
      <c r="I614" s="462">
        <f t="shared" si="300"/>
        <v>24942762</v>
      </c>
      <c r="J614" s="462">
        <f t="shared" si="300"/>
        <v>29267092</v>
      </c>
      <c r="K614" s="462">
        <f t="shared" si="281"/>
        <v>117.37201428362754</v>
      </c>
      <c r="L614" s="462">
        <f t="shared" si="282"/>
        <v>4331768.0399999991</v>
      </c>
      <c r="M614" s="462">
        <f t="shared" si="301"/>
        <v>28745362</v>
      </c>
      <c r="N614" s="178">
        <f t="shared" si="280"/>
        <v>-521730</v>
      </c>
      <c r="O614" s="179">
        <f t="shared" si="283"/>
        <v>3810038.0399999991</v>
      </c>
    </row>
    <row r="615" spans="1:15" s="184" customFormat="1" ht="57.75" customHeight="1" outlineLevel="7" x14ac:dyDescent="0.3">
      <c r="A615" s="189" t="s">
        <v>37</v>
      </c>
      <c r="B615" s="392" t="s">
        <v>490</v>
      </c>
      <c r="C615" s="392" t="s">
        <v>250</v>
      </c>
      <c r="D615" s="392" t="s">
        <v>151</v>
      </c>
      <c r="E615" s="392" t="s">
        <v>38</v>
      </c>
      <c r="F615" s="471">
        <f t="shared" si="300"/>
        <v>23936037.59</v>
      </c>
      <c r="G615" s="462">
        <f t="shared" si="300"/>
        <v>24935323.960000001</v>
      </c>
      <c r="H615" s="462"/>
      <c r="I615" s="462">
        <f t="shared" si="300"/>
        <v>24942762</v>
      </c>
      <c r="J615" s="462">
        <f t="shared" si="300"/>
        <v>29267092</v>
      </c>
      <c r="K615" s="462">
        <f t="shared" si="281"/>
        <v>117.37201428362754</v>
      </c>
      <c r="L615" s="462">
        <f t="shared" si="282"/>
        <v>4331768.0399999991</v>
      </c>
      <c r="M615" s="462">
        <f t="shared" si="301"/>
        <v>28745362</v>
      </c>
      <c r="N615" s="178">
        <f t="shared" si="280"/>
        <v>-521730</v>
      </c>
      <c r="O615" s="179">
        <f t="shared" si="283"/>
        <v>3810038.0399999991</v>
      </c>
    </row>
    <row r="616" spans="1:15" s="184" customFormat="1" ht="28.05" customHeight="1" outlineLevel="7" x14ac:dyDescent="0.3">
      <c r="A616" s="189" t="s">
        <v>74</v>
      </c>
      <c r="B616" s="392" t="s">
        <v>490</v>
      </c>
      <c r="C616" s="392" t="s">
        <v>250</v>
      </c>
      <c r="D616" s="392" t="s">
        <v>151</v>
      </c>
      <c r="E616" s="392" t="s">
        <v>75</v>
      </c>
      <c r="F616" s="475">
        <v>23936037.59</v>
      </c>
      <c r="G616" s="449">
        <f>'потребность 2023 (5)'!K639-243700+342846+110600</f>
        <v>24935323.960000001</v>
      </c>
      <c r="H616" s="449"/>
      <c r="I616" s="449">
        <v>24942762</v>
      </c>
      <c r="J616" s="449">
        <v>29267092</v>
      </c>
      <c r="K616" s="462">
        <f t="shared" si="281"/>
        <v>117.37201428362754</v>
      </c>
      <c r="L616" s="462">
        <f t="shared" si="282"/>
        <v>4331768.0399999991</v>
      </c>
      <c r="M616" s="449">
        <f>29267092-521730</f>
        <v>28745362</v>
      </c>
      <c r="N616" s="178">
        <f t="shared" si="280"/>
        <v>-521730</v>
      </c>
      <c r="O616" s="179">
        <f t="shared" si="283"/>
        <v>3810038.0399999991</v>
      </c>
    </row>
    <row r="617" spans="1:15" ht="42.3" customHeight="1" outlineLevel="7" x14ac:dyDescent="0.3">
      <c r="A617" s="189" t="s">
        <v>377</v>
      </c>
      <c r="B617" s="392" t="s">
        <v>490</v>
      </c>
      <c r="C617" s="392" t="s">
        <v>250</v>
      </c>
      <c r="D617" s="392" t="s">
        <v>222</v>
      </c>
      <c r="E617" s="392" t="s">
        <v>6</v>
      </c>
      <c r="F617" s="476">
        <f>F618+F624+F627</f>
        <v>522291.20000000001</v>
      </c>
      <c r="G617" s="449">
        <f>G618+G624+G621</f>
        <v>130020</v>
      </c>
      <c r="H617" s="449"/>
      <c r="I617" s="449">
        <f>I618+I624+I621</f>
        <v>31600</v>
      </c>
      <c r="J617" s="449">
        <f>J618+J624+J621</f>
        <v>1531600</v>
      </c>
      <c r="K617" s="462">
        <f t="shared" si="281"/>
        <v>1177.9726195969849</v>
      </c>
      <c r="L617" s="462">
        <f t="shared" si="282"/>
        <v>1401580</v>
      </c>
      <c r="M617" s="449">
        <f>M618+M624+M621</f>
        <v>31600</v>
      </c>
      <c r="N617" s="178">
        <f t="shared" si="280"/>
        <v>-1500000</v>
      </c>
      <c r="O617" s="179">
        <f t="shared" si="283"/>
        <v>-98420</v>
      </c>
    </row>
    <row r="618" spans="1:15" ht="29.9" customHeight="1" outlineLevel="7" x14ac:dyDescent="0.3">
      <c r="A618" s="189" t="s">
        <v>262</v>
      </c>
      <c r="B618" s="392" t="s">
        <v>490</v>
      </c>
      <c r="C618" s="392" t="s">
        <v>250</v>
      </c>
      <c r="D618" s="392" t="s">
        <v>280</v>
      </c>
      <c r="E618" s="392" t="s">
        <v>6</v>
      </c>
      <c r="F618" s="476">
        <f>F619</f>
        <v>17771.2</v>
      </c>
      <c r="G618" s="449">
        <f t="shared" ref="G618:J619" si="302">G619</f>
        <v>31600</v>
      </c>
      <c r="H618" s="449"/>
      <c r="I618" s="449">
        <f t="shared" si="302"/>
        <v>31600</v>
      </c>
      <c r="J618" s="449">
        <f t="shared" si="302"/>
        <v>31600</v>
      </c>
      <c r="K618" s="462">
        <f t="shared" si="281"/>
        <v>100</v>
      </c>
      <c r="L618" s="462">
        <f t="shared" si="282"/>
        <v>0</v>
      </c>
      <c r="M618" s="449">
        <f t="shared" ref="M618:M619" si="303">M619</f>
        <v>31600</v>
      </c>
      <c r="N618" s="178">
        <f t="shared" si="280"/>
        <v>0</v>
      </c>
      <c r="O618" s="179">
        <f t="shared" si="283"/>
        <v>0</v>
      </c>
    </row>
    <row r="619" spans="1:15" ht="49.75" customHeight="1" outlineLevel="7" x14ac:dyDescent="0.3">
      <c r="A619" s="189" t="s">
        <v>37</v>
      </c>
      <c r="B619" s="392" t="s">
        <v>490</v>
      </c>
      <c r="C619" s="392" t="s">
        <v>250</v>
      </c>
      <c r="D619" s="392" t="s">
        <v>280</v>
      </c>
      <c r="E619" s="392" t="s">
        <v>38</v>
      </c>
      <c r="F619" s="476">
        <f>F620</f>
        <v>17771.2</v>
      </c>
      <c r="G619" s="449">
        <f t="shared" si="302"/>
        <v>31600</v>
      </c>
      <c r="H619" s="449"/>
      <c r="I619" s="449">
        <f t="shared" si="302"/>
        <v>31600</v>
      </c>
      <c r="J619" s="449">
        <f t="shared" si="302"/>
        <v>31600</v>
      </c>
      <c r="K619" s="462">
        <f t="shared" si="281"/>
        <v>100</v>
      </c>
      <c r="L619" s="462">
        <f t="shared" si="282"/>
        <v>0</v>
      </c>
      <c r="M619" s="449">
        <f t="shared" si="303"/>
        <v>31600</v>
      </c>
      <c r="N619" s="178">
        <f t="shared" si="280"/>
        <v>0</v>
      </c>
      <c r="O619" s="179">
        <f t="shared" si="283"/>
        <v>0</v>
      </c>
    </row>
    <row r="620" spans="1:15" ht="22.6" customHeight="1" outlineLevel="2" x14ac:dyDescent="0.3">
      <c r="A620" s="189" t="s">
        <v>74</v>
      </c>
      <c r="B620" s="392" t="s">
        <v>490</v>
      </c>
      <c r="C620" s="392" t="s">
        <v>250</v>
      </c>
      <c r="D620" s="392" t="s">
        <v>280</v>
      </c>
      <c r="E620" s="392" t="s">
        <v>75</v>
      </c>
      <c r="F620" s="496">
        <v>17771.2</v>
      </c>
      <c r="G620" s="449">
        <f>'потребность 2023 (5)'!K642</f>
        <v>31600</v>
      </c>
      <c r="H620" s="449"/>
      <c r="I620" s="449">
        <v>31600</v>
      </c>
      <c r="J620" s="449">
        <v>31600</v>
      </c>
      <c r="K620" s="462">
        <f t="shared" si="281"/>
        <v>100</v>
      </c>
      <c r="L620" s="462">
        <f t="shared" si="282"/>
        <v>0</v>
      </c>
      <c r="M620" s="449">
        <v>31600</v>
      </c>
      <c r="N620" s="178">
        <f t="shared" si="280"/>
        <v>0</v>
      </c>
      <c r="O620" s="179">
        <f t="shared" si="283"/>
        <v>0</v>
      </c>
    </row>
    <row r="621" spans="1:15" s="224" customFormat="1" ht="46.2" customHeight="1" outlineLevel="3" x14ac:dyDescent="0.3">
      <c r="A621" s="189" t="s">
        <v>461</v>
      </c>
      <c r="B621" s="392" t="s">
        <v>490</v>
      </c>
      <c r="C621" s="392" t="s">
        <v>250</v>
      </c>
      <c r="D621" s="392" t="s">
        <v>666</v>
      </c>
      <c r="E621" s="392" t="s">
        <v>6</v>
      </c>
      <c r="F621" s="467">
        <v>0</v>
      </c>
      <c r="G621" s="449">
        <f t="shared" ref="G621:J622" si="304">G622</f>
        <v>98420</v>
      </c>
      <c r="H621" s="449"/>
      <c r="I621" s="449">
        <f t="shared" si="304"/>
        <v>0</v>
      </c>
      <c r="J621" s="449">
        <f t="shared" si="304"/>
        <v>1500000</v>
      </c>
      <c r="K621" s="462">
        <f t="shared" si="281"/>
        <v>1524.0804714488925</v>
      </c>
      <c r="L621" s="462">
        <f t="shared" si="282"/>
        <v>1401580</v>
      </c>
      <c r="M621" s="449">
        <f t="shared" ref="M621:M622" si="305">M622</f>
        <v>0</v>
      </c>
      <c r="N621" s="178">
        <f t="shared" si="280"/>
        <v>-1500000</v>
      </c>
      <c r="O621" s="179">
        <f t="shared" si="283"/>
        <v>-98420</v>
      </c>
    </row>
    <row r="622" spans="1:15" ht="24.45" customHeight="1" outlineLevel="3" x14ac:dyDescent="0.3">
      <c r="A622" s="189" t="s">
        <v>37</v>
      </c>
      <c r="B622" s="392" t="s">
        <v>490</v>
      </c>
      <c r="C622" s="392" t="s">
        <v>250</v>
      </c>
      <c r="D622" s="392" t="s">
        <v>666</v>
      </c>
      <c r="E622" s="392" t="s">
        <v>38</v>
      </c>
      <c r="F622" s="449">
        <v>0</v>
      </c>
      <c r="G622" s="449">
        <f t="shared" si="304"/>
        <v>98420</v>
      </c>
      <c r="H622" s="449"/>
      <c r="I622" s="449">
        <f t="shared" si="304"/>
        <v>0</v>
      </c>
      <c r="J622" s="449">
        <f t="shared" si="304"/>
        <v>1500000</v>
      </c>
      <c r="K622" s="462">
        <f t="shared" si="281"/>
        <v>1524.0804714488925</v>
      </c>
      <c r="L622" s="462">
        <f t="shared" si="282"/>
        <v>1401580</v>
      </c>
      <c r="M622" s="449">
        <f t="shared" si="305"/>
        <v>0</v>
      </c>
      <c r="N622" s="178">
        <f t="shared" si="280"/>
        <v>-1500000</v>
      </c>
      <c r="O622" s="179">
        <f t="shared" si="283"/>
        <v>-98420</v>
      </c>
    </row>
    <row r="623" spans="1:15" ht="29.9" customHeight="1" outlineLevel="3" x14ac:dyDescent="0.3">
      <c r="A623" s="189" t="s">
        <v>74</v>
      </c>
      <c r="B623" s="392" t="s">
        <v>490</v>
      </c>
      <c r="C623" s="392" t="s">
        <v>250</v>
      </c>
      <c r="D623" s="392" t="s">
        <v>666</v>
      </c>
      <c r="E623" s="392" t="s">
        <v>75</v>
      </c>
      <c r="F623" s="449">
        <v>0</v>
      </c>
      <c r="G623" s="449">
        <f>14000+84420</f>
        <v>98420</v>
      </c>
      <c r="H623" s="449"/>
      <c r="I623" s="449">
        <v>0</v>
      </c>
      <c r="J623" s="449">
        <v>1500000</v>
      </c>
      <c r="K623" s="462">
        <f t="shared" si="281"/>
        <v>1524.0804714488925</v>
      </c>
      <c r="L623" s="462">
        <f t="shared" si="282"/>
        <v>1401580</v>
      </c>
      <c r="M623" s="449">
        <f>1500000-1500000</f>
        <v>0</v>
      </c>
      <c r="N623" s="178">
        <f t="shared" si="280"/>
        <v>-1500000</v>
      </c>
      <c r="O623" s="179">
        <f t="shared" si="283"/>
        <v>-98420</v>
      </c>
    </row>
    <row r="624" spans="1:15" ht="24.45" customHeight="1" outlineLevel="3" x14ac:dyDescent="0.3">
      <c r="A624" s="189" t="s">
        <v>112</v>
      </c>
      <c r="B624" s="392" t="s">
        <v>490</v>
      </c>
      <c r="C624" s="392" t="s">
        <v>250</v>
      </c>
      <c r="D624" s="392" t="s">
        <v>150</v>
      </c>
      <c r="E624" s="392" t="s">
        <v>6</v>
      </c>
      <c r="F624" s="471">
        <f>F625</f>
        <v>62520</v>
      </c>
      <c r="G624" s="462">
        <f t="shared" ref="G624:J625" si="306">G625</f>
        <v>0</v>
      </c>
      <c r="H624" s="462"/>
      <c r="I624" s="462">
        <f t="shared" si="306"/>
        <v>0</v>
      </c>
      <c r="J624" s="462">
        <f t="shared" si="306"/>
        <v>0</v>
      </c>
      <c r="K624" s="462" t="e">
        <f t="shared" si="281"/>
        <v>#DIV/0!</v>
      </c>
      <c r="L624" s="462">
        <f t="shared" si="282"/>
        <v>0</v>
      </c>
      <c r="M624" s="462">
        <f t="shared" ref="M624:M625" si="307">M625</f>
        <v>0</v>
      </c>
      <c r="N624" s="178">
        <f t="shared" si="280"/>
        <v>0</v>
      </c>
      <c r="O624" s="179">
        <f t="shared" si="283"/>
        <v>0</v>
      </c>
    </row>
    <row r="625" spans="1:15" ht="42.8" customHeight="1" outlineLevel="3" x14ac:dyDescent="0.3">
      <c r="A625" s="189" t="s">
        <v>37</v>
      </c>
      <c r="B625" s="392" t="s">
        <v>490</v>
      </c>
      <c r="C625" s="392" t="s">
        <v>250</v>
      </c>
      <c r="D625" s="392" t="s">
        <v>150</v>
      </c>
      <c r="E625" s="392" t="s">
        <v>38</v>
      </c>
      <c r="F625" s="471">
        <f>F626</f>
        <v>62520</v>
      </c>
      <c r="G625" s="462">
        <f t="shared" si="306"/>
        <v>0</v>
      </c>
      <c r="H625" s="462"/>
      <c r="I625" s="462">
        <f t="shared" si="306"/>
        <v>0</v>
      </c>
      <c r="J625" s="462">
        <f t="shared" si="306"/>
        <v>0</v>
      </c>
      <c r="K625" s="462" t="e">
        <f t="shared" si="281"/>
        <v>#DIV/0!</v>
      </c>
      <c r="L625" s="462">
        <f t="shared" si="282"/>
        <v>0</v>
      </c>
      <c r="M625" s="462">
        <f t="shared" si="307"/>
        <v>0</v>
      </c>
      <c r="N625" s="178">
        <f t="shared" si="280"/>
        <v>0</v>
      </c>
      <c r="O625" s="179">
        <f t="shared" si="283"/>
        <v>0</v>
      </c>
    </row>
    <row r="626" spans="1:15" ht="34.65" customHeight="1" outlineLevel="3" thickBot="1" x14ac:dyDescent="0.35">
      <c r="A626" s="189" t="s">
        <v>74</v>
      </c>
      <c r="B626" s="392" t="s">
        <v>490</v>
      </c>
      <c r="C626" s="392" t="s">
        <v>250</v>
      </c>
      <c r="D626" s="392" t="s">
        <v>150</v>
      </c>
      <c r="E626" s="392" t="s">
        <v>75</v>
      </c>
      <c r="F626" s="475">
        <v>62520</v>
      </c>
      <c r="G626" s="449">
        <f>'потребность 2023 (5)'!K649</f>
        <v>0</v>
      </c>
      <c r="H626" s="449"/>
      <c r="I626" s="449">
        <f>'потребность 2023 (5)'!L649</f>
        <v>0</v>
      </c>
      <c r="J626" s="449"/>
      <c r="K626" s="462" t="e">
        <f t="shared" si="281"/>
        <v>#DIV/0!</v>
      </c>
      <c r="L626" s="462">
        <f t="shared" si="282"/>
        <v>0</v>
      </c>
      <c r="M626" s="449"/>
      <c r="N626" s="178">
        <f t="shared" si="280"/>
        <v>0</v>
      </c>
      <c r="O626" s="179">
        <f t="shared" si="283"/>
        <v>0</v>
      </c>
    </row>
    <row r="627" spans="1:15" ht="48.9" customHeight="1" outlineLevel="3" thickBot="1" x14ac:dyDescent="0.35">
      <c r="A627" s="450" t="s">
        <v>806</v>
      </c>
      <c r="B627" s="451" t="s">
        <v>490</v>
      </c>
      <c r="C627" s="451" t="s">
        <v>250</v>
      </c>
      <c r="D627" s="451" t="s">
        <v>843</v>
      </c>
      <c r="E627" s="451" t="s">
        <v>6</v>
      </c>
      <c r="F627" s="476">
        <f>F628</f>
        <v>442000</v>
      </c>
      <c r="G627" s="449"/>
      <c r="H627" s="449"/>
      <c r="I627" s="449"/>
      <c r="J627" s="449"/>
      <c r="K627" s="462" t="e">
        <f t="shared" si="281"/>
        <v>#DIV/0!</v>
      </c>
      <c r="L627" s="462">
        <f t="shared" si="282"/>
        <v>0</v>
      </c>
      <c r="M627" s="449"/>
      <c r="N627" s="178">
        <f t="shared" si="280"/>
        <v>0</v>
      </c>
      <c r="O627" s="179">
        <f t="shared" si="283"/>
        <v>0</v>
      </c>
    </row>
    <row r="628" spans="1:15" ht="34.65" customHeight="1" outlineLevel="3" x14ac:dyDescent="0.3">
      <c r="A628" s="452" t="s">
        <v>37</v>
      </c>
      <c r="B628" s="451" t="s">
        <v>490</v>
      </c>
      <c r="C628" s="451" t="s">
        <v>250</v>
      </c>
      <c r="D628" s="451" t="s">
        <v>843</v>
      </c>
      <c r="E628" s="451" t="s">
        <v>38</v>
      </c>
      <c r="F628" s="476">
        <f>F629</f>
        <v>442000</v>
      </c>
      <c r="G628" s="449"/>
      <c r="H628" s="449"/>
      <c r="I628" s="449"/>
      <c r="J628" s="449"/>
      <c r="K628" s="462" t="e">
        <f t="shared" si="281"/>
        <v>#DIV/0!</v>
      </c>
      <c r="L628" s="462">
        <f t="shared" si="282"/>
        <v>0</v>
      </c>
      <c r="M628" s="449"/>
      <c r="N628" s="178">
        <f t="shared" si="280"/>
        <v>0</v>
      </c>
      <c r="O628" s="179">
        <f t="shared" si="283"/>
        <v>0</v>
      </c>
    </row>
    <row r="629" spans="1:15" ht="34.65" customHeight="1" outlineLevel="3" x14ac:dyDescent="0.3">
      <c r="A629" s="452" t="s">
        <v>74</v>
      </c>
      <c r="B629" s="451" t="s">
        <v>490</v>
      </c>
      <c r="C629" s="451" t="s">
        <v>250</v>
      </c>
      <c r="D629" s="451" t="s">
        <v>843</v>
      </c>
      <c r="E629" s="451" t="s">
        <v>75</v>
      </c>
      <c r="F629" s="475">
        <v>442000</v>
      </c>
      <c r="G629" s="449"/>
      <c r="H629" s="449"/>
      <c r="I629" s="449"/>
      <c r="J629" s="449"/>
      <c r="K629" s="462" t="e">
        <f t="shared" si="281"/>
        <v>#DIV/0!</v>
      </c>
      <c r="L629" s="462">
        <f t="shared" si="282"/>
        <v>0</v>
      </c>
      <c r="M629" s="449"/>
      <c r="N629" s="178">
        <f t="shared" si="280"/>
        <v>0</v>
      </c>
      <c r="O629" s="179">
        <f t="shared" si="283"/>
        <v>0</v>
      </c>
    </row>
    <row r="630" spans="1:15" ht="42.3" customHeight="1" outlineLevel="3" x14ac:dyDescent="0.3">
      <c r="A630" s="189" t="s">
        <v>674</v>
      </c>
      <c r="B630" s="392" t="s">
        <v>490</v>
      </c>
      <c r="C630" s="392" t="s">
        <v>250</v>
      </c>
      <c r="D630" s="392" t="s">
        <v>675</v>
      </c>
      <c r="E630" s="392" t="s">
        <v>6</v>
      </c>
      <c r="F630" s="476">
        <f>F631</f>
        <v>1016765.81</v>
      </c>
      <c r="G630" s="449">
        <f>G631</f>
        <v>604406.64999999991</v>
      </c>
      <c r="H630" s="449"/>
      <c r="I630" s="449">
        <f>I631</f>
        <v>0</v>
      </c>
      <c r="J630" s="449"/>
      <c r="K630" s="462">
        <f t="shared" si="281"/>
        <v>0</v>
      </c>
      <c r="L630" s="462">
        <f t="shared" si="282"/>
        <v>-604406.64999999991</v>
      </c>
      <c r="M630" s="449"/>
      <c r="N630" s="178">
        <f t="shared" si="280"/>
        <v>0</v>
      </c>
      <c r="O630" s="179">
        <f t="shared" si="283"/>
        <v>-604406.64999999991</v>
      </c>
    </row>
    <row r="631" spans="1:15" ht="24.45" customHeight="1" outlineLevel="3" x14ac:dyDescent="0.3">
      <c r="A631" s="189" t="s">
        <v>37</v>
      </c>
      <c r="B631" s="392" t="s">
        <v>490</v>
      </c>
      <c r="C631" s="392" t="s">
        <v>250</v>
      </c>
      <c r="D631" s="392" t="s">
        <v>676</v>
      </c>
      <c r="E631" s="392" t="s">
        <v>38</v>
      </c>
      <c r="F631" s="476">
        <f>F632</f>
        <v>1016765.81</v>
      </c>
      <c r="G631" s="449">
        <f>G632</f>
        <v>604406.64999999991</v>
      </c>
      <c r="H631" s="449"/>
      <c r="I631" s="449">
        <f>I632</f>
        <v>0</v>
      </c>
      <c r="J631" s="449"/>
      <c r="K631" s="462">
        <f t="shared" si="281"/>
        <v>0</v>
      </c>
      <c r="L631" s="462">
        <f t="shared" si="282"/>
        <v>-604406.64999999991</v>
      </c>
      <c r="M631" s="449"/>
      <c r="N631" s="178">
        <f t="shared" si="280"/>
        <v>0</v>
      </c>
      <c r="O631" s="179">
        <f t="shared" si="283"/>
        <v>-604406.64999999991</v>
      </c>
    </row>
    <row r="632" spans="1:15" ht="26.5" customHeight="1" outlineLevel="3" x14ac:dyDescent="0.3">
      <c r="A632" s="189" t="s">
        <v>74</v>
      </c>
      <c r="B632" s="392" t="s">
        <v>490</v>
      </c>
      <c r="C632" s="392" t="s">
        <v>250</v>
      </c>
      <c r="D632" s="392" t="s">
        <v>676</v>
      </c>
      <c r="E632" s="392" t="s">
        <v>75</v>
      </c>
      <c r="F632" s="475">
        <v>1016765.81</v>
      </c>
      <c r="G632" s="449">
        <f>'потребность 2023 (5)'!K652-1131783.35</f>
        <v>604406.64999999991</v>
      </c>
      <c r="H632" s="449"/>
      <c r="I632" s="449">
        <v>0</v>
      </c>
      <c r="J632" s="449"/>
      <c r="K632" s="462">
        <f t="shared" si="281"/>
        <v>0</v>
      </c>
      <c r="L632" s="462">
        <f t="shared" si="282"/>
        <v>-604406.64999999991</v>
      </c>
      <c r="M632" s="449"/>
      <c r="N632" s="178">
        <f t="shared" si="280"/>
        <v>0</v>
      </c>
      <c r="O632" s="179">
        <f t="shared" si="283"/>
        <v>-604406.64999999991</v>
      </c>
    </row>
    <row r="633" spans="1:15" ht="54.35" customHeight="1" outlineLevel="3" x14ac:dyDescent="0.3">
      <c r="A633" s="189" t="s">
        <v>1087</v>
      </c>
      <c r="B633" s="392" t="s">
        <v>490</v>
      </c>
      <c r="C633" s="392" t="s">
        <v>250</v>
      </c>
      <c r="D633" s="392" t="s">
        <v>1088</v>
      </c>
      <c r="E633" s="392" t="s">
        <v>6</v>
      </c>
      <c r="F633" s="462" t="s">
        <v>838</v>
      </c>
      <c r="G633" s="449">
        <f t="shared" ref="G633:J635" si="308">G634</f>
        <v>1131783.3500000001</v>
      </c>
      <c r="H633" s="449"/>
      <c r="I633" s="449">
        <f t="shared" si="308"/>
        <v>1736190</v>
      </c>
      <c r="J633" s="449">
        <f t="shared" si="308"/>
        <v>1736190</v>
      </c>
      <c r="K633" s="462">
        <f t="shared" si="281"/>
        <v>153.40303424679288</v>
      </c>
      <c r="L633" s="462">
        <f t="shared" si="282"/>
        <v>604406.64999999991</v>
      </c>
      <c r="M633" s="449">
        <f t="shared" ref="M633:M635" si="309">M634</f>
        <v>1736190</v>
      </c>
      <c r="N633" s="178">
        <f t="shared" si="280"/>
        <v>0</v>
      </c>
      <c r="O633" s="179">
        <f t="shared" si="283"/>
        <v>604406.64999999991</v>
      </c>
    </row>
    <row r="634" spans="1:15" ht="67.95" outlineLevel="3" x14ac:dyDescent="0.3">
      <c r="A634" s="189" t="s">
        <v>1089</v>
      </c>
      <c r="B634" s="392" t="s">
        <v>490</v>
      </c>
      <c r="C634" s="392" t="s">
        <v>250</v>
      </c>
      <c r="D634" s="392" t="s">
        <v>1090</v>
      </c>
      <c r="E634" s="392" t="s">
        <v>6</v>
      </c>
      <c r="F634" s="462" t="s">
        <v>838</v>
      </c>
      <c r="G634" s="449">
        <f t="shared" si="308"/>
        <v>1131783.3500000001</v>
      </c>
      <c r="H634" s="449"/>
      <c r="I634" s="449">
        <f t="shared" si="308"/>
        <v>1736190</v>
      </c>
      <c r="J634" s="449">
        <f t="shared" si="308"/>
        <v>1736190</v>
      </c>
      <c r="K634" s="462">
        <f t="shared" si="281"/>
        <v>153.40303424679288</v>
      </c>
      <c r="L634" s="462">
        <f t="shared" si="282"/>
        <v>604406.64999999991</v>
      </c>
      <c r="M634" s="449">
        <f t="shared" si="309"/>
        <v>1736190</v>
      </c>
      <c r="N634" s="178">
        <f t="shared" si="280"/>
        <v>0</v>
      </c>
      <c r="O634" s="179">
        <f t="shared" si="283"/>
        <v>604406.64999999991</v>
      </c>
    </row>
    <row r="635" spans="1:15" ht="50.95" outlineLevel="3" x14ac:dyDescent="0.3">
      <c r="A635" s="189" t="s">
        <v>37</v>
      </c>
      <c r="B635" s="392" t="s">
        <v>490</v>
      </c>
      <c r="C635" s="392" t="s">
        <v>250</v>
      </c>
      <c r="D635" s="392" t="s">
        <v>1090</v>
      </c>
      <c r="E635" s="392" t="s">
        <v>38</v>
      </c>
      <c r="F635" s="462" t="s">
        <v>838</v>
      </c>
      <c r="G635" s="449">
        <f t="shared" si="308"/>
        <v>1131783.3500000001</v>
      </c>
      <c r="H635" s="449"/>
      <c r="I635" s="449">
        <f t="shared" si="308"/>
        <v>1736190</v>
      </c>
      <c r="J635" s="449">
        <f t="shared" si="308"/>
        <v>1736190</v>
      </c>
      <c r="K635" s="462">
        <f t="shared" si="281"/>
        <v>153.40303424679288</v>
      </c>
      <c r="L635" s="462">
        <f t="shared" si="282"/>
        <v>604406.64999999991</v>
      </c>
      <c r="M635" s="449">
        <f t="shared" si="309"/>
        <v>1736190</v>
      </c>
      <c r="N635" s="178">
        <f t="shared" si="280"/>
        <v>0</v>
      </c>
      <c r="O635" s="179">
        <f t="shared" si="283"/>
        <v>604406.64999999991</v>
      </c>
    </row>
    <row r="636" spans="1:15" outlineLevel="3" x14ac:dyDescent="0.3">
      <c r="A636" s="189" t="s">
        <v>74</v>
      </c>
      <c r="B636" s="392" t="s">
        <v>490</v>
      </c>
      <c r="C636" s="392" t="s">
        <v>250</v>
      </c>
      <c r="D636" s="392" t="s">
        <v>1090</v>
      </c>
      <c r="E636" s="392" t="s">
        <v>75</v>
      </c>
      <c r="F636" s="462" t="s">
        <v>838</v>
      </c>
      <c r="G636" s="449">
        <v>1131783.3500000001</v>
      </c>
      <c r="H636" s="449"/>
      <c r="I636" s="449">
        <v>1736190</v>
      </c>
      <c r="J636" s="449">
        <v>1736190</v>
      </c>
      <c r="K636" s="462">
        <f t="shared" si="281"/>
        <v>153.40303424679288</v>
      </c>
      <c r="L636" s="462">
        <f t="shared" si="282"/>
        <v>604406.64999999991</v>
      </c>
      <c r="M636" s="449">
        <v>1736190</v>
      </c>
      <c r="N636" s="178">
        <f t="shared" si="280"/>
        <v>0</v>
      </c>
      <c r="O636" s="179">
        <f t="shared" si="283"/>
        <v>604406.64999999991</v>
      </c>
    </row>
    <row r="637" spans="1:15" outlineLevel="3" x14ac:dyDescent="0.3">
      <c r="A637" s="189" t="s">
        <v>1072</v>
      </c>
      <c r="B637" s="392" t="s">
        <v>490</v>
      </c>
      <c r="C637" s="392" t="s">
        <v>77</v>
      </c>
      <c r="D637" s="392" t="s">
        <v>126</v>
      </c>
      <c r="E637" s="392" t="s">
        <v>6</v>
      </c>
      <c r="F637" s="471">
        <f>F638</f>
        <v>6961063.8300000001</v>
      </c>
      <c r="G637" s="462">
        <f>G638</f>
        <v>195000</v>
      </c>
      <c r="H637" s="462"/>
      <c r="I637" s="462">
        <f>I638</f>
        <v>195000</v>
      </c>
      <c r="J637" s="462">
        <f>J638</f>
        <v>195000</v>
      </c>
      <c r="K637" s="462">
        <f t="shared" si="281"/>
        <v>100</v>
      </c>
      <c r="L637" s="462">
        <f t="shared" si="282"/>
        <v>0</v>
      </c>
      <c r="M637" s="462">
        <f>M638</f>
        <v>195000</v>
      </c>
      <c r="N637" s="178">
        <f t="shared" si="280"/>
        <v>0</v>
      </c>
      <c r="O637" s="179">
        <f t="shared" si="283"/>
        <v>0</v>
      </c>
    </row>
    <row r="638" spans="1:15" ht="50.95" outlineLevel="3" x14ac:dyDescent="0.3">
      <c r="A638" s="233" t="s">
        <v>1017</v>
      </c>
      <c r="B638" s="397" t="s">
        <v>490</v>
      </c>
      <c r="C638" s="397" t="s">
        <v>77</v>
      </c>
      <c r="D638" s="397" t="s">
        <v>138</v>
      </c>
      <c r="E638" s="397" t="s">
        <v>6</v>
      </c>
      <c r="F638" s="473">
        <f>F639+F659</f>
        <v>6961063.8300000001</v>
      </c>
      <c r="G638" s="465">
        <f>G639+G656</f>
        <v>195000</v>
      </c>
      <c r="H638" s="465"/>
      <c r="I638" s="465">
        <f>I639+I656</f>
        <v>195000</v>
      </c>
      <c r="J638" s="465">
        <f>J639+J656</f>
        <v>195000</v>
      </c>
      <c r="K638" s="462">
        <f t="shared" si="281"/>
        <v>100</v>
      </c>
      <c r="L638" s="462">
        <f t="shared" si="282"/>
        <v>0</v>
      </c>
      <c r="M638" s="465">
        <f>M639+M656</f>
        <v>195000</v>
      </c>
      <c r="N638" s="178">
        <f t="shared" si="280"/>
        <v>0</v>
      </c>
      <c r="O638" s="179">
        <f t="shared" si="283"/>
        <v>0</v>
      </c>
    </row>
    <row r="639" spans="1:15" ht="50.95" outlineLevel="3" x14ac:dyDescent="0.3">
      <c r="A639" s="189" t="s">
        <v>1040</v>
      </c>
      <c r="B639" s="392" t="s">
        <v>490</v>
      </c>
      <c r="C639" s="392" t="s">
        <v>77</v>
      </c>
      <c r="D639" s="392" t="s">
        <v>146</v>
      </c>
      <c r="E639" s="392" t="s">
        <v>6</v>
      </c>
      <c r="F639" s="471">
        <f>F640+F650</f>
        <v>64995.03</v>
      </c>
      <c r="G639" s="462">
        <f>G640+G647</f>
        <v>70000</v>
      </c>
      <c r="H639" s="462"/>
      <c r="I639" s="462">
        <f>I640+I647</f>
        <v>70000</v>
      </c>
      <c r="J639" s="462">
        <f>J640+J647</f>
        <v>70000</v>
      </c>
      <c r="K639" s="462">
        <f t="shared" si="281"/>
        <v>100</v>
      </c>
      <c r="L639" s="462">
        <f t="shared" si="282"/>
        <v>0</v>
      </c>
      <c r="M639" s="462">
        <f>M640+M647</f>
        <v>70000</v>
      </c>
      <c r="N639" s="178">
        <f t="shared" si="280"/>
        <v>0</v>
      </c>
      <c r="O639" s="179">
        <f t="shared" si="283"/>
        <v>0</v>
      </c>
    </row>
    <row r="640" spans="1:15" ht="34" outlineLevel="7" x14ac:dyDescent="0.3">
      <c r="A640" s="189" t="s">
        <v>204</v>
      </c>
      <c r="B640" s="392" t="s">
        <v>490</v>
      </c>
      <c r="C640" s="392" t="s">
        <v>77</v>
      </c>
      <c r="D640" s="392" t="s">
        <v>217</v>
      </c>
      <c r="E640" s="392" t="s">
        <v>6</v>
      </c>
      <c r="F640" s="471">
        <f>F641+F647</f>
        <v>64995.03</v>
      </c>
      <c r="G640" s="462">
        <f t="shared" ref="G640:J642" si="310">G641</f>
        <v>70000</v>
      </c>
      <c r="H640" s="462"/>
      <c r="I640" s="462">
        <f t="shared" si="310"/>
        <v>70000</v>
      </c>
      <c r="J640" s="462">
        <f t="shared" si="310"/>
        <v>70000</v>
      </c>
      <c r="K640" s="462">
        <f t="shared" si="281"/>
        <v>100</v>
      </c>
      <c r="L640" s="462">
        <f t="shared" si="282"/>
        <v>0</v>
      </c>
      <c r="M640" s="462">
        <f t="shared" ref="M640:M642" si="311">M641</f>
        <v>70000</v>
      </c>
      <c r="N640" s="178">
        <f t="shared" si="280"/>
        <v>0</v>
      </c>
      <c r="O640" s="179">
        <f t="shared" si="283"/>
        <v>0</v>
      </c>
    </row>
    <row r="641" spans="1:15" ht="34" outlineLevel="7" x14ac:dyDescent="0.3">
      <c r="A641" s="189" t="s">
        <v>395</v>
      </c>
      <c r="B641" s="392" t="s">
        <v>490</v>
      </c>
      <c r="C641" s="392" t="s">
        <v>77</v>
      </c>
      <c r="D641" s="392" t="s">
        <v>232</v>
      </c>
      <c r="E641" s="392" t="s">
        <v>6</v>
      </c>
      <c r="F641" s="471">
        <f>F642</f>
        <v>64995.03</v>
      </c>
      <c r="G641" s="462">
        <f t="shared" si="310"/>
        <v>70000</v>
      </c>
      <c r="H641" s="462"/>
      <c r="I641" s="462">
        <f t="shared" si="310"/>
        <v>70000</v>
      </c>
      <c r="J641" s="462">
        <f t="shared" si="310"/>
        <v>70000</v>
      </c>
      <c r="K641" s="462">
        <f t="shared" si="281"/>
        <v>100</v>
      </c>
      <c r="L641" s="462">
        <f t="shared" si="282"/>
        <v>0</v>
      </c>
      <c r="M641" s="462">
        <f t="shared" si="311"/>
        <v>70000</v>
      </c>
      <c r="N641" s="178">
        <f t="shared" si="280"/>
        <v>0</v>
      </c>
      <c r="O641" s="179">
        <f t="shared" si="283"/>
        <v>0</v>
      </c>
    </row>
    <row r="642" spans="1:15" ht="23.3" customHeight="1" outlineLevel="7" x14ac:dyDescent="0.3">
      <c r="A642" s="189" t="s">
        <v>15</v>
      </c>
      <c r="B642" s="392" t="s">
        <v>490</v>
      </c>
      <c r="C642" s="392" t="s">
        <v>77</v>
      </c>
      <c r="D642" s="392" t="s">
        <v>232</v>
      </c>
      <c r="E642" s="392" t="s">
        <v>16</v>
      </c>
      <c r="F642" s="471">
        <f>F643</f>
        <v>64995.03</v>
      </c>
      <c r="G642" s="462">
        <f t="shared" si="310"/>
        <v>70000</v>
      </c>
      <c r="H642" s="462"/>
      <c r="I642" s="462">
        <f t="shared" si="310"/>
        <v>70000</v>
      </c>
      <c r="J642" s="462">
        <f t="shared" si="310"/>
        <v>70000</v>
      </c>
      <c r="K642" s="462">
        <f t="shared" si="281"/>
        <v>100</v>
      </c>
      <c r="L642" s="462">
        <f t="shared" si="282"/>
        <v>0</v>
      </c>
      <c r="M642" s="462">
        <f t="shared" si="311"/>
        <v>70000</v>
      </c>
      <c r="N642" s="178">
        <f t="shared" si="280"/>
        <v>0</v>
      </c>
      <c r="O642" s="179">
        <f t="shared" si="283"/>
        <v>0</v>
      </c>
    </row>
    <row r="643" spans="1:15" ht="50.95" outlineLevel="2" x14ac:dyDescent="0.3">
      <c r="A643" s="189" t="s">
        <v>17</v>
      </c>
      <c r="B643" s="392" t="s">
        <v>490</v>
      </c>
      <c r="C643" s="392" t="s">
        <v>77</v>
      </c>
      <c r="D643" s="392" t="s">
        <v>232</v>
      </c>
      <c r="E643" s="392" t="s">
        <v>18</v>
      </c>
      <c r="F643" s="475">
        <v>64995.03</v>
      </c>
      <c r="G643" s="449">
        <f>'потребность 2023 (5)'!K665</f>
        <v>70000</v>
      </c>
      <c r="H643" s="449"/>
      <c r="I643" s="449">
        <v>70000</v>
      </c>
      <c r="J643" s="449">
        <v>70000</v>
      </c>
      <c r="K643" s="462">
        <f t="shared" si="281"/>
        <v>100</v>
      </c>
      <c r="L643" s="462">
        <f t="shared" si="282"/>
        <v>0</v>
      </c>
      <c r="M643" s="449">
        <v>70000</v>
      </c>
      <c r="N643" s="178">
        <f t="shared" si="280"/>
        <v>0</v>
      </c>
      <c r="O643" s="179">
        <f t="shared" si="283"/>
        <v>0</v>
      </c>
    </row>
    <row r="644" spans="1:15" ht="67.95" outlineLevel="2" x14ac:dyDescent="0.3">
      <c r="A644" s="452" t="s">
        <v>1103</v>
      </c>
      <c r="B644" s="451" t="s">
        <v>490</v>
      </c>
      <c r="C644" s="451" t="s">
        <v>77</v>
      </c>
      <c r="D644" s="453" t="s">
        <v>1104</v>
      </c>
      <c r="E644" s="451" t="s">
        <v>6</v>
      </c>
      <c r="F644" s="476">
        <f>F646</f>
        <v>5000</v>
      </c>
      <c r="G644" s="449"/>
      <c r="H644" s="449"/>
      <c r="I644" s="449"/>
      <c r="J644" s="449"/>
      <c r="K644" s="462" t="e">
        <f t="shared" si="281"/>
        <v>#DIV/0!</v>
      </c>
      <c r="L644" s="462">
        <f t="shared" si="282"/>
        <v>0</v>
      </c>
      <c r="M644" s="449"/>
      <c r="N644" s="178">
        <f t="shared" si="280"/>
        <v>0</v>
      </c>
      <c r="O644" s="179">
        <f t="shared" si="283"/>
        <v>0</v>
      </c>
    </row>
    <row r="645" spans="1:15" ht="34" outlineLevel="2" x14ac:dyDescent="0.3">
      <c r="A645" s="452" t="s">
        <v>15</v>
      </c>
      <c r="B645" s="451" t="s">
        <v>490</v>
      </c>
      <c r="C645" s="451" t="s">
        <v>77</v>
      </c>
      <c r="D645" s="453" t="s">
        <v>1104</v>
      </c>
      <c r="E645" s="451" t="s">
        <v>16</v>
      </c>
      <c r="F645" s="476">
        <f>F646</f>
        <v>5000</v>
      </c>
      <c r="G645" s="449"/>
      <c r="H645" s="449"/>
      <c r="I645" s="449"/>
      <c r="J645" s="449"/>
      <c r="K645" s="462" t="e">
        <f t="shared" si="281"/>
        <v>#DIV/0!</v>
      </c>
      <c r="L645" s="462">
        <f t="shared" si="282"/>
        <v>0</v>
      </c>
      <c r="M645" s="449"/>
      <c r="N645" s="178">
        <f t="shared" si="280"/>
        <v>0</v>
      </c>
      <c r="O645" s="179">
        <f t="shared" si="283"/>
        <v>0</v>
      </c>
    </row>
    <row r="646" spans="1:15" ht="50.95" outlineLevel="2" x14ac:dyDescent="0.3">
      <c r="A646" s="452" t="s">
        <v>17</v>
      </c>
      <c r="B646" s="451" t="s">
        <v>490</v>
      </c>
      <c r="C646" s="451" t="s">
        <v>77</v>
      </c>
      <c r="D646" s="453" t="s">
        <v>1104</v>
      </c>
      <c r="E646" s="451" t="s">
        <v>18</v>
      </c>
      <c r="F646" s="475">
        <v>5000</v>
      </c>
      <c r="G646" s="449"/>
      <c r="H646" s="449"/>
      <c r="I646" s="449"/>
      <c r="J646" s="449"/>
      <c r="K646" s="462" t="e">
        <f t="shared" si="281"/>
        <v>#DIV/0!</v>
      </c>
      <c r="L646" s="462">
        <f t="shared" si="282"/>
        <v>0</v>
      </c>
      <c r="M646" s="449"/>
      <c r="N646" s="178">
        <f t="shared" si="280"/>
        <v>0</v>
      </c>
      <c r="O646" s="179">
        <f t="shared" si="283"/>
        <v>0</v>
      </c>
    </row>
    <row r="647" spans="1:15" s="224" customFormat="1" ht="34" hidden="1" outlineLevel="3" x14ac:dyDescent="0.3">
      <c r="A647" s="189" t="s">
        <v>267</v>
      </c>
      <c r="B647" s="392" t="s">
        <v>490</v>
      </c>
      <c r="C647" s="392" t="s">
        <v>77</v>
      </c>
      <c r="D647" s="392" t="s">
        <v>220</v>
      </c>
      <c r="E647" s="392" t="s">
        <v>6</v>
      </c>
      <c r="F647" s="476"/>
      <c r="G647" s="449">
        <f>G648</f>
        <v>0</v>
      </c>
      <c r="H647" s="449"/>
      <c r="I647" s="449">
        <f>I648</f>
        <v>0</v>
      </c>
      <c r="J647" s="467"/>
      <c r="K647" s="462" t="e">
        <f t="shared" si="281"/>
        <v>#DIV/0!</v>
      </c>
      <c r="L647" s="462">
        <f t="shared" si="282"/>
        <v>0</v>
      </c>
      <c r="M647" s="467"/>
      <c r="N647" s="178">
        <f t="shared" si="280"/>
        <v>0</v>
      </c>
      <c r="O647" s="179">
        <f t="shared" si="283"/>
        <v>0</v>
      </c>
    </row>
    <row r="648" spans="1:15" s="224" customFormat="1" ht="61.15" hidden="1" customHeight="1" outlineLevel="3" x14ac:dyDescent="0.3">
      <c r="A648" s="185" t="s">
        <v>937</v>
      </c>
      <c r="B648" s="392" t="s">
        <v>490</v>
      </c>
      <c r="C648" s="392" t="s">
        <v>77</v>
      </c>
      <c r="D648" s="392" t="s">
        <v>152</v>
      </c>
      <c r="E648" s="392" t="s">
        <v>6</v>
      </c>
      <c r="F648" s="476"/>
      <c r="G648" s="462">
        <f>G649+G653+G651</f>
        <v>0</v>
      </c>
      <c r="H648" s="462"/>
      <c r="I648" s="462">
        <f>I649+I653+I651</f>
        <v>0</v>
      </c>
      <c r="J648" s="467"/>
      <c r="K648" s="462" t="e">
        <f t="shared" si="281"/>
        <v>#DIV/0!</v>
      </c>
      <c r="L648" s="462">
        <f t="shared" si="282"/>
        <v>0</v>
      </c>
      <c r="M648" s="467"/>
      <c r="N648" s="178">
        <f t="shared" ref="N648:N711" si="312">M648-J648</f>
        <v>0</v>
      </c>
      <c r="O648" s="179">
        <f t="shared" si="283"/>
        <v>0</v>
      </c>
    </row>
    <row r="649" spans="1:15" ht="34" hidden="1" outlineLevel="5" x14ac:dyDescent="0.3">
      <c r="A649" s="189" t="s">
        <v>15</v>
      </c>
      <c r="B649" s="392" t="s">
        <v>490</v>
      </c>
      <c r="C649" s="392" t="s">
        <v>77</v>
      </c>
      <c r="D649" s="392" t="s">
        <v>152</v>
      </c>
      <c r="E649" s="392" t="s">
        <v>16</v>
      </c>
      <c r="F649" s="475"/>
      <c r="G649" s="462">
        <v>0</v>
      </c>
      <c r="H649" s="462"/>
      <c r="I649" s="462">
        <v>0</v>
      </c>
      <c r="J649" s="449"/>
      <c r="K649" s="462" t="e">
        <f t="shared" ref="K649:K712" si="313">J649/G649*100</f>
        <v>#DIV/0!</v>
      </c>
      <c r="L649" s="462">
        <f t="shared" ref="L649:L712" si="314">J649-G649</f>
        <v>0</v>
      </c>
      <c r="M649" s="449"/>
      <c r="N649" s="178">
        <f t="shared" si="312"/>
        <v>0</v>
      </c>
      <c r="O649" s="179">
        <f t="shared" ref="O649:O712" si="315">M649-G649</f>
        <v>0</v>
      </c>
    </row>
    <row r="650" spans="1:15" ht="50.95" hidden="1" outlineLevel="6" x14ac:dyDescent="0.3">
      <c r="A650" s="189" t="s">
        <v>17</v>
      </c>
      <c r="B650" s="392" t="s">
        <v>490</v>
      </c>
      <c r="C650" s="392" t="s">
        <v>77</v>
      </c>
      <c r="D650" s="392" t="s">
        <v>152</v>
      </c>
      <c r="E650" s="392" t="s">
        <v>18</v>
      </c>
      <c r="F650" s="462"/>
      <c r="G650" s="449">
        <v>0</v>
      </c>
      <c r="H650" s="449"/>
      <c r="I650" s="449">
        <v>0</v>
      </c>
      <c r="J650" s="449"/>
      <c r="K650" s="462" t="e">
        <f t="shared" si="313"/>
        <v>#DIV/0!</v>
      </c>
      <c r="L650" s="462">
        <f t="shared" si="314"/>
        <v>0</v>
      </c>
      <c r="M650" s="449"/>
      <c r="N650" s="178">
        <f t="shared" si="312"/>
        <v>0</v>
      </c>
      <c r="O650" s="179">
        <f t="shared" si="315"/>
        <v>0</v>
      </c>
    </row>
    <row r="651" spans="1:15" ht="34" hidden="1" outlineLevel="7" x14ac:dyDescent="0.3">
      <c r="A651" s="189" t="s">
        <v>90</v>
      </c>
      <c r="B651" s="392" t="s">
        <v>490</v>
      </c>
      <c r="C651" s="392" t="s">
        <v>77</v>
      </c>
      <c r="D651" s="392" t="s">
        <v>152</v>
      </c>
      <c r="E651" s="392" t="s">
        <v>91</v>
      </c>
      <c r="F651" s="462"/>
      <c r="G651" s="462">
        <v>0</v>
      </c>
      <c r="H651" s="462"/>
      <c r="I651" s="462">
        <v>0</v>
      </c>
      <c r="J651" s="449"/>
      <c r="K651" s="462" t="e">
        <f t="shared" si="313"/>
        <v>#DIV/0!</v>
      </c>
      <c r="L651" s="462">
        <f t="shared" si="314"/>
        <v>0</v>
      </c>
      <c r="M651" s="449"/>
      <c r="N651" s="178">
        <f t="shared" si="312"/>
        <v>0</v>
      </c>
      <c r="O651" s="179">
        <f t="shared" si="315"/>
        <v>0</v>
      </c>
    </row>
    <row r="652" spans="1:15" ht="34" hidden="1" outlineLevel="6" x14ac:dyDescent="0.3">
      <c r="A652" s="189" t="s">
        <v>97</v>
      </c>
      <c r="B652" s="392" t="s">
        <v>490</v>
      </c>
      <c r="C652" s="392" t="s">
        <v>77</v>
      </c>
      <c r="D652" s="392" t="s">
        <v>152</v>
      </c>
      <c r="E652" s="392" t="s">
        <v>98</v>
      </c>
      <c r="F652" s="462"/>
      <c r="G652" s="449">
        <v>0</v>
      </c>
      <c r="H652" s="449"/>
      <c r="I652" s="449">
        <v>0</v>
      </c>
      <c r="J652" s="449"/>
      <c r="K652" s="462" t="e">
        <f t="shared" si="313"/>
        <v>#DIV/0!</v>
      </c>
      <c r="L652" s="462">
        <f t="shared" si="314"/>
        <v>0</v>
      </c>
      <c r="M652" s="449"/>
      <c r="N652" s="178">
        <f t="shared" si="312"/>
        <v>0</v>
      </c>
      <c r="O652" s="179">
        <f t="shared" si="315"/>
        <v>0</v>
      </c>
    </row>
    <row r="653" spans="1:15" ht="21.25" hidden="1" customHeight="1" outlineLevel="7" x14ac:dyDescent="0.3">
      <c r="A653" s="189" t="s">
        <v>37</v>
      </c>
      <c r="B653" s="392" t="s">
        <v>490</v>
      </c>
      <c r="C653" s="392" t="s">
        <v>77</v>
      </c>
      <c r="D653" s="392" t="s">
        <v>152</v>
      </c>
      <c r="E653" s="392" t="s">
        <v>38</v>
      </c>
      <c r="F653" s="462"/>
      <c r="G653" s="462">
        <v>0</v>
      </c>
      <c r="H653" s="462"/>
      <c r="I653" s="462">
        <v>0</v>
      </c>
      <c r="J653" s="449"/>
      <c r="K653" s="462" t="e">
        <f t="shared" si="313"/>
        <v>#DIV/0!</v>
      </c>
      <c r="L653" s="462">
        <f t="shared" si="314"/>
        <v>0</v>
      </c>
      <c r="M653" s="449"/>
      <c r="N653" s="178">
        <f t="shared" si="312"/>
        <v>0</v>
      </c>
      <c r="O653" s="179">
        <f t="shared" si="315"/>
        <v>0</v>
      </c>
    </row>
    <row r="654" spans="1:15" hidden="1" outlineLevel="7" x14ac:dyDescent="0.3">
      <c r="A654" s="189" t="s">
        <v>74</v>
      </c>
      <c r="B654" s="392" t="s">
        <v>490</v>
      </c>
      <c r="C654" s="392" t="s">
        <v>77</v>
      </c>
      <c r="D654" s="392" t="s">
        <v>152</v>
      </c>
      <c r="E654" s="392" t="s">
        <v>75</v>
      </c>
      <c r="F654" s="462"/>
      <c r="G654" s="449">
        <v>0</v>
      </c>
      <c r="H654" s="449"/>
      <c r="I654" s="449">
        <v>0</v>
      </c>
      <c r="J654" s="449"/>
      <c r="K654" s="462" t="e">
        <f t="shared" si="313"/>
        <v>#DIV/0!</v>
      </c>
      <c r="L654" s="462">
        <f t="shared" si="314"/>
        <v>0</v>
      </c>
      <c r="M654" s="449"/>
      <c r="N654" s="178">
        <f t="shared" si="312"/>
        <v>0</v>
      </c>
      <c r="O654" s="179">
        <f t="shared" si="315"/>
        <v>0</v>
      </c>
    </row>
    <row r="655" spans="1:15" ht="34" outlineLevel="7" x14ac:dyDescent="0.3">
      <c r="A655" s="189" t="s">
        <v>234</v>
      </c>
      <c r="B655" s="392" t="s">
        <v>490</v>
      </c>
      <c r="C655" s="392" t="s">
        <v>77</v>
      </c>
      <c r="D655" s="392" t="s">
        <v>233</v>
      </c>
      <c r="E655" s="392" t="s">
        <v>6</v>
      </c>
      <c r="F655" s="476">
        <f t="shared" ref="F655:J657" si="316">F656</f>
        <v>125000</v>
      </c>
      <c r="G655" s="449">
        <f t="shared" si="316"/>
        <v>125000</v>
      </c>
      <c r="H655" s="449"/>
      <c r="I655" s="449">
        <f t="shared" si="316"/>
        <v>125000</v>
      </c>
      <c r="J655" s="449">
        <f t="shared" si="316"/>
        <v>125000</v>
      </c>
      <c r="K655" s="462">
        <f t="shared" si="313"/>
        <v>100</v>
      </c>
      <c r="L655" s="462">
        <f t="shared" si="314"/>
        <v>0</v>
      </c>
      <c r="M655" s="449">
        <f t="shared" ref="M655:M657" si="317">M656</f>
        <v>125000</v>
      </c>
      <c r="N655" s="178">
        <f t="shared" si="312"/>
        <v>0</v>
      </c>
      <c r="O655" s="179">
        <f t="shared" si="315"/>
        <v>0</v>
      </c>
    </row>
    <row r="656" spans="1:15" ht="34" outlineLevel="5" x14ac:dyDescent="0.3">
      <c r="A656" s="189" t="s">
        <v>78</v>
      </c>
      <c r="B656" s="392" t="s">
        <v>490</v>
      </c>
      <c r="C656" s="392" t="s">
        <v>77</v>
      </c>
      <c r="D656" s="392" t="s">
        <v>153</v>
      </c>
      <c r="E656" s="392" t="s">
        <v>6</v>
      </c>
      <c r="F656" s="471">
        <f t="shared" si="316"/>
        <v>125000</v>
      </c>
      <c r="G656" s="462">
        <f t="shared" si="316"/>
        <v>125000</v>
      </c>
      <c r="H656" s="462"/>
      <c r="I656" s="462">
        <f t="shared" si="316"/>
        <v>125000</v>
      </c>
      <c r="J656" s="462">
        <f t="shared" si="316"/>
        <v>125000</v>
      </c>
      <c r="K656" s="462">
        <f t="shared" si="313"/>
        <v>100</v>
      </c>
      <c r="L656" s="462">
        <f t="shared" si="314"/>
        <v>0</v>
      </c>
      <c r="M656" s="462">
        <f t="shared" si="317"/>
        <v>125000</v>
      </c>
      <c r="N656" s="178">
        <f t="shared" si="312"/>
        <v>0</v>
      </c>
      <c r="O656" s="179">
        <f t="shared" si="315"/>
        <v>0</v>
      </c>
    </row>
    <row r="657" spans="1:15" ht="34" outlineLevel="6" x14ac:dyDescent="0.3">
      <c r="A657" s="189" t="s">
        <v>15</v>
      </c>
      <c r="B657" s="392" t="s">
        <v>490</v>
      </c>
      <c r="C657" s="392" t="s">
        <v>77</v>
      </c>
      <c r="D657" s="392" t="s">
        <v>153</v>
      </c>
      <c r="E657" s="392" t="s">
        <v>16</v>
      </c>
      <c r="F657" s="471">
        <f t="shared" si="316"/>
        <v>125000</v>
      </c>
      <c r="G657" s="462">
        <f t="shared" si="316"/>
        <v>125000</v>
      </c>
      <c r="H657" s="462"/>
      <c r="I657" s="462">
        <f t="shared" si="316"/>
        <v>125000</v>
      </c>
      <c r="J657" s="462">
        <f t="shared" si="316"/>
        <v>125000</v>
      </c>
      <c r="K657" s="462">
        <f t="shared" si="313"/>
        <v>100</v>
      </c>
      <c r="L657" s="462">
        <f t="shared" si="314"/>
        <v>0</v>
      </c>
      <c r="M657" s="462">
        <f t="shared" si="317"/>
        <v>125000</v>
      </c>
      <c r="N657" s="178">
        <f t="shared" si="312"/>
        <v>0</v>
      </c>
      <c r="O657" s="179">
        <f t="shared" si="315"/>
        <v>0</v>
      </c>
    </row>
    <row r="658" spans="1:15" ht="50.95" outlineLevel="7" x14ac:dyDescent="0.3">
      <c r="A658" s="189" t="s">
        <v>17</v>
      </c>
      <c r="B658" s="392" t="s">
        <v>490</v>
      </c>
      <c r="C658" s="392" t="s">
        <v>77</v>
      </c>
      <c r="D658" s="392" t="s">
        <v>153</v>
      </c>
      <c r="E658" s="392" t="s">
        <v>18</v>
      </c>
      <c r="F658" s="475">
        <v>125000</v>
      </c>
      <c r="G658" s="449">
        <f>'потребность 2023 (5)'!K677</f>
        <v>125000</v>
      </c>
      <c r="H658" s="449"/>
      <c r="I658" s="449">
        <v>125000</v>
      </c>
      <c r="J658" s="449">
        <v>125000</v>
      </c>
      <c r="K658" s="462">
        <f t="shared" si="313"/>
        <v>100</v>
      </c>
      <c r="L658" s="462">
        <f t="shared" si="314"/>
        <v>0</v>
      </c>
      <c r="M658" s="449">
        <v>125000</v>
      </c>
      <c r="N658" s="178">
        <f t="shared" si="312"/>
        <v>0</v>
      </c>
      <c r="O658" s="179">
        <f t="shared" si="315"/>
        <v>0</v>
      </c>
    </row>
    <row r="659" spans="1:15" outlineLevel="6" x14ac:dyDescent="0.3">
      <c r="A659" s="189" t="s">
        <v>116</v>
      </c>
      <c r="B659" s="392" t="s">
        <v>490</v>
      </c>
      <c r="C659" s="392" t="s">
        <v>117</v>
      </c>
      <c r="D659" s="392" t="s">
        <v>126</v>
      </c>
      <c r="E659" s="392" t="s">
        <v>6</v>
      </c>
      <c r="F659" s="471">
        <f>F660</f>
        <v>6896068.7999999998</v>
      </c>
      <c r="G659" s="462">
        <f>G660</f>
        <v>24167309</v>
      </c>
      <c r="H659" s="462"/>
      <c r="I659" s="462">
        <f>I660</f>
        <v>22693236</v>
      </c>
      <c r="J659" s="462">
        <f>J660</f>
        <v>27221706</v>
      </c>
      <c r="K659" s="462">
        <f t="shared" si="313"/>
        <v>112.63854821403574</v>
      </c>
      <c r="L659" s="462">
        <f t="shared" si="314"/>
        <v>3054397</v>
      </c>
      <c r="M659" s="462">
        <f>M660</f>
        <v>26621706</v>
      </c>
      <c r="N659" s="178">
        <f t="shared" si="312"/>
        <v>-600000</v>
      </c>
      <c r="O659" s="179">
        <f t="shared" si="315"/>
        <v>2454397</v>
      </c>
    </row>
    <row r="660" spans="1:15" ht="46.55" customHeight="1" outlineLevel="7" x14ac:dyDescent="0.3">
      <c r="A660" s="233" t="s">
        <v>1041</v>
      </c>
      <c r="B660" s="397" t="s">
        <v>490</v>
      </c>
      <c r="C660" s="397" t="s">
        <v>117</v>
      </c>
      <c r="D660" s="397" t="s">
        <v>138</v>
      </c>
      <c r="E660" s="397" t="s">
        <v>6</v>
      </c>
      <c r="F660" s="501">
        <f>F661</f>
        <v>6896068.7999999998</v>
      </c>
      <c r="G660" s="485">
        <f>G661+G679</f>
        <v>24167309</v>
      </c>
      <c r="H660" s="485"/>
      <c r="I660" s="485">
        <f>I661+I679</f>
        <v>22693236</v>
      </c>
      <c r="J660" s="485">
        <f>J661+J679</f>
        <v>27221706</v>
      </c>
      <c r="K660" s="462">
        <f t="shared" si="313"/>
        <v>112.63854821403574</v>
      </c>
      <c r="L660" s="462">
        <f t="shared" si="314"/>
        <v>3054397</v>
      </c>
      <c r="M660" s="485">
        <f>M661+M679</f>
        <v>26621706</v>
      </c>
      <c r="N660" s="178">
        <f t="shared" si="312"/>
        <v>-600000</v>
      </c>
      <c r="O660" s="179">
        <f t="shared" si="315"/>
        <v>2454397</v>
      </c>
    </row>
    <row r="661" spans="1:15" ht="50.95" outlineLevel="6" x14ac:dyDescent="0.3">
      <c r="A661" s="189" t="s">
        <v>206</v>
      </c>
      <c r="B661" s="392" t="s">
        <v>490</v>
      </c>
      <c r="C661" s="392" t="s">
        <v>117</v>
      </c>
      <c r="D661" s="392" t="s">
        <v>223</v>
      </c>
      <c r="E661" s="392" t="s">
        <v>6</v>
      </c>
      <c r="F661" s="473">
        <f>F662+F667+F674</f>
        <v>6896068.7999999998</v>
      </c>
      <c r="G661" s="465">
        <f>G662+G669+G676</f>
        <v>24167309</v>
      </c>
      <c r="H661" s="465"/>
      <c r="I661" s="465">
        <f>I662+I669+I676</f>
        <v>22693236</v>
      </c>
      <c r="J661" s="465">
        <f>J662+J669+J676</f>
        <v>27221706</v>
      </c>
      <c r="K661" s="462">
        <f t="shared" si="313"/>
        <v>112.63854821403574</v>
      </c>
      <c r="L661" s="462">
        <f t="shared" si="314"/>
        <v>3054397</v>
      </c>
      <c r="M661" s="465">
        <f>M662+M669+M676</f>
        <v>26621706</v>
      </c>
      <c r="N661" s="178">
        <f t="shared" si="312"/>
        <v>-600000</v>
      </c>
      <c r="O661" s="179">
        <f t="shared" si="315"/>
        <v>2454397</v>
      </c>
    </row>
    <row r="662" spans="1:15" ht="39.75" customHeight="1" outlineLevel="7" x14ac:dyDescent="0.3">
      <c r="A662" s="189" t="s">
        <v>449</v>
      </c>
      <c r="B662" s="392" t="s">
        <v>490</v>
      </c>
      <c r="C662" s="392" t="s">
        <v>117</v>
      </c>
      <c r="D662" s="392" t="s">
        <v>489</v>
      </c>
      <c r="E662" s="392" t="s">
        <v>6</v>
      </c>
      <c r="F662" s="471">
        <f>F663+F665</f>
        <v>6864576.7999999998</v>
      </c>
      <c r="G662" s="462">
        <f>G663+G665+G667</f>
        <v>5629844</v>
      </c>
      <c r="H662" s="462"/>
      <c r="I662" s="462">
        <f>I663+I665+I667</f>
        <v>5442427</v>
      </c>
      <c r="J662" s="462">
        <f>J663+J665+J667</f>
        <v>6139000</v>
      </c>
      <c r="K662" s="462">
        <f t="shared" si="313"/>
        <v>109.04387403984906</v>
      </c>
      <c r="L662" s="462">
        <f t="shared" si="314"/>
        <v>509156</v>
      </c>
      <c r="M662" s="462">
        <f>M663+M665+M667</f>
        <v>6139000</v>
      </c>
      <c r="N662" s="178">
        <f t="shared" si="312"/>
        <v>0</v>
      </c>
      <c r="O662" s="179">
        <f t="shared" si="315"/>
        <v>509156</v>
      </c>
    </row>
    <row r="663" spans="1:15" ht="101.9" outlineLevel="3" x14ac:dyDescent="0.3">
      <c r="A663" s="189" t="s">
        <v>11</v>
      </c>
      <c r="B663" s="392" t="s">
        <v>490</v>
      </c>
      <c r="C663" s="392" t="s">
        <v>117</v>
      </c>
      <c r="D663" s="392" t="s">
        <v>489</v>
      </c>
      <c r="E663" s="392" t="s">
        <v>12</v>
      </c>
      <c r="F663" s="471">
        <f>F664</f>
        <v>5344225</v>
      </c>
      <c r="G663" s="462">
        <f>G664</f>
        <v>5300410</v>
      </c>
      <c r="H663" s="462"/>
      <c r="I663" s="462">
        <f>I664</f>
        <v>5312427</v>
      </c>
      <c r="J663" s="462">
        <f>J664</f>
        <v>5859000</v>
      </c>
      <c r="K663" s="462">
        <f t="shared" si="313"/>
        <v>110.53861871062804</v>
      </c>
      <c r="L663" s="462">
        <f t="shared" si="314"/>
        <v>558590</v>
      </c>
      <c r="M663" s="462">
        <f>M664</f>
        <v>5859000</v>
      </c>
      <c r="N663" s="178">
        <f t="shared" si="312"/>
        <v>0</v>
      </c>
      <c r="O663" s="179">
        <f t="shared" si="315"/>
        <v>558590</v>
      </c>
    </row>
    <row r="664" spans="1:15" ht="34" outlineLevel="3" x14ac:dyDescent="0.3">
      <c r="A664" s="189" t="s">
        <v>13</v>
      </c>
      <c r="B664" s="392" t="s">
        <v>490</v>
      </c>
      <c r="C664" s="392" t="s">
        <v>117</v>
      </c>
      <c r="D664" s="392" t="s">
        <v>489</v>
      </c>
      <c r="E664" s="392" t="s">
        <v>14</v>
      </c>
      <c r="F664" s="475">
        <v>5344225</v>
      </c>
      <c r="G664" s="449">
        <f>'потребность 2023 (5)'!K683</f>
        <v>5300410</v>
      </c>
      <c r="H664" s="449"/>
      <c r="I664" s="449">
        <v>5312427</v>
      </c>
      <c r="J664" s="449">
        <v>5859000</v>
      </c>
      <c r="K664" s="462">
        <f t="shared" si="313"/>
        <v>110.53861871062804</v>
      </c>
      <c r="L664" s="462">
        <f t="shared" si="314"/>
        <v>558590</v>
      </c>
      <c r="M664" s="449">
        <v>5859000</v>
      </c>
      <c r="N664" s="178">
        <f t="shared" si="312"/>
        <v>0</v>
      </c>
      <c r="O664" s="179">
        <f t="shared" si="315"/>
        <v>558590</v>
      </c>
    </row>
    <row r="665" spans="1:15" ht="34" outlineLevel="3" x14ac:dyDescent="0.3">
      <c r="A665" s="189" t="s">
        <v>15</v>
      </c>
      <c r="B665" s="392" t="s">
        <v>490</v>
      </c>
      <c r="C665" s="392" t="s">
        <v>117</v>
      </c>
      <c r="D665" s="392" t="s">
        <v>489</v>
      </c>
      <c r="E665" s="392" t="s">
        <v>16</v>
      </c>
      <c r="F665" s="471">
        <f>F666</f>
        <v>1520351.8</v>
      </c>
      <c r="G665" s="462">
        <f>G666</f>
        <v>329434</v>
      </c>
      <c r="H665" s="462"/>
      <c r="I665" s="462">
        <f>I666</f>
        <v>130000</v>
      </c>
      <c r="J665" s="462">
        <f>J666</f>
        <v>280000</v>
      </c>
      <c r="K665" s="462">
        <f t="shared" si="313"/>
        <v>84.994262887255118</v>
      </c>
      <c r="L665" s="462">
        <f t="shared" si="314"/>
        <v>-49434</v>
      </c>
      <c r="M665" s="462">
        <f>M666</f>
        <v>280000</v>
      </c>
      <c r="N665" s="178">
        <f t="shared" si="312"/>
        <v>0</v>
      </c>
      <c r="O665" s="179">
        <f t="shared" si="315"/>
        <v>-49434</v>
      </c>
    </row>
    <row r="666" spans="1:15" s="224" customFormat="1" ht="46.2" customHeight="1" outlineLevel="3" x14ac:dyDescent="0.3">
      <c r="A666" s="189" t="s">
        <v>17</v>
      </c>
      <c r="B666" s="392" t="s">
        <v>490</v>
      </c>
      <c r="C666" s="392" t="s">
        <v>117</v>
      </c>
      <c r="D666" s="392" t="s">
        <v>489</v>
      </c>
      <c r="E666" s="392" t="s">
        <v>18</v>
      </c>
      <c r="F666" s="475">
        <v>1520351.8</v>
      </c>
      <c r="G666" s="449">
        <f>'потребность 2023 (5)'!K685+135774+93660</f>
        <v>329434</v>
      </c>
      <c r="H666" s="449"/>
      <c r="I666" s="449">
        <v>130000</v>
      </c>
      <c r="J666" s="467">
        <v>280000</v>
      </c>
      <c r="K666" s="462">
        <f t="shared" si="313"/>
        <v>84.994262887255118</v>
      </c>
      <c r="L666" s="462">
        <f t="shared" si="314"/>
        <v>-49434</v>
      </c>
      <c r="M666" s="467">
        <v>280000</v>
      </c>
      <c r="N666" s="178">
        <f t="shared" si="312"/>
        <v>0</v>
      </c>
      <c r="O666" s="179">
        <f t="shared" si="315"/>
        <v>-49434</v>
      </c>
    </row>
    <row r="667" spans="1:15" outlineLevel="3" x14ac:dyDescent="0.3">
      <c r="A667" s="189" t="s">
        <v>19</v>
      </c>
      <c r="B667" s="392" t="s">
        <v>490</v>
      </c>
      <c r="C667" s="392" t="s">
        <v>117</v>
      </c>
      <c r="D667" s="392" t="s">
        <v>489</v>
      </c>
      <c r="E667" s="392" t="s">
        <v>20</v>
      </c>
      <c r="F667" s="462" t="s">
        <v>838</v>
      </c>
      <c r="G667" s="449">
        <f>G668</f>
        <v>0</v>
      </c>
      <c r="H667" s="449"/>
      <c r="I667" s="449">
        <f>I668</f>
        <v>0</v>
      </c>
      <c r="J667" s="449">
        <f>J668</f>
        <v>0</v>
      </c>
      <c r="K667" s="462" t="e">
        <f t="shared" si="313"/>
        <v>#DIV/0!</v>
      </c>
      <c r="L667" s="462">
        <f t="shared" si="314"/>
        <v>0</v>
      </c>
      <c r="M667" s="449">
        <f>M668</f>
        <v>0</v>
      </c>
      <c r="N667" s="178">
        <f t="shared" si="312"/>
        <v>0</v>
      </c>
      <c r="O667" s="179">
        <f t="shared" si="315"/>
        <v>0</v>
      </c>
    </row>
    <row r="668" spans="1:15" s="224" customFormat="1" outlineLevel="3" x14ac:dyDescent="0.3">
      <c r="A668" s="189" t="s">
        <v>21</v>
      </c>
      <c r="B668" s="392" t="s">
        <v>490</v>
      </c>
      <c r="C668" s="392" t="s">
        <v>117</v>
      </c>
      <c r="D668" s="392" t="s">
        <v>489</v>
      </c>
      <c r="E668" s="392" t="s">
        <v>22</v>
      </c>
      <c r="F668" s="462" t="s">
        <v>838</v>
      </c>
      <c r="G668" s="449">
        <f>'потребность 2023 (5)'!K687</f>
        <v>0</v>
      </c>
      <c r="H668" s="449"/>
      <c r="I668" s="449">
        <f>'потребность 2023 (5)'!L687</f>
        <v>0</v>
      </c>
      <c r="J668" s="467">
        <v>0</v>
      </c>
      <c r="K668" s="462" t="e">
        <f t="shared" si="313"/>
        <v>#DIV/0!</v>
      </c>
      <c r="L668" s="462">
        <f t="shared" si="314"/>
        <v>0</v>
      </c>
      <c r="M668" s="467">
        <v>0</v>
      </c>
      <c r="N668" s="178">
        <f t="shared" si="312"/>
        <v>0</v>
      </c>
      <c r="O668" s="179">
        <f t="shared" si="315"/>
        <v>0</v>
      </c>
    </row>
    <row r="669" spans="1:15" ht="50.95" outlineLevel="3" x14ac:dyDescent="0.3">
      <c r="A669" s="189" t="s">
        <v>33</v>
      </c>
      <c r="B669" s="392" t="s">
        <v>490</v>
      </c>
      <c r="C669" s="392" t="s">
        <v>117</v>
      </c>
      <c r="D669" s="392" t="s">
        <v>154</v>
      </c>
      <c r="E669" s="392" t="s">
        <v>6</v>
      </c>
      <c r="F669" s="471">
        <f>F670+F672+F674</f>
        <v>15427760.949999999</v>
      </c>
      <c r="G669" s="462">
        <f>G670+G672+G674</f>
        <v>15964460</v>
      </c>
      <c r="H669" s="462"/>
      <c r="I669" s="462">
        <f>I670+I672+I674</f>
        <v>14893909</v>
      </c>
      <c r="J669" s="462">
        <f>J670+J672+J674</f>
        <v>18208682</v>
      </c>
      <c r="K669" s="462">
        <f t="shared" si="313"/>
        <v>114.05761297281587</v>
      </c>
      <c r="L669" s="462">
        <f t="shared" si="314"/>
        <v>2244222</v>
      </c>
      <c r="M669" s="462">
        <f>M670+M672+M674</f>
        <v>17608682</v>
      </c>
      <c r="N669" s="178">
        <f t="shared" si="312"/>
        <v>-600000</v>
      </c>
      <c r="O669" s="179">
        <f t="shared" si="315"/>
        <v>1644222</v>
      </c>
    </row>
    <row r="670" spans="1:15" ht="101.9" outlineLevel="3" x14ac:dyDescent="0.3">
      <c r="A670" s="189" t="s">
        <v>11</v>
      </c>
      <c r="B670" s="392" t="s">
        <v>490</v>
      </c>
      <c r="C670" s="392" t="s">
        <v>117</v>
      </c>
      <c r="D670" s="392" t="s">
        <v>154</v>
      </c>
      <c r="E670" s="392" t="s">
        <v>12</v>
      </c>
      <c r="F670" s="471">
        <f>F671</f>
        <v>12735228.189999999</v>
      </c>
      <c r="G670" s="462">
        <f>G671</f>
        <v>12697995</v>
      </c>
      <c r="H670" s="462"/>
      <c r="I670" s="462">
        <f>I671</f>
        <v>12715139</v>
      </c>
      <c r="J670" s="462">
        <f>J671</f>
        <v>14549508</v>
      </c>
      <c r="K670" s="462">
        <f t="shared" si="313"/>
        <v>114.58114450352201</v>
      </c>
      <c r="L670" s="462">
        <f t="shared" si="314"/>
        <v>1851513</v>
      </c>
      <c r="M670" s="462">
        <f>M671</f>
        <v>14549508</v>
      </c>
      <c r="N670" s="178">
        <f t="shared" si="312"/>
        <v>0</v>
      </c>
      <c r="O670" s="179">
        <f t="shared" si="315"/>
        <v>1851513</v>
      </c>
    </row>
    <row r="671" spans="1:15" ht="34" outlineLevel="3" x14ac:dyDescent="0.3">
      <c r="A671" s="189" t="s">
        <v>34</v>
      </c>
      <c r="B671" s="392" t="s">
        <v>490</v>
      </c>
      <c r="C671" s="392" t="s">
        <v>117</v>
      </c>
      <c r="D671" s="392" t="s">
        <v>154</v>
      </c>
      <c r="E671" s="392" t="s">
        <v>35</v>
      </c>
      <c r="F671" s="475">
        <v>12735228.189999999</v>
      </c>
      <c r="G671" s="449">
        <f>'потребность 2023 (5)'!K690+45140</f>
        <v>12697995</v>
      </c>
      <c r="H671" s="449"/>
      <c r="I671" s="449">
        <v>12715139</v>
      </c>
      <c r="J671" s="449">
        <v>14549508</v>
      </c>
      <c r="K671" s="462">
        <f t="shared" si="313"/>
        <v>114.58114450352201</v>
      </c>
      <c r="L671" s="462">
        <f t="shared" si="314"/>
        <v>1851513</v>
      </c>
      <c r="M671" s="449">
        <v>14549508</v>
      </c>
      <c r="N671" s="178">
        <f t="shared" si="312"/>
        <v>0</v>
      </c>
      <c r="O671" s="179">
        <f t="shared" si="315"/>
        <v>1851513</v>
      </c>
    </row>
    <row r="672" spans="1:15" ht="34" outlineLevel="3" x14ac:dyDescent="0.3">
      <c r="A672" s="189" t="s">
        <v>15</v>
      </c>
      <c r="B672" s="392" t="s">
        <v>490</v>
      </c>
      <c r="C672" s="392" t="s">
        <v>117</v>
      </c>
      <c r="D672" s="392" t="s">
        <v>154</v>
      </c>
      <c r="E672" s="392" t="s">
        <v>16</v>
      </c>
      <c r="F672" s="471">
        <f>F673</f>
        <v>2661040.7599999998</v>
      </c>
      <c r="G672" s="462">
        <f>G673</f>
        <v>3228400</v>
      </c>
      <c r="H672" s="462"/>
      <c r="I672" s="462">
        <f>I673</f>
        <v>2141434</v>
      </c>
      <c r="J672" s="462">
        <f>J673</f>
        <v>3627694</v>
      </c>
      <c r="K672" s="462">
        <f t="shared" si="313"/>
        <v>112.36816999132697</v>
      </c>
      <c r="L672" s="462">
        <f t="shared" si="314"/>
        <v>399294</v>
      </c>
      <c r="M672" s="462">
        <f>M673</f>
        <v>3027694</v>
      </c>
      <c r="N672" s="178">
        <f t="shared" si="312"/>
        <v>-600000</v>
      </c>
      <c r="O672" s="179">
        <f t="shared" si="315"/>
        <v>-200706</v>
      </c>
    </row>
    <row r="673" spans="1:15" ht="50.95" outlineLevel="3" x14ac:dyDescent="0.3">
      <c r="A673" s="189" t="s">
        <v>17</v>
      </c>
      <c r="B673" s="392" t="s">
        <v>490</v>
      </c>
      <c r="C673" s="392" t="s">
        <v>117</v>
      </c>
      <c r="D673" s="392" t="s">
        <v>154</v>
      </c>
      <c r="E673" s="392" t="s">
        <v>18</v>
      </c>
      <c r="F673" s="475">
        <v>2661040.7599999998</v>
      </c>
      <c r="G673" s="449">
        <f>'потребность 2023 (5)'!K692+28400</f>
        <v>3228400</v>
      </c>
      <c r="H673" s="449"/>
      <c r="I673" s="449">
        <v>2141434</v>
      </c>
      <c r="J673" s="449">
        <v>3627694</v>
      </c>
      <c r="K673" s="462">
        <f t="shared" si="313"/>
        <v>112.36816999132697</v>
      </c>
      <c r="L673" s="462">
        <f t="shared" si="314"/>
        <v>399294</v>
      </c>
      <c r="M673" s="449">
        <f>3627694-600000</f>
        <v>3027694</v>
      </c>
      <c r="N673" s="178">
        <f t="shared" si="312"/>
        <v>-600000</v>
      </c>
      <c r="O673" s="179">
        <f t="shared" si="315"/>
        <v>-200706</v>
      </c>
    </row>
    <row r="674" spans="1:15" s="224" customFormat="1" ht="36.700000000000003" customHeight="1" outlineLevel="3" x14ac:dyDescent="0.3">
      <c r="A674" s="189" t="s">
        <v>19</v>
      </c>
      <c r="B674" s="392" t="s">
        <v>490</v>
      </c>
      <c r="C674" s="392" t="s">
        <v>117</v>
      </c>
      <c r="D674" s="392" t="s">
        <v>154</v>
      </c>
      <c r="E674" s="392" t="s">
        <v>20</v>
      </c>
      <c r="F674" s="475">
        <v>31492</v>
      </c>
      <c r="G674" s="462">
        <f>G675</f>
        <v>38065</v>
      </c>
      <c r="H674" s="462"/>
      <c r="I674" s="462">
        <f>I675</f>
        <v>37336</v>
      </c>
      <c r="J674" s="462">
        <f>J675</f>
        <v>31480</v>
      </c>
      <c r="K674" s="462">
        <f t="shared" si="313"/>
        <v>82.700643635885982</v>
      </c>
      <c r="L674" s="462">
        <f t="shared" si="314"/>
        <v>-6585</v>
      </c>
      <c r="M674" s="462">
        <f>M675</f>
        <v>31480</v>
      </c>
      <c r="N674" s="178">
        <f t="shared" si="312"/>
        <v>0</v>
      </c>
      <c r="O674" s="179">
        <f t="shared" si="315"/>
        <v>-6585</v>
      </c>
    </row>
    <row r="675" spans="1:15" ht="34.65" customHeight="1" outlineLevel="3" x14ac:dyDescent="0.3">
      <c r="A675" s="189" t="s">
        <v>21</v>
      </c>
      <c r="B675" s="392" t="s">
        <v>490</v>
      </c>
      <c r="C675" s="392" t="s">
        <v>117</v>
      </c>
      <c r="D675" s="392" t="s">
        <v>154</v>
      </c>
      <c r="E675" s="392" t="s">
        <v>22</v>
      </c>
      <c r="F675" s="475">
        <v>31492</v>
      </c>
      <c r="G675" s="449">
        <f>'потребность 2023 (5)'!K694</f>
        <v>38065</v>
      </c>
      <c r="H675" s="449"/>
      <c r="I675" s="449">
        <v>37336</v>
      </c>
      <c r="J675" s="449">
        <v>31480</v>
      </c>
      <c r="K675" s="462">
        <f t="shared" si="313"/>
        <v>82.700643635885982</v>
      </c>
      <c r="L675" s="462">
        <f t="shared" si="314"/>
        <v>-6585</v>
      </c>
      <c r="M675" s="449">
        <v>31480</v>
      </c>
      <c r="N675" s="178">
        <f t="shared" si="312"/>
        <v>0</v>
      </c>
      <c r="O675" s="179">
        <f t="shared" si="315"/>
        <v>-6585</v>
      </c>
    </row>
    <row r="676" spans="1:15" ht="48.9" customHeight="1" outlineLevel="3" x14ac:dyDescent="0.3">
      <c r="A676" s="189" t="s">
        <v>36</v>
      </c>
      <c r="B676" s="392" t="s">
        <v>490</v>
      </c>
      <c r="C676" s="392" t="s">
        <v>117</v>
      </c>
      <c r="D676" s="392" t="s">
        <v>155</v>
      </c>
      <c r="E676" s="392" t="s">
        <v>6</v>
      </c>
      <c r="F676" s="471">
        <f>F677</f>
        <v>2283362.3199999998</v>
      </c>
      <c r="G676" s="462">
        <f t="shared" ref="G676:J677" si="318">G677</f>
        <v>2573005</v>
      </c>
      <c r="H676" s="462"/>
      <c r="I676" s="462">
        <f t="shared" si="318"/>
        <v>2356900</v>
      </c>
      <c r="J676" s="462">
        <f t="shared" si="318"/>
        <v>2874024</v>
      </c>
      <c r="K676" s="462">
        <f t="shared" si="313"/>
        <v>111.69912223256463</v>
      </c>
      <c r="L676" s="462">
        <f t="shared" si="314"/>
        <v>301019</v>
      </c>
      <c r="M676" s="462">
        <f t="shared" ref="M676:M677" si="319">M677</f>
        <v>2874024</v>
      </c>
      <c r="N676" s="178">
        <f t="shared" si="312"/>
        <v>0</v>
      </c>
      <c r="O676" s="179">
        <f t="shared" si="315"/>
        <v>301019</v>
      </c>
    </row>
    <row r="677" spans="1:15" ht="45.7" customHeight="1" outlineLevel="3" x14ac:dyDescent="0.3">
      <c r="A677" s="189" t="s">
        <v>37</v>
      </c>
      <c r="B677" s="392" t="s">
        <v>490</v>
      </c>
      <c r="C677" s="392" t="s">
        <v>117</v>
      </c>
      <c r="D677" s="392" t="s">
        <v>155</v>
      </c>
      <c r="E677" s="392" t="s">
        <v>38</v>
      </c>
      <c r="F677" s="471">
        <f>F678</f>
        <v>2283362.3199999998</v>
      </c>
      <c r="G677" s="462">
        <f t="shared" si="318"/>
        <v>2573005</v>
      </c>
      <c r="H677" s="462"/>
      <c r="I677" s="462">
        <f t="shared" si="318"/>
        <v>2356900</v>
      </c>
      <c r="J677" s="462">
        <f t="shared" si="318"/>
        <v>2874024</v>
      </c>
      <c r="K677" s="462">
        <f t="shared" si="313"/>
        <v>111.69912223256463</v>
      </c>
      <c r="L677" s="462">
        <f t="shared" si="314"/>
        <v>301019</v>
      </c>
      <c r="M677" s="462">
        <f t="shared" si="319"/>
        <v>2874024</v>
      </c>
      <c r="N677" s="178">
        <f t="shared" si="312"/>
        <v>0</v>
      </c>
      <c r="O677" s="179">
        <f t="shared" si="315"/>
        <v>301019</v>
      </c>
    </row>
    <row r="678" spans="1:15" ht="22.75" customHeight="1" outlineLevel="3" x14ac:dyDescent="0.3">
      <c r="A678" s="189" t="s">
        <v>39</v>
      </c>
      <c r="B678" s="392" t="s">
        <v>490</v>
      </c>
      <c r="C678" s="392" t="s">
        <v>117</v>
      </c>
      <c r="D678" s="392" t="s">
        <v>155</v>
      </c>
      <c r="E678" s="392" t="s">
        <v>40</v>
      </c>
      <c r="F678" s="475">
        <v>2283362.3199999998</v>
      </c>
      <c r="G678" s="449">
        <f>'потребность 2023 (5)'!K697+306770</f>
        <v>2573005</v>
      </c>
      <c r="H678" s="449"/>
      <c r="I678" s="449">
        <v>2356900</v>
      </c>
      <c r="J678" s="449">
        <v>2874024</v>
      </c>
      <c r="K678" s="462">
        <f t="shared" si="313"/>
        <v>111.69912223256463</v>
      </c>
      <c r="L678" s="462">
        <f t="shared" si="314"/>
        <v>301019</v>
      </c>
      <c r="M678" s="449">
        <v>2874024</v>
      </c>
      <c r="N678" s="178">
        <f t="shared" si="312"/>
        <v>0</v>
      </c>
      <c r="O678" s="179">
        <f t="shared" si="315"/>
        <v>301019</v>
      </c>
    </row>
    <row r="679" spans="1:15" ht="52.3" hidden="1" customHeight="1" outlineLevel="3" x14ac:dyDescent="0.3">
      <c r="A679" s="189" t="s">
        <v>1040</v>
      </c>
      <c r="B679" s="392" t="s">
        <v>490</v>
      </c>
      <c r="C679" s="392" t="s">
        <v>117</v>
      </c>
      <c r="D679" s="392" t="s">
        <v>146</v>
      </c>
      <c r="E679" s="392" t="s">
        <v>6</v>
      </c>
      <c r="F679" s="462">
        <f>F680</f>
        <v>0</v>
      </c>
      <c r="G679" s="449">
        <f t="shared" ref="G679:J680" si="320">G680</f>
        <v>0</v>
      </c>
      <c r="H679" s="449"/>
      <c r="I679" s="449">
        <f t="shared" si="320"/>
        <v>0</v>
      </c>
      <c r="J679" s="449">
        <f t="shared" si="320"/>
        <v>0</v>
      </c>
      <c r="K679" s="462" t="e">
        <f t="shared" si="313"/>
        <v>#DIV/0!</v>
      </c>
      <c r="L679" s="462">
        <f t="shared" si="314"/>
        <v>0</v>
      </c>
      <c r="M679" s="449">
        <f t="shared" ref="M679:M680" si="321">M680</f>
        <v>0</v>
      </c>
      <c r="N679" s="178">
        <f t="shared" si="312"/>
        <v>0</v>
      </c>
      <c r="O679" s="179">
        <f t="shared" si="315"/>
        <v>0</v>
      </c>
    </row>
    <row r="680" spans="1:15" ht="47.75" hidden="1" customHeight="1" outlineLevel="3" x14ac:dyDescent="0.3">
      <c r="A680" s="189" t="s">
        <v>267</v>
      </c>
      <c r="B680" s="392" t="s">
        <v>490</v>
      </c>
      <c r="C680" s="392" t="s">
        <v>117</v>
      </c>
      <c r="D680" s="392" t="s">
        <v>220</v>
      </c>
      <c r="E680" s="392" t="s">
        <v>6</v>
      </c>
      <c r="F680" s="476">
        <f>F681</f>
        <v>0</v>
      </c>
      <c r="G680" s="449">
        <f t="shared" si="320"/>
        <v>0</v>
      </c>
      <c r="H680" s="449"/>
      <c r="I680" s="449">
        <f t="shared" si="320"/>
        <v>0</v>
      </c>
      <c r="J680" s="449">
        <f t="shared" si="320"/>
        <v>0</v>
      </c>
      <c r="K680" s="462" t="e">
        <f t="shared" si="313"/>
        <v>#DIV/0!</v>
      </c>
      <c r="L680" s="462">
        <f t="shared" si="314"/>
        <v>0</v>
      </c>
      <c r="M680" s="449">
        <f t="shared" si="321"/>
        <v>0</v>
      </c>
      <c r="N680" s="178">
        <f t="shared" si="312"/>
        <v>0</v>
      </c>
      <c r="O680" s="179">
        <f t="shared" si="315"/>
        <v>0</v>
      </c>
    </row>
    <row r="681" spans="1:15" ht="86.3" hidden="1" customHeight="1" outlineLevel="3" x14ac:dyDescent="0.3">
      <c r="A681" s="185" t="s">
        <v>937</v>
      </c>
      <c r="B681" s="392" t="s">
        <v>490</v>
      </c>
      <c r="C681" s="392" t="s">
        <v>117</v>
      </c>
      <c r="D681" s="392" t="s">
        <v>152</v>
      </c>
      <c r="E681" s="392" t="s">
        <v>6</v>
      </c>
      <c r="F681" s="471">
        <v>0</v>
      </c>
      <c r="G681" s="449">
        <v>0</v>
      </c>
      <c r="H681" s="449"/>
      <c r="I681" s="449">
        <v>0</v>
      </c>
      <c r="J681" s="449">
        <f>J682+J684+J686</f>
        <v>0</v>
      </c>
      <c r="K681" s="462" t="e">
        <f t="shared" si="313"/>
        <v>#DIV/0!</v>
      </c>
      <c r="L681" s="462">
        <f t="shared" si="314"/>
        <v>0</v>
      </c>
      <c r="M681" s="449">
        <f>M682+M684+M686</f>
        <v>0</v>
      </c>
      <c r="N681" s="178">
        <f t="shared" si="312"/>
        <v>0</v>
      </c>
      <c r="O681" s="179">
        <f t="shared" si="315"/>
        <v>0</v>
      </c>
    </row>
    <row r="682" spans="1:15" ht="22.75" hidden="1" customHeight="1" outlineLevel="3" x14ac:dyDescent="0.3">
      <c r="A682" s="189" t="s">
        <v>15</v>
      </c>
      <c r="B682" s="392" t="s">
        <v>490</v>
      </c>
      <c r="C682" s="392" t="s">
        <v>117</v>
      </c>
      <c r="D682" s="392" t="s">
        <v>152</v>
      </c>
      <c r="E682" s="392" t="s">
        <v>16</v>
      </c>
      <c r="F682" s="471">
        <f>F683</f>
        <v>0</v>
      </c>
      <c r="G682" s="449">
        <f>G683</f>
        <v>0</v>
      </c>
      <c r="H682" s="449"/>
      <c r="I682" s="449">
        <f>I683</f>
        <v>0</v>
      </c>
      <c r="J682" s="449">
        <f>J683</f>
        <v>0</v>
      </c>
      <c r="K682" s="462" t="e">
        <f t="shared" si="313"/>
        <v>#DIV/0!</v>
      </c>
      <c r="L682" s="462">
        <f t="shared" si="314"/>
        <v>0</v>
      </c>
      <c r="M682" s="449">
        <f>M683</f>
        <v>0</v>
      </c>
      <c r="N682" s="178">
        <f t="shared" si="312"/>
        <v>0</v>
      </c>
      <c r="O682" s="179">
        <f t="shared" si="315"/>
        <v>0</v>
      </c>
    </row>
    <row r="683" spans="1:15" s="184" customFormat="1" ht="22.75" hidden="1" customHeight="1" outlineLevel="3" x14ac:dyDescent="0.3">
      <c r="A683" s="189" t="s">
        <v>17</v>
      </c>
      <c r="B683" s="392" t="s">
        <v>490</v>
      </c>
      <c r="C683" s="392" t="s">
        <v>117</v>
      </c>
      <c r="D683" s="392" t="s">
        <v>152</v>
      </c>
      <c r="E683" s="392" t="s">
        <v>18</v>
      </c>
      <c r="F683" s="486">
        <v>0</v>
      </c>
      <c r="G683" s="449">
        <v>0</v>
      </c>
      <c r="H683" s="449"/>
      <c r="I683" s="449">
        <v>0</v>
      </c>
      <c r="J683" s="449"/>
      <c r="K683" s="462" t="e">
        <f t="shared" si="313"/>
        <v>#DIV/0!</v>
      </c>
      <c r="L683" s="462">
        <f t="shared" si="314"/>
        <v>0</v>
      </c>
      <c r="M683" s="449"/>
      <c r="N683" s="178">
        <f t="shared" si="312"/>
        <v>0</v>
      </c>
      <c r="O683" s="179">
        <f t="shared" si="315"/>
        <v>0</v>
      </c>
    </row>
    <row r="684" spans="1:15" s="184" customFormat="1" ht="54.35" hidden="1" customHeight="1" outlineLevel="3" x14ac:dyDescent="0.3">
      <c r="A684" s="189" t="s">
        <v>90</v>
      </c>
      <c r="B684" s="392" t="s">
        <v>490</v>
      </c>
      <c r="C684" s="392" t="s">
        <v>117</v>
      </c>
      <c r="D684" s="392" t="s">
        <v>152</v>
      </c>
      <c r="E684" s="392" t="s">
        <v>91</v>
      </c>
      <c r="F684" s="471">
        <f>F685</f>
        <v>0</v>
      </c>
      <c r="G684" s="449">
        <f>G685</f>
        <v>0</v>
      </c>
      <c r="H684" s="449"/>
      <c r="I684" s="449">
        <f>I685</f>
        <v>0</v>
      </c>
      <c r="J684" s="449">
        <f>J685</f>
        <v>0</v>
      </c>
      <c r="K684" s="462" t="e">
        <f t="shared" si="313"/>
        <v>#DIV/0!</v>
      </c>
      <c r="L684" s="462">
        <f t="shared" si="314"/>
        <v>0</v>
      </c>
      <c r="M684" s="449">
        <f>M685</f>
        <v>0</v>
      </c>
      <c r="N684" s="178">
        <f t="shared" si="312"/>
        <v>0</v>
      </c>
      <c r="O684" s="179">
        <f t="shared" si="315"/>
        <v>0</v>
      </c>
    </row>
    <row r="685" spans="1:15" s="184" customFormat="1" ht="22.75" hidden="1" customHeight="1" outlineLevel="3" x14ac:dyDescent="0.3">
      <c r="A685" s="189" t="s">
        <v>97</v>
      </c>
      <c r="B685" s="392" t="s">
        <v>490</v>
      </c>
      <c r="C685" s="392" t="s">
        <v>117</v>
      </c>
      <c r="D685" s="392" t="s">
        <v>152</v>
      </c>
      <c r="E685" s="392" t="s">
        <v>98</v>
      </c>
      <c r="F685" s="476">
        <v>0</v>
      </c>
      <c r="G685" s="449">
        <v>0</v>
      </c>
      <c r="H685" s="449"/>
      <c r="I685" s="449">
        <v>0</v>
      </c>
      <c r="J685" s="449"/>
      <c r="K685" s="462" t="e">
        <f t="shared" si="313"/>
        <v>#DIV/0!</v>
      </c>
      <c r="L685" s="462">
        <f t="shared" si="314"/>
        <v>0</v>
      </c>
      <c r="M685" s="449"/>
      <c r="N685" s="178">
        <f t="shared" si="312"/>
        <v>0</v>
      </c>
      <c r="O685" s="179">
        <f t="shared" si="315"/>
        <v>0</v>
      </c>
    </row>
    <row r="686" spans="1:15" s="184" customFormat="1" ht="22.75" hidden="1" customHeight="1" outlineLevel="3" x14ac:dyDescent="0.3">
      <c r="A686" s="189" t="s">
        <v>37</v>
      </c>
      <c r="B686" s="392" t="s">
        <v>490</v>
      </c>
      <c r="C686" s="392" t="s">
        <v>117</v>
      </c>
      <c r="D686" s="392" t="s">
        <v>152</v>
      </c>
      <c r="E686" s="392" t="s">
        <v>38</v>
      </c>
      <c r="F686" s="471">
        <f>F687</f>
        <v>0</v>
      </c>
      <c r="G686" s="449">
        <f>G687</f>
        <v>0</v>
      </c>
      <c r="H686" s="449"/>
      <c r="I686" s="449">
        <f>I687</f>
        <v>0</v>
      </c>
      <c r="J686" s="449">
        <f>J687</f>
        <v>0</v>
      </c>
      <c r="K686" s="462" t="e">
        <f t="shared" si="313"/>
        <v>#DIV/0!</v>
      </c>
      <c r="L686" s="462">
        <f t="shared" si="314"/>
        <v>0</v>
      </c>
      <c r="M686" s="449">
        <f>M687</f>
        <v>0</v>
      </c>
      <c r="N686" s="178">
        <f t="shared" si="312"/>
        <v>0</v>
      </c>
      <c r="O686" s="179">
        <f t="shared" si="315"/>
        <v>0</v>
      </c>
    </row>
    <row r="687" spans="1:15" s="184" customFormat="1" ht="22.75" hidden="1" customHeight="1" outlineLevel="3" x14ac:dyDescent="0.3">
      <c r="A687" s="189" t="s">
        <v>74</v>
      </c>
      <c r="B687" s="392" t="s">
        <v>490</v>
      </c>
      <c r="C687" s="392" t="s">
        <v>117</v>
      </c>
      <c r="D687" s="392" t="s">
        <v>152</v>
      </c>
      <c r="E687" s="392" t="s">
        <v>75</v>
      </c>
      <c r="F687" s="475">
        <v>0</v>
      </c>
      <c r="G687" s="449">
        <v>0</v>
      </c>
      <c r="H687" s="449"/>
      <c r="I687" s="449">
        <v>0</v>
      </c>
      <c r="J687" s="449"/>
      <c r="K687" s="462" t="e">
        <f t="shared" si="313"/>
        <v>#DIV/0!</v>
      </c>
      <c r="L687" s="462">
        <f t="shared" si="314"/>
        <v>0</v>
      </c>
      <c r="M687" s="449"/>
      <c r="N687" s="178">
        <f t="shared" si="312"/>
        <v>0</v>
      </c>
      <c r="O687" s="179">
        <f t="shared" si="315"/>
        <v>0</v>
      </c>
    </row>
    <row r="688" spans="1:15" s="184" customFormat="1" ht="23.3" hidden="1" customHeight="1" outlineLevel="3" x14ac:dyDescent="0.3">
      <c r="A688" s="233" t="s">
        <v>85</v>
      </c>
      <c r="B688" s="397" t="s">
        <v>490</v>
      </c>
      <c r="C688" s="397" t="s">
        <v>86</v>
      </c>
      <c r="D688" s="397" t="s">
        <v>126</v>
      </c>
      <c r="E688" s="397" t="s">
        <v>6</v>
      </c>
      <c r="F688" s="473">
        <f>F689+F695</f>
        <v>0</v>
      </c>
      <c r="G688" s="465">
        <f>G689+G695</f>
        <v>0</v>
      </c>
      <c r="H688" s="465"/>
      <c r="I688" s="465">
        <f>I689+I695</f>
        <v>0</v>
      </c>
      <c r="J688" s="465">
        <f>J689+J695</f>
        <v>0</v>
      </c>
      <c r="K688" s="462" t="e">
        <f t="shared" si="313"/>
        <v>#DIV/0!</v>
      </c>
      <c r="L688" s="462">
        <f t="shared" si="314"/>
        <v>0</v>
      </c>
      <c r="M688" s="465">
        <f>M689+M695</f>
        <v>0</v>
      </c>
      <c r="N688" s="178">
        <f t="shared" si="312"/>
        <v>0</v>
      </c>
      <c r="O688" s="179">
        <f t="shared" si="315"/>
        <v>0</v>
      </c>
    </row>
    <row r="689" spans="1:15" s="184" customFormat="1" hidden="1" outlineLevel="3" x14ac:dyDescent="0.3">
      <c r="A689" s="189" t="s">
        <v>94</v>
      </c>
      <c r="B689" s="392" t="s">
        <v>490</v>
      </c>
      <c r="C689" s="392" t="s">
        <v>95</v>
      </c>
      <c r="D689" s="392" t="s">
        <v>126</v>
      </c>
      <c r="E689" s="392" t="s">
        <v>6</v>
      </c>
      <c r="F689" s="471">
        <f t="shared" ref="F689:J693" si="322">F690</f>
        <v>0</v>
      </c>
      <c r="G689" s="462">
        <f t="shared" si="322"/>
        <v>0</v>
      </c>
      <c r="H689" s="462"/>
      <c r="I689" s="462">
        <f t="shared" si="322"/>
        <v>0</v>
      </c>
      <c r="J689" s="462">
        <f t="shared" si="322"/>
        <v>0</v>
      </c>
      <c r="K689" s="462" t="e">
        <f t="shared" si="313"/>
        <v>#DIV/0!</v>
      </c>
      <c r="L689" s="462">
        <f t="shared" si="314"/>
        <v>0</v>
      </c>
      <c r="M689" s="462">
        <f t="shared" ref="M689:M693" si="323">M690</f>
        <v>0</v>
      </c>
      <c r="N689" s="178">
        <f t="shared" si="312"/>
        <v>0</v>
      </c>
      <c r="O689" s="179">
        <f t="shared" si="315"/>
        <v>0</v>
      </c>
    </row>
    <row r="690" spans="1:15" s="184" customFormat="1" ht="50.95" hidden="1" outlineLevel="3" x14ac:dyDescent="0.3">
      <c r="A690" s="233" t="s">
        <v>1017</v>
      </c>
      <c r="B690" s="397" t="s">
        <v>490</v>
      </c>
      <c r="C690" s="397" t="s">
        <v>95</v>
      </c>
      <c r="D690" s="397" t="s">
        <v>138</v>
      </c>
      <c r="E690" s="397" t="s">
        <v>6</v>
      </c>
      <c r="F690" s="473">
        <f t="shared" si="322"/>
        <v>0</v>
      </c>
      <c r="G690" s="465">
        <f t="shared" si="322"/>
        <v>0</v>
      </c>
      <c r="H690" s="465"/>
      <c r="I690" s="465">
        <f t="shared" si="322"/>
        <v>0</v>
      </c>
      <c r="J690" s="465">
        <f t="shared" si="322"/>
        <v>0</v>
      </c>
      <c r="K690" s="462" t="e">
        <f t="shared" si="313"/>
        <v>#DIV/0!</v>
      </c>
      <c r="L690" s="462">
        <f t="shared" si="314"/>
        <v>0</v>
      </c>
      <c r="M690" s="465">
        <f t="shared" si="323"/>
        <v>0</v>
      </c>
      <c r="N690" s="178">
        <f t="shared" si="312"/>
        <v>0</v>
      </c>
      <c r="O690" s="179">
        <f t="shared" si="315"/>
        <v>0</v>
      </c>
    </row>
    <row r="691" spans="1:15" s="184" customFormat="1" hidden="1" outlineLevel="3" x14ac:dyDescent="0.3">
      <c r="A691" s="189" t="s">
        <v>886</v>
      </c>
      <c r="B691" s="392" t="s">
        <v>490</v>
      </c>
      <c r="C691" s="392" t="s">
        <v>95</v>
      </c>
      <c r="D691" s="392" t="s">
        <v>667</v>
      </c>
      <c r="E691" s="392" t="s">
        <v>6</v>
      </c>
      <c r="F691" s="471">
        <f t="shared" si="322"/>
        <v>0</v>
      </c>
      <c r="G691" s="462">
        <f t="shared" si="322"/>
        <v>0</v>
      </c>
      <c r="H691" s="462"/>
      <c r="I691" s="462">
        <f t="shared" si="322"/>
        <v>0</v>
      </c>
      <c r="J691" s="462">
        <f t="shared" si="322"/>
        <v>0</v>
      </c>
      <c r="K691" s="462" t="e">
        <f t="shared" si="313"/>
        <v>#DIV/0!</v>
      </c>
      <c r="L691" s="462">
        <f t="shared" si="314"/>
        <v>0</v>
      </c>
      <c r="M691" s="462">
        <f t="shared" si="323"/>
        <v>0</v>
      </c>
      <c r="N691" s="178">
        <f t="shared" si="312"/>
        <v>0</v>
      </c>
      <c r="O691" s="179">
        <f t="shared" si="315"/>
        <v>0</v>
      </c>
    </row>
    <row r="692" spans="1:15" s="184" customFormat="1" ht="62.15" hidden="1" customHeight="1" outlineLevel="3" x14ac:dyDescent="0.3">
      <c r="A692" s="185" t="s">
        <v>941</v>
      </c>
      <c r="B692" s="392" t="s">
        <v>490</v>
      </c>
      <c r="C692" s="392" t="s">
        <v>95</v>
      </c>
      <c r="D692" s="392" t="s">
        <v>668</v>
      </c>
      <c r="E692" s="392" t="s">
        <v>6</v>
      </c>
      <c r="F692" s="471">
        <f t="shared" si="322"/>
        <v>0</v>
      </c>
      <c r="G692" s="462">
        <f t="shared" si="322"/>
        <v>0</v>
      </c>
      <c r="H692" s="462"/>
      <c r="I692" s="462">
        <f t="shared" si="322"/>
        <v>0</v>
      </c>
      <c r="J692" s="462">
        <f t="shared" si="322"/>
        <v>0</v>
      </c>
      <c r="K692" s="462" t="e">
        <f t="shared" si="313"/>
        <v>#DIV/0!</v>
      </c>
      <c r="L692" s="462">
        <f t="shared" si="314"/>
        <v>0</v>
      </c>
      <c r="M692" s="462">
        <f t="shared" si="323"/>
        <v>0</v>
      </c>
      <c r="N692" s="178">
        <f t="shared" si="312"/>
        <v>0</v>
      </c>
      <c r="O692" s="179">
        <f t="shared" si="315"/>
        <v>0</v>
      </c>
    </row>
    <row r="693" spans="1:15" s="184" customFormat="1" ht="23.3" hidden="1" customHeight="1" outlineLevel="3" x14ac:dyDescent="0.3">
      <c r="A693" s="189" t="s">
        <v>90</v>
      </c>
      <c r="B693" s="392" t="s">
        <v>490</v>
      </c>
      <c r="C693" s="392" t="s">
        <v>95</v>
      </c>
      <c r="D693" s="392" t="s">
        <v>668</v>
      </c>
      <c r="E693" s="392" t="s">
        <v>91</v>
      </c>
      <c r="F693" s="471">
        <f t="shared" si="322"/>
        <v>0</v>
      </c>
      <c r="G693" s="462">
        <f t="shared" si="322"/>
        <v>0</v>
      </c>
      <c r="H693" s="462"/>
      <c r="I693" s="462">
        <f t="shared" si="322"/>
        <v>0</v>
      </c>
      <c r="J693" s="462">
        <f t="shared" si="322"/>
        <v>0</v>
      </c>
      <c r="K693" s="462" t="e">
        <f t="shared" si="313"/>
        <v>#DIV/0!</v>
      </c>
      <c r="L693" s="462">
        <f t="shared" si="314"/>
        <v>0</v>
      </c>
      <c r="M693" s="462">
        <f t="shared" si="323"/>
        <v>0</v>
      </c>
      <c r="N693" s="178">
        <f t="shared" si="312"/>
        <v>0</v>
      </c>
      <c r="O693" s="179">
        <f t="shared" si="315"/>
        <v>0</v>
      </c>
    </row>
    <row r="694" spans="1:15" s="184" customFormat="1" ht="34" hidden="1" outlineLevel="3" x14ac:dyDescent="0.3">
      <c r="A694" s="189" t="s">
        <v>97</v>
      </c>
      <c r="B694" s="392" t="s">
        <v>490</v>
      </c>
      <c r="C694" s="392" t="s">
        <v>95</v>
      </c>
      <c r="D694" s="392" t="s">
        <v>668</v>
      </c>
      <c r="E694" s="392" t="s">
        <v>98</v>
      </c>
      <c r="F694" s="475">
        <v>0</v>
      </c>
      <c r="G694" s="449">
        <v>0</v>
      </c>
      <c r="H694" s="449"/>
      <c r="I694" s="449">
        <v>0</v>
      </c>
      <c r="J694" s="449"/>
      <c r="K694" s="462" t="e">
        <f t="shared" si="313"/>
        <v>#DIV/0!</v>
      </c>
      <c r="L694" s="462">
        <f t="shared" si="314"/>
        <v>0</v>
      </c>
      <c r="M694" s="449"/>
      <c r="N694" s="178">
        <f t="shared" si="312"/>
        <v>0</v>
      </c>
      <c r="O694" s="179">
        <f t="shared" si="315"/>
        <v>0</v>
      </c>
    </row>
    <row r="695" spans="1:15" s="184" customFormat="1" hidden="1" outlineLevel="3" x14ac:dyDescent="0.3">
      <c r="A695" s="189" t="s">
        <v>123</v>
      </c>
      <c r="B695" s="392" t="s">
        <v>490</v>
      </c>
      <c r="C695" s="392" t="s">
        <v>124</v>
      </c>
      <c r="D695" s="392" t="s">
        <v>126</v>
      </c>
      <c r="E695" s="392" t="s">
        <v>6</v>
      </c>
      <c r="F695" s="471">
        <f t="shared" ref="F695:J698" si="324">F696</f>
        <v>0</v>
      </c>
      <c r="G695" s="462">
        <f t="shared" si="324"/>
        <v>0</v>
      </c>
      <c r="H695" s="462"/>
      <c r="I695" s="462">
        <f t="shared" si="324"/>
        <v>0</v>
      </c>
      <c r="J695" s="462">
        <f t="shared" si="324"/>
        <v>0</v>
      </c>
      <c r="K695" s="462" t="e">
        <f t="shared" si="313"/>
        <v>#DIV/0!</v>
      </c>
      <c r="L695" s="462">
        <f t="shared" si="314"/>
        <v>0</v>
      </c>
      <c r="M695" s="462">
        <f t="shared" ref="M695:M698" si="325">M696</f>
        <v>0</v>
      </c>
      <c r="N695" s="178">
        <f t="shared" si="312"/>
        <v>0</v>
      </c>
      <c r="O695" s="179">
        <f t="shared" si="315"/>
        <v>0</v>
      </c>
    </row>
    <row r="696" spans="1:15" s="184" customFormat="1" ht="39.75" hidden="1" customHeight="1" outlineLevel="3" x14ac:dyDescent="0.3">
      <c r="A696" s="233" t="s">
        <v>1041</v>
      </c>
      <c r="B696" s="397" t="s">
        <v>490</v>
      </c>
      <c r="C696" s="397" t="s">
        <v>124</v>
      </c>
      <c r="D696" s="397" t="s">
        <v>138</v>
      </c>
      <c r="E696" s="397" t="s">
        <v>6</v>
      </c>
      <c r="F696" s="473">
        <f t="shared" si="324"/>
        <v>0</v>
      </c>
      <c r="G696" s="465">
        <f t="shared" si="324"/>
        <v>0</v>
      </c>
      <c r="H696" s="465"/>
      <c r="I696" s="465">
        <f t="shared" si="324"/>
        <v>0</v>
      </c>
      <c r="J696" s="465">
        <f t="shared" si="324"/>
        <v>0</v>
      </c>
      <c r="K696" s="462" t="e">
        <f t="shared" si="313"/>
        <v>#DIV/0!</v>
      </c>
      <c r="L696" s="462">
        <f t="shared" si="314"/>
        <v>0</v>
      </c>
      <c r="M696" s="465">
        <f t="shared" si="325"/>
        <v>0</v>
      </c>
      <c r="N696" s="178">
        <f t="shared" si="312"/>
        <v>0</v>
      </c>
      <c r="O696" s="179">
        <f t="shared" si="315"/>
        <v>0</v>
      </c>
    </row>
    <row r="697" spans="1:15" s="184" customFormat="1" ht="50.95" hidden="1" outlineLevel="3" x14ac:dyDescent="0.3">
      <c r="A697" s="189" t="s">
        <v>1038</v>
      </c>
      <c r="B697" s="392" t="s">
        <v>490</v>
      </c>
      <c r="C697" s="392" t="s">
        <v>124</v>
      </c>
      <c r="D697" s="392" t="s">
        <v>139</v>
      </c>
      <c r="E697" s="392" t="s">
        <v>6</v>
      </c>
      <c r="F697" s="471">
        <f t="shared" si="324"/>
        <v>0</v>
      </c>
      <c r="G697" s="462">
        <f t="shared" si="324"/>
        <v>0</v>
      </c>
      <c r="H697" s="462"/>
      <c r="I697" s="462">
        <f t="shared" si="324"/>
        <v>0</v>
      </c>
      <c r="J697" s="462">
        <f t="shared" si="324"/>
        <v>0</v>
      </c>
      <c r="K697" s="462" t="e">
        <f t="shared" si="313"/>
        <v>#DIV/0!</v>
      </c>
      <c r="L697" s="462">
        <f t="shared" si="314"/>
        <v>0</v>
      </c>
      <c r="M697" s="462">
        <f t="shared" si="325"/>
        <v>0</v>
      </c>
      <c r="N697" s="178">
        <f t="shared" si="312"/>
        <v>0</v>
      </c>
      <c r="O697" s="179">
        <f t="shared" si="315"/>
        <v>0</v>
      </c>
    </row>
    <row r="698" spans="1:15" s="184" customFormat="1" ht="24.8" hidden="1" customHeight="1" outlineLevel="3" x14ac:dyDescent="0.3">
      <c r="A698" s="189" t="s">
        <v>202</v>
      </c>
      <c r="B698" s="392" t="s">
        <v>490</v>
      </c>
      <c r="C698" s="392" t="s">
        <v>124</v>
      </c>
      <c r="D698" s="392" t="s">
        <v>231</v>
      </c>
      <c r="E698" s="392" t="s">
        <v>6</v>
      </c>
      <c r="F698" s="471">
        <f t="shared" si="324"/>
        <v>0</v>
      </c>
      <c r="G698" s="462">
        <f t="shared" si="324"/>
        <v>0</v>
      </c>
      <c r="H698" s="462"/>
      <c r="I698" s="462">
        <f t="shared" si="324"/>
        <v>0</v>
      </c>
      <c r="J698" s="462">
        <f t="shared" si="324"/>
        <v>0</v>
      </c>
      <c r="K698" s="462" t="e">
        <f t="shared" si="313"/>
        <v>#DIV/0!</v>
      </c>
      <c r="L698" s="462">
        <f t="shared" si="314"/>
        <v>0</v>
      </c>
      <c r="M698" s="462">
        <f t="shared" si="325"/>
        <v>0</v>
      </c>
      <c r="N698" s="178">
        <f t="shared" si="312"/>
        <v>0</v>
      </c>
      <c r="O698" s="179">
        <f t="shared" si="315"/>
        <v>0</v>
      </c>
    </row>
    <row r="699" spans="1:15" s="461" customFormat="1" ht="79.5" hidden="1" customHeight="1" x14ac:dyDescent="0.3">
      <c r="A699" s="185" t="s">
        <v>938</v>
      </c>
      <c r="B699" s="392" t="s">
        <v>490</v>
      </c>
      <c r="C699" s="392" t="s">
        <v>124</v>
      </c>
      <c r="D699" s="392" t="s">
        <v>156</v>
      </c>
      <c r="E699" s="392" t="s">
        <v>6</v>
      </c>
      <c r="F699" s="471">
        <f>F702+F700</f>
        <v>0</v>
      </c>
      <c r="G699" s="462">
        <f>G702+G700</f>
        <v>0</v>
      </c>
      <c r="H699" s="462"/>
      <c r="I699" s="462">
        <f>I702+I700</f>
        <v>0</v>
      </c>
      <c r="J699" s="462">
        <f>J702+J700</f>
        <v>0</v>
      </c>
      <c r="K699" s="462" t="e">
        <f t="shared" si="313"/>
        <v>#DIV/0!</v>
      </c>
      <c r="L699" s="462">
        <f t="shared" si="314"/>
        <v>0</v>
      </c>
      <c r="M699" s="462">
        <f>M702+M700</f>
        <v>0</v>
      </c>
      <c r="N699" s="178">
        <f t="shared" si="312"/>
        <v>0</v>
      </c>
      <c r="O699" s="179">
        <f t="shared" si="315"/>
        <v>0</v>
      </c>
    </row>
    <row r="700" spans="1:15" s="461" customFormat="1" ht="34" hidden="1" x14ac:dyDescent="0.3">
      <c r="A700" s="189" t="s">
        <v>15</v>
      </c>
      <c r="B700" s="392" t="s">
        <v>490</v>
      </c>
      <c r="C700" s="392" t="s">
        <v>124</v>
      </c>
      <c r="D700" s="392" t="s">
        <v>156</v>
      </c>
      <c r="E700" s="392" t="s">
        <v>16</v>
      </c>
      <c r="F700" s="471">
        <f>F701</f>
        <v>0</v>
      </c>
      <c r="G700" s="462">
        <f>G701</f>
        <v>0</v>
      </c>
      <c r="H700" s="462"/>
      <c r="I700" s="462">
        <f>I701</f>
        <v>0</v>
      </c>
      <c r="J700" s="462">
        <f>J701</f>
        <v>0</v>
      </c>
      <c r="K700" s="462" t="e">
        <f t="shared" si="313"/>
        <v>#DIV/0!</v>
      </c>
      <c r="L700" s="462">
        <f t="shared" si="314"/>
        <v>0</v>
      </c>
      <c r="M700" s="462">
        <f>M701</f>
        <v>0</v>
      </c>
      <c r="N700" s="178">
        <f t="shared" si="312"/>
        <v>0</v>
      </c>
      <c r="O700" s="179">
        <f t="shared" si="315"/>
        <v>0</v>
      </c>
    </row>
    <row r="701" spans="1:15" s="461" customFormat="1" ht="50.95" hidden="1" x14ac:dyDescent="0.3">
      <c r="A701" s="189" t="s">
        <v>17</v>
      </c>
      <c r="B701" s="392" t="s">
        <v>490</v>
      </c>
      <c r="C701" s="392" t="s">
        <v>124</v>
      </c>
      <c r="D701" s="392" t="s">
        <v>156</v>
      </c>
      <c r="E701" s="392" t="s">
        <v>18</v>
      </c>
      <c r="F701" s="475">
        <v>0</v>
      </c>
      <c r="G701" s="462">
        <v>0</v>
      </c>
      <c r="H701" s="462"/>
      <c r="I701" s="462">
        <v>0</v>
      </c>
      <c r="J701" s="489"/>
      <c r="K701" s="462" t="e">
        <f t="shared" si="313"/>
        <v>#DIV/0!</v>
      </c>
      <c r="L701" s="462">
        <f t="shared" si="314"/>
        <v>0</v>
      </c>
      <c r="M701" s="489"/>
      <c r="N701" s="178">
        <f t="shared" si="312"/>
        <v>0</v>
      </c>
      <c r="O701" s="179">
        <f t="shared" si="315"/>
        <v>0</v>
      </c>
    </row>
    <row r="702" spans="1:15" s="461" customFormat="1" ht="34" hidden="1" x14ac:dyDescent="0.3">
      <c r="A702" s="189" t="s">
        <v>90</v>
      </c>
      <c r="B702" s="392" t="s">
        <v>490</v>
      </c>
      <c r="C702" s="392" t="s">
        <v>124</v>
      </c>
      <c r="D702" s="392" t="s">
        <v>156</v>
      </c>
      <c r="E702" s="392" t="s">
        <v>91</v>
      </c>
      <c r="F702" s="471">
        <f>F703</f>
        <v>0</v>
      </c>
      <c r="G702" s="462">
        <f>G703</f>
        <v>0</v>
      </c>
      <c r="H702" s="462"/>
      <c r="I702" s="462">
        <f>I703</f>
        <v>0</v>
      </c>
      <c r="J702" s="462">
        <f>J703</f>
        <v>0</v>
      </c>
      <c r="K702" s="462" t="e">
        <f t="shared" si="313"/>
        <v>#DIV/0!</v>
      </c>
      <c r="L702" s="462">
        <f t="shared" si="314"/>
        <v>0</v>
      </c>
      <c r="M702" s="462">
        <f>M703</f>
        <v>0</v>
      </c>
      <c r="N702" s="178">
        <f t="shared" si="312"/>
        <v>0</v>
      </c>
      <c r="O702" s="179">
        <f t="shared" si="315"/>
        <v>0</v>
      </c>
    </row>
    <row r="703" spans="1:15" s="461" customFormat="1" ht="39.25" hidden="1" customHeight="1" x14ac:dyDescent="0.3">
      <c r="A703" s="189" t="s">
        <v>92</v>
      </c>
      <c r="B703" s="392" t="s">
        <v>490</v>
      </c>
      <c r="C703" s="392" t="s">
        <v>124</v>
      </c>
      <c r="D703" s="392" t="s">
        <v>156</v>
      </c>
      <c r="E703" s="392" t="s">
        <v>93</v>
      </c>
      <c r="F703" s="475">
        <v>0</v>
      </c>
      <c r="G703" s="449">
        <v>0</v>
      </c>
      <c r="H703" s="449"/>
      <c r="I703" s="449">
        <v>0</v>
      </c>
      <c r="J703" s="489"/>
      <c r="K703" s="462" t="e">
        <f t="shared" si="313"/>
        <v>#DIV/0!</v>
      </c>
      <c r="L703" s="462">
        <f t="shared" si="314"/>
        <v>0</v>
      </c>
      <c r="M703" s="489"/>
      <c r="N703" s="178">
        <f t="shared" si="312"/>
        <v>0</v>
      </c>
      <c r="O703" s="179">
        <f t="shared" si="315"/>
        <v>0</v>
      </c>
    </row>
    <row r="704" spans="1:15" s="461" customFormat="1" x14ac:dyDescent="0.3">
      <c r="A704" s="233" t="s">
        <v>100</v>
      </c>
      <c r="B704" s="392" t="s">
        <v>490</v>
      </c>
      <c r="C704" s="392" t="s">
        <v>101</v>
      </c>
      <c r="D704" s="397" t="s">
        <v>126</v>
      </c>
      <c r="E704" s="392" t="s">
        <v>6</v>
      </c>
      <c r="F704" s="476">
        <f t="shared" ref="F704:J706" si="326">F705</f>
        <v>1925454.14</v>
      </c>
      <c r="G704" s="449">
        <f t="shared" si="326"/>
        <v>1615300</v>
      </c>
      <c r="H704" s="449"/>
      <c r="I704" s="449">
        <f t="shared" si="326"/>
        <v>0</v>
      </c>
      <c r="J704" s="449">
        <f t="shared" si="326"/>
        <v>1900000</v>
      </c>
      <c r="K704" s="462">
        <f t="shared" si="313"/>
        <v>117.62520893951587</v>
      </c>
      <c r="L704" s="462">
        <f t="shared" si="314"/>
        <v>284700</v>
      </c>
      <c r="M704" s="449">
        <f t="shared" ref="M704:M706" si="327">M705</f>
        <v>1900000</v>
      </c>
      <c r="N704" s="178">
        <f t="shared" si="312"/>
        <v>0</v>
      </c>
      <c r="O704" s="179">
        <f t="shared" si="315"/>
        <v>284700</v>
      </c>
    </row>
    <row r="705" spans="1:15" x14ac:dyDescent="0.3">
      <c r="A705" s="189" t="s">
        <v>291</v>
      </c>
      <c r="B705" s="392" t="s">
        <v>490</v>
      </c>
      <c r="C705" s="392" t="s">
        <v>290</v>
      </c>
      <c r="D705" s="397" t="s">
        <v>126</v>
      </c>
      <c r="E705" s="392" t="s">
        <v>6</v>
      </c>
      <c r="F705" s="476">
        <f t="shared" si="326"/>
        <v>1925454.14</v>
      </c>
      <c r="G705" s="449">
        <f t="shared" si="326"/>
        <v>1615300</v>
      </c>
      <c r="H705" s="449"/>
      <c r="I705" s="449">
        <f t="shared" si="326"/>
        <v>0</v>
      </c>
      <c r="J705" s="449">
        <f t="shared" si="326"/>
        <v>1900000</v>
      </c>
      <c r="K705" s="462">
        <f t="shared" si="313"/>
        <v>117.62520893951587</v>
      </c>
      <c r="L705" s="462">
        <f t="shared" si="314"/>
        <v>284700</v>
      </c>
      <c r="M705" s="449">
        <f t="shared" si="327"/>
        <v>1900000</v>
      </c>
      <c r="N705" s="178">
        <f t="shared" si="312"/>
        <v>0</v>
      </c>
      <c r="O705" s="179">
        <f t="shared" si="315"/>
        <v>284700</v>
      </c>
    </row>
    <row r="706" spans="1:15" ht="44.5" customHeight="1" x14ac:dyDescent="0.3">
      <c r="A706" s="233" t="s">
        <v>1042</v>
      </c>
      <c r="B706" s="392" t="s">
        <v>490</v>
      </c>
      <c r="C706" s="392" t="s">
        <v>290</v>
      </c>
      <c r="D706" s="397" t="s">
        <v>198</v>
      </c>
      <c r="E706" s="392" t="s">
        <v>6</v>
      </c>
      <c r="F706" s="476">
        <f t="shared" si="326"/>
        <v>1925454.14</v>
      </c>
      <c r="G706" s="449">
        <f t="shared" si="326"/>
        <v>1615300</v>
      </c>
      <c r="H706" s="449"/>
      <c r="I706" s="449">
        <f t="shared" si="326"/>
        <v>0</v>
      </c>
      <c r="J706" s="449">
        <f t="shared" si="326"/>
        <v>1900000</v>
      </c>
      <c r="K706" s="462">
        <f t="shared" si="313"/>
        <v>117.62520893951587</v>
      </c>
      <c r="L706" s="462">
        <f t="shared" si="314"/>
        <v>284700</v>
      </c>
      <c r="M706" s="449">
        <f t="shared" si="327"/>
        <v>1900000</v>
      </c>
      <c r="N706" s="178">
        <f t="shared" si="312"/>
        <v>0</v>
      </c>
      <c r="O706" s="179">
        <f t="shared" si="315"/>
        <v>284700</v>
      </c>
    </row>
    <row r="707" spans="1:15" ht="50.95" x14ac:dyDescent="0.3">
      <c r="A707" s="189" t="s">
        <v>1014</v>
      </c>
      <c r="B707" s="392" t="s">
        <v>490</v>
      </c>
      <c r="C707" s="392" t="s">
        <v>290</v>
      </c>
      <c r="D707" s="392" t="s">
        <v>227</v>
      </c>
      <c r="E707" s="392" t="s">
        <v>6</v>
      </c>
      <c r="F707" s="476">
        <f>F708+F711</f>
        <v>1925454.14</v>
      </c>
      <c r="G707" s="449">
        <f>G708+G714+G717</f>
        <v>1615300</v>
      </c>
      <c r="H707" s="449"/>
      <c r="I707" s="449">
        <f>I708+I714+I717</f>
        <v>0</v>
      </c>
      <c r="J707" s="449">
        <f>J708+J714+J717</f>
        <v>1900000</v>
      </c>
      <c r="K707" s="462">
        <f t="shared" si="313"/>
        <v>117.62520893951587</v>
      </c>
      <c r="L707" s="462">
        <f t="shared" si="314"/>
        <v>284700</v>
      </c>
      <c r="M707" s="449">
        <f>M708+M714+M717</f>
        <v>1900000</v>
      </c>
      <c r="N707" s="178">
        <f t="shared" si="312"/>
        <v>0</v>
      </c>
      <c r="O707" s="179">
        <f t="shared" si="315"/>
        <v>284700</v>
      </c>
    </row>
    <row r="708" spans="1:15" ht="50.95" x14ac:dyDescent="0.3">
      <c r="A708" s="189" t="s">
        <v>797</v>
      </c>
      <c r="B708" s="392" t="s">
        <v>490</v>
      </c>
      <c r="C708" s="392" t="s">
        <v>290</v>
      </c>
      <c r="D708" s="392" t="s">
        <v>798</v>
      </c>
      <c r="E708" s="392" t="s">
        <v>6</v>
      </c>
      <c r="F708" s="476">
        <f>F709</f>
        <v>1610023.44</v>
      </c>
      <c r="G708" s="449">
        <f t="shared" ref="G708:J709" si="328">G709</f>
        <v>1600000</v>
      </c>
      <c r="H708" s="449"/>
      <c r="I708" s="449">
        <f t="shared" si="328"/>
        <v>0</v>
      </c>
      <c r="J708" s="449">
        <f t="shared" si="328"/>
        <v>1900000</v>
      </c>
      <c r="K708" s="462">
        <f t="shared" si="313"/>
        <v>118.75</v>
      </c>
      <c r="L708" s="462">
        <f t="shared" si="314"/>
        <v>300000</v>
      </c>
      <c r="M708" s="449">
        <f t="shared" ref="M708:M709" si="329">M709</f>
        <v>1900000</v>
      </c>
      <c r="N708" s="178">
        <f t="shared" si="312"/>
        <v>0</v>
      </c>
      <c r="O708" s="179">
        <f t="shared" si="315"/>
        <v>300000</v>
      </c>
    </row>
    <row r="709" spans="1:15" ht="50.95" x14ac:dyDescent="0.3">
      <c r="A709" s="189" t="s">
        <v>37</v>
      </c>
      <c r="B709" s="392" t="s">
        <v>490</v>
      </c>
      <c r="C709" s="392" t="s">
        <v>290</v>
      </c>
      <c r="D709" s="392" t="s">
        <v>798</v>
      </c>
      <c r="E709" s="392" t="s">
        <v>38</v>
      </c>
      <c r="F709" s="476">
        <f>F710</f>
        <v>1610023.44</v>
      </c>
      <c r="G709" s="449">
        <f t="shared" si="328"/>
        <v>1600000</v>
      </c>
      <c r="H709" s="449"/>
      <c r="I709" s="449">
        <f t="shared" si="328"/>
        <v>0</v>
      </c>
      <c r="J709" s="449">
        <f t="shared" si="328"/>
        <v>1900000</v>
      </c>
      <c r="K709" s="462">
        <f t="shared" si="313"/>
        <v>118.75</v>
      </c>
      <c r="L709" s="462">
        <f t="shared" si="314"/>
        <v>300000</v>
      </c>
      <c r="M709" s="449">
        <f t="shared" si="329"/>
        <v>1900000</v>
      </c>
      <c r="N709" s="178">
        <f t="shared" si="312"/>
        <v>0</v>
      </c>
      <c r="O709" s="179">
        <f t="shared" si="315"/>
        <v>300000</v>
      </c>
    </row>
    <row r="710" spans="1:15" x14ac:dyDescent="0.3">
      <c r="A710" s="189" t="s">
        <v>74</v>
      </c>
      <c r="B710" s="392" t="s">
        <v>490</v>
      </c>
      <c r="C710" s="392" t="s">
        <v>290</v>
      </c>
      <c r="D710" s="392" t="s">
        <v>798</v>
      </c>
      <c r="E710" s="392" t="s">
        <v>75</v>
      </c>
      <c r="F710" s="475">
        <v>1610023.44</v>
      </c>
      <c r="G710" s="449">
        <v>1600000</v>
      </c>
      <c r="H710" s="449"/>
      <c r="I710" s="449">
        <v>0</v>
      </c>
      <c r="J710" s="449">
        <v>1900000</v>
      </c>
      <c r="K710" s="462">
        <f t="shared" si="313"/>
        <v>118.75</v>
      </c>
      <c r="L710" s="462">
        <f t="shared" si="314"/>
        <v>300000</v>
      </c>
      <c r="M710" s="449">
        <v>1900000</v>
      </c>
      <c r="N710" s="178">
        <f t="shared" si="312"/>
        <v>0</v>
      </c>
      <c r="O710" s="179">
        <f t="shared" si="315"/>
        <v>300000</v>
      </c>
    </row>
    <row r="711" spans="1:15" ht="34" hidden="1" x14ac:dyDescent="0.3">
      <c r="A711" s="452" t="s">
        <v>102</v>
      </c>
      <c r="B711" s="451" t="s">
        <v>490</v>
      </c>
      <c r="C711" s="451" t="s">
        <v>290</v>
      </c>
      <c r="D711" s="451" t="s">
        <v>199</v>
      </c>
      <c r="E711" s="451" t="s">
        <v>6</v>
      </c>
      <c r="F711" s="476">
        <f>F712</f>
        <v>315430.7</v>
      </c>
      <c r="G711" s="449"/>
      <c r="H711" s="449"/>
      <c r="I711" s="449"/>
      <c r="J711" s="449"/>
      <c r="K711" s="462" t="e">
        <f t="shared" si="313"/>
        <v>#DIV/0!</v>
      </c>
      <c r="L711" s="462">
        <f t="shared" si="314"/>
        <v>0</v>
      </c>
      <c r="M711" s="449"/>
      <c r="N711" s="178">
        <f t="shared" si="312"/>
        <v>0</v>
      </c>
      <c r="O711" s="179">
        <f t="shared" si="315"/>
        <v>0</v>
      </c>
    </row>
    <row r="712" spans="1:15" ht="50.95" hidden="1" x14ac:dyDescent="0.3">
      <c r="A712" s="452" t="s">
        <v>37</v>
      </c>
      <c r="B712" s="451" t="s">
        <v>490</v>
      </c>
      <c r="C712" s="451" t="s">
        <v>290</v>
      </c>
      <c r="D712" s="451" t="s">
        <v>199</v>
      </c>
      <c r="E712" s="451" t="s">
        <v>38</v>
      </c>
      <c r="F712" s="476">
        <f>F713</f>
        <v>315430.7</v>
      </c>
      <c r="G712" s="449"/>
      <c r="H712" s="449"/>
      <c r="I712" s="449"/>
      <c r="J712" s="449"/>
      <c r="K712" s="462" t="e">
        <f t="shared" si="313"/>
        <v>#DIV/0!</v>
      </c>
      <c r="L712" s="462">
        <f t="shared" si="314"/>
        <v>0</v>
      </c>
      <c r="M712" s="449"/>
      <c r="N712" s="178">
        <f t="shared" ref="N712:N745" si="330">M712-J712</f>
        <v>0</v>
      </c>
      <c r="O712" s="179">
        <f t="shared" si="315"/>
        <v>0</v>
      </c>
    </row>
    <row r="713" spans="1:15" hidden="1" x14ac:dyDescent="0.3">
      <c r="A713" s="452" t="s">
        <v>74</v>
      </c>
      <c r="B713" s="451" t="s">
        <v>490</v>
      </c>
      <c r="C713" s="451" t="s">
        <v>290</v>
      </c>
      <c r="D713" s="451" t="s">
        <v>199</v>
      </c>
      <c r="E713" s="451" t="s">
        <v>75</v>
      </c>
      <c r="F713" s="496">
        <v>315430.7</v>
      </c>
      <c r="G713" s="449"/>
      <c r="H713" s="449"/>
      <c r="I713" s="449"/>
      <c r="J713" s="449"/>
      <c r="K713" s="462" t="e">
        <f t="shared" ref="K713:K745" si="331">J713/G713*100</f>
        <v>#DIV/0!</v>
      </c>
      <c r="L713" s="462">
        <f t="shared" ref="L713:L745" si="332">J713-G713</f>
        <v>0</v>
      </c>
      <c r="M713" s="449"/>
      <c r="N713" s="178">
        <f t="shared" si="330"/>
        <v>0</v>
      </c>
      <c r="O713" s="179">
        <f t="shared" ref="O713:O745" si="333">M713-G713</f>
        <v>0</v>
      </c>
    </row>
    <row r="714" spans="1:15" ht="50.95" hidden="1" x14ac:dyDescent="0.3">
      <c r="A714" s="189" t="s">
        <v>848</v>
      </c>
      <c r="B714" s="392" t="s">
        <v>490</v>
      </c>
      <c r="C714" s="392" t="s">
        <v>290</v>
      </c>
      <c r="D714" s="392" t="s">
        <v>867</v>
      </c>
      <c r="E714" s="392" t="s">
        <v>6</v>
      </c>
      <c r="F714" s="449">
        <v>0</v>
      </c>
      <c r="G714" s="449">
        <f>G716</f>
        <v>0</v>
      </c>
      <c r="H714" s="449"/>
      <c r="I714" s="449">
        <f>I716</f>
        <v>0</v>
      </c>
      <c r="J714" s="449">
        <f>J716</f>
        <v>0</v>
      </c>
      <c r="K714" s="462" t="e">
        <f t="shared" si="331"/>
        <v>#DIV/0!</v>
      </c>
      <c r="L714" s="462">
        <f t="shared" si="332"/>
        <v>0</v>
      </c>
      <c r="M714" s="449">
        <f>M716</f>
        <v>0</v>
      </c>
      <c r="N714" s="178">
        <f t="shared" si="330"/>
        <v>0</v>
      </c>
      <c r="O714" s="179">
        <f t="shared" si="333"/>
        <v>0</v>
      </c>
    </row>
    <row r="715" spans="1:15" ht="50.95" hidden="1" x14ac:dyDescent="0.3">
      <c r="A715" s="189" t="s">
        <v>37</v>
      </c>
      <c r="B715" s="392" t="s">
        <v>490</v>
      </c>
      <c r="C715" s="392" t="s">
        <v>290</v>
      </c>
      <c r="D715" s="392" t="s">
        <v>867</v>
      </c>
      <c r="E715" s="392" t="s">
        <v>38</v>
      </c>
      <c r="F715" s="449">
        <v>0</v>
      </c>
      <c r="G715" s="449">
        <f>G716</f>
        <v>0</v>
      </c>
      <c r="H715" s="449"/>
      <c r="I715" s="449">
        <f>I716</f>
        <v>0</v>
      </c>
      <c r="J715" s="449">
        <f>J716</f>
        <v>0</v>
      </c>
      <c r="K715" s="462" t="e">
        <f t="shared" si="331"/>
        <v>#DIV/0!</v>
      </c>
      <c r="L715" s="462">
        <f t="shared" si="332"/>
        <v>0</v>
      </c>
      <c r="M715" s="449">
        <f>M716</f>
        <v>0</v>
      </c>
      <c r="N715" s="178">
        <f t="shared" si="330"/>
        <v>0</v>
      </c>
      <c r="O715" s="179">
        <f t="shared" si="333"/>
        <v>0</v>
      </c>
    </row>
    <row r="716" spans="1:15" hidden="1" x14ac:dyDescent="0.3">
      <c r="A716" s="189" t="s">
        <v>74</v>
      </c>
      <c r="B716" s="392" t="s">
        <v>490</v>
      </c>
      <c r="C716" s="392" t="s">
        <v>290</v>
      </c>
      <c r="D716" s="392" t="s">
        <v>867</v>
      </c>
      <c r="E716" s="392" t="s">
        <v>75</v>
      </c>
      <c r="F716" s="449">
        <v>0</v>
      </c>
      <c r="G716" s="449">
        <v>0</v>
      </c>
      <c r="H716" s="449"/>
      <c r="I716" s="449">
        <v>0</v>
      </c>
      <c r="J716" s="449"/>
      <c r="K716" s="462" t="e">
        <f t="shared" si="331"/>
        <v>#DIV/0!</v>
      </c>
      <c r="L716" s="462">
        <f t="shared" si="332"/>
        <v>0</v>
      </c>
      <c r="M716" s="449"/>
      <c r="N716" s="178">
        <f t="shared" si="330"/>
        <v>0</v>
      </c>
      <c r="O716" s="179">
        <f t="shared" si="333"/>
        <v>0</v>
      </c>
    </row>
    <row r="717" spans="1:15" ht="67.95" x14ac:dyDescent="0.3">
      <c r="A717" s="189" t="s">
        <v>787</v>
      </c>
      <c r="B717" s="392" t="s">
        <v>490</v>
      </c>
      <c r="C717" s="392" t="s">
        <v>290</v>
      </c>
      <c r="D717" s="392" t="s">
        <v>868</v>
      </c>
      <c r="E717" s="392" t="s">
        <v>6</v>
      </c>
      <c r="F717" s="462">
        <v>0</v>
      </c>
      <c r="G717" s="449">
        <f t="shared" ref="G717:J718" si="334">G718</f>
        <v>15300</v>
      </c>
      <c r="H717" s="449"/>
      <c r="I717" s="449">
        <f t="shared" si="334"/>
        <v>0</v>
      </c>
      <c r="J717" s="449">
        <f t="shared" si="334"/>
        <v>0</v>
      </c>
      <c r="K717" s="462">
        <f t="shared" si="331"/>
        <v>0</v>
      </c>
      <c r="L717" s="462">
        <f t="shared" si="332"/>
        <v>-15300</v>
      </c>
      <c r="M717" s="449">
        <f t="shared" ref="M717:M718" si="335">M718</f>
        <v>0</v>
      </c>
      <c r="N717" s="178">
        <f t="shared" si="330"/>
        <v>0</v>
      </c>
      <c r="O717" s="179">
        <f t="shared" si="333"/>
        <v>-15300</v>
      </c>
    </row>
    <row r="718" spans="1:15" s="184" customFormat="1" ht="50.95" x14ac:dyDescent="0.3">
      <c r="A718" s="189" t="s">
        <v>37</v>
      </c>
      <c r="B718" s="392" t="s">
        <v>490</v>
      </c>
      <c r="C718" s="392" t="s">
        <v>290</v>
      </c>
      <c r="D718" s="392" t="s">
        <v>868</v>
      </c>
      <c r="E718" s="392" t="s">
        <v>38</v>
      </c>
      <c r="F718" s="462">
        <v>0</v>
      </c>
      <c r="G718" s="449">
        <f t="shared" si="334"/>
        <v>15300</v>
      </c>
      <c r="H718" s="449"/>
      <c r="I718" s="449">
        <f t="shared" si="334"/>
        <v>0</v>
      </c>
      <c r="J718" s="449">
        <f t="shared" si="334"/>
        <v>0</v>
      </c>
      <c r="K718" s="462">
        <f t="shared" si="331"/>
        <v>0</v>
      </c>
      <c r="L718" s="462">
        <f t="shared" si="332"/>
        <v>-15300</v>
      </c>
      <c r="M718" s="449">
        <f t="shared" si="335"/>
        <v>0</v>
      </c>
      <c r="N718" s="178">
        <f t="shared" si="330"/>
        <v>0</v>
      </c>
      <c r="O718" s="179">
        <f t="shared" si="333"/>
        <v>-15300</v>
      </c>
    </row>
    <row r="719" spans="1:15" s="184" customFormat="1" x14ac:dyDescent="0.3">
      <c r="A719" s="189" t="s">
        <v>74</v>
      </c>
      <c r="B719" s="392" t="s">
        <v>490</v>
      </c>
      <c r="C719" s="392" t="s">
        <v>290</v>
      </c>
      <c r="D719" s="392" t="s">
        <v>868</v>
      </c>
      <c r="E719" s="392" t="s">
        <v>75</v>
      </c>
      <c r="F719" s="462">
        <v>0</v>
      </c>
      <c r="G719" s="449">
        <v>15300</v>
      </c>
      <c r="H719" s="449"/>
      <c r="I719" s="449">
        <v>0</v>
      </c>
      <c r="J719" s="449"/>
      <c r="K719" s="462">
        <f t="shared" si="331"/>
        <v>0</v>
      </c>
      <c r="L719" s="462">
        <f t="shared" si="332"/>
        <v>-15300</v>
      </c>
      <c r="M719" s="449"/>
      <c r="N719" s="178">
        <f t="shared" si="330"/>
        <v>0</v>
      </c>
      <c r="O719" s="179">
        <f t="shared" si="333"/>
        <v>-15300</v>
      </c>
    </row>
    <row r="720" spans="1:15" s="184" customFormat="1" ht="34" x14ac:dyDescent="0.3">
      <c r="A720" s="208" t="s">
        <v>671</v>
      </c>
      <c r="B720" s="487">
        <v>959</v>
      </c>
      <c r="C720" s="488" t="s">
        <v>5</v>
      </c>
      <c r="D720" s="488" t="s">
        <v>126</v>
      </c>
      <c r="E720" s="488" t="s">
        <v>6</v>
      </c>
      <c r="F720" s="502">
        <f t="shared" ref="F720:F722" si="336">F721</f>
        <v>1619115.8599999999</v>
      </c>
      <c r="G720" s="489">
        <f>G721</f>
        <v>1787622</v>
      </c>
      <c r="H720" s="489"/>
      <c r="I720" s="489">
        <f>I721</f>
        <v>1768008</v>
      </c>
      <c r="J720" s="489">
        <f>J721</f>
        <v>1912374.3199999998</v>
      </c>
      <c r="K720" s="462">
        <f t="shared" si="331"/>
        <v>106.97867446249822</v>
      </c>
      <c r="L720" s="462">
        <f t="shared" si="332"/>
        <v>124752.31999999983</v>
      </c>
      <c r="M720" s="489">
        <f>M721</f>
        <v>1912374.3199999998</v>
      </c>
      <c r="N720" s="178">
        <f t="shared" si="330"/>
        <v>0</v>
      </c>
      <c r="O720" s="179">
        <f t="shared" si="333"/>
        <v>124752.31999999983</v>
      </c>
    </row>
    <row r="721" spans="1:15" s="184" customFormat="1" x14ac:dyDescent="0.3">
      <c r="A721" s="189" t="s">
        <v>7</v>
      </c>
      <c r="B721" s="392" t="s">
        <v>672</v>
      </c>
      <c r="C721" s="392" t="s">
        <v>8</v>
      </c>
      <c r="D721" s="392" t="s">
        <v>126</v>
      </c>
      <c r="E721" s="392" t="s">
        <v>6</v>
      </c>
      <c r="F721" s="476">
        <f t="shared" si="336"/>
        <v>1619115.8599999999</v>
      </c>
      <c r="G721" s="449">
        <f>G722+G734</f>
        <v>1787622</v>
      </c>
      <c r="H721" s="449"/>
      <c r="I721" s="449">
        <f>I722+I734</f>
        <v>1768008</v>
      </c>
      <c r="J721" s="449">
        <f>J722+J734</f>
        <v>1912374.3199999998</v>
      </c>
      <c r="K721" s="462">
        <f t="shared" si="331"/>
        <v>106.97867446249822</v>
      </c>
      <c r="L721" s="462">
        <f t="shared" si="332"/>
        <v>124752.31999999983</v>
      </c>
      <c r="M721" s="449">
        <f>M722+M734</f>
        <v>1912374.3199999998</v>
      </c>
      <c r="N721" s="178">
        <f t="shared" si="330"/>
        <v>0</v>
      </c>
      <c r="O721" s="179">
        <f t="shared" si="333"/>
        <v>124752.31999999983</v>
      </c>
    </row>
    <row r="722" spans="1:15" s="184" customFormat="1" ht="50.95" x14ac:dyDescent="0.3">
      <c r="A722" s="189" t="s">
        <v>9</v>
      </c>
      <c r="B722" s="392" t="s">
        <v>672</v>
      </c>
      <c r="C722" s="392" t="s">
        <v>10</v>
      </c>
      <c r="D722" s="392" t="s">
        <v>126</v>
      </c>
      <c r="E722" s="392" t="s">
        <v>6</v>
      </c>
      <c r="F722" s="471">
        <f t="shared" si="336"/>
        <v>1619115.8599999999</v>
      </c>
      <c r="G722" s="462">
        <f>G723</f>
        <v>1767872</v>
      </c>
      <c r="H722" s="462"/>
      <c r="I722" s="462">
        <f>I723</f>
        <v>1748508</v>
      </c>
      <c r="J722" s="462">
        <f>J723</f>
        <v>1893374.3199999998</v>
      </c>
      <c r="K722" s="462">
        <f t="shared" si="331"/>
        <v>107.09906147051369</v>
      </c>
      <c r="L722" s="462">
        <f t="shared" si="332"/>
        <v>125502.31999999983</v>
      </c>
      <c r="M722" s="462">
        <f>M723</f>
        <v>1893374.3199999998</v>
      </c>
      <c r="N722" s="178">
        <f t="shared" si="330"/>
        <v>0</v>
      </c>
      <c r="O722" s="179">
        <f t="shared" si="333"/>
        <v>125502.31999999983</v>
      </c>
    </row>
    <row r="723" spans="1:15" s="184" customFormat="1" ht="34" x14ac:dyDescent="0.3">
      <c r="A723" s="189" t="s">
        <v>132</v>
      </c>
      <c r="B723" s="392" t="s">
        <v>672</v>
      </c>
      <c r="C723" s="392" t="s">
        <v>10</v>
      </c>
      <c r="D723" s="392" t="s">
        <v>127</v>
      </c>
      <c r="E723" s="392" t="s">
        <v>6</v>
      </c>
      <c r="F723" s="471">
        <f>F724+F727</f>
        <v>1619115.8599999999</v>
      </c>
      <c r="G723" s="462">
        <f>G724+G727</f>
        <v>1767872</v>
      </c>
      <c r="H723" s="462"/>
      <c r="I723" s="462">
        <f>I724+I727</f>
        <v>1748508</v>
      </c>
      <c r="J723" s="462">
        <f>J724+J727</f>
        <v>1893374.3199999998</v>
      </c>
      <c r="K723" s="462">
        <f t="shared" si="331"/>
        <v>107.09906147051369</v>
      </c>
      <c r="L723" s="462">
        <f t="shared" si="332"/>
        <v>125502.31999999983</v>
      </c>
      <c r="M723" s="462">
        <f>M724+M727</f>
        <v>1893374.3199999998</v>
      </c>
      <c r="N723" s="178">
        <f t="shared" si="330"/>
        <v>0</v>
      </c>
      <c r="O723" s="179">
        <f t="shared" si="333"/>
        <v>125502.31999999983</v>
      </c>
    </row>
    <row r="724" spans="1:15" s="184" customFormat="1" x14ac:dyDescent="0.3">
      <c r="A724" s="189" t="s">
        <v>673</v>
      </c>
      <c r="B724" s="392" t="s">
        <v>672</v>
      </c>
      <c r="C724" s="392" t="s">
        <v>10</v>
      </c>
      <c r="D724" s="392" t="s">
        <v>143</v>
      </c>
      <c r="E724" s="392" t="s">
        <v>6</v>
      </c>
      <c r="F724" s="471">
        <f>F725</f>
        <v>1379932.18</v>
      </c>
      <c r="G724" s="462">
        <f t="shared" ref="G724:J725" si="337">G725</f>
        <v>1484637</v>
      </c>
      <c r="H724" s="462"/>
      <c r="I724" s="462">
        <f t="shared" si="337"/>
        <v>1439461</v>
      </c>
      <c r="J724" s="462">
        <f t="shared" si="337"/>
        <v>1611254.16</v>
      </c>
      <c r="K724" s="462">
        <f t="shared" si="331"/>
        <v>108.52849282349825</v>
      </c>
      <c r="L724" s="462">
        <f t="shared" si="332"/>
        <v>126617.15999999992</v>
      </c>
      <c r="M724" s="462">
        <f t="shared" ref="M724:M725" si="338">M725</f>
        <v>1611254.16</v>
      </c>
      <c r="N724" s="178">
        <f t="shared" si="330"/>
        <v>0</v>
      </c>
      <c r="O724" s="179">
        <f t="shared" si="333"/>
        <v>126617.15999999992</v>
      </c>
    </row>
    <row r="725" spans="1:15" s="184" customFormat="1" ht="101.9" x14ac:dyDescent="0.3">
      <c r="A725" s="189" t="s">
        <v>11</v>
      </c>
      <c r="B725" s="392" t="s">
        <v>672</v>
      </c>
      <c r="C725" s="392" t="s">
        <v>10</v>
      </c>
      <c r="D725" s="392" t="s">
        <v>143</v>
      </c>
      <c r="E725" s="392" t="s">
        <v>12</v>
      </c>
      <c r="F725" s="471">
        <f>F726</f>
        <v>1379932.18</v>
      </c>
      <c r="G725" s="462">
        <f t="shared" si="337"/>
        <v>1484637</v>
      </c>
      <c r="H725" s="462"/>
      <c r="I725" s="462">
        <f t="shared" si="337"/>
        <v>1439461</v>
      </c>
      <c r="J725" s="462">
        <f t="shared" si="337"/>
        <v>1611254.16</v>
      </c>
      <c r="K725" s="462">
        <f t="shared" si="331"/>
        <v>108.52849282349825</v>
      </c>
      <c r="L725" s="462">
        <f t="shared" si="332"/>
        <v>126617.15999999992</v>
      </c>
      <c r="M725" s="462">
        <f t="shared" si="338"/>
        <v>1611254.16</v>
      </c>
      <c r="N725" s="178">
        <f t="shared" si="330"/>
        <v>0</v>
      </c>
      <c r="O725" s="179">
        <f t="shared" si="333"/>
        <v>126617.15999999992</v>
      </c>
    </row>
    <row r="726" spans="1:15" s="184" customFormat="1" ht="34" x14ac:dyDescent="0.3">
      <c r="A726" s="189" t="s">
        <v>13</v>
      </c>
      <c r="B726" s="392" t="s">
        <v>672</v>
      </c>
      <c r="C726" s="392" t="s">
        <v>10</v>
      </c>
      <c r="D726" s="392" t="s">
        <v>143</v>
      </c>
      <c r="E726" s="392" t="s">
        <v>14</v>
      </c>
      <c r="F726" s="475">
        <v>1379932.18</v>
      </c>
      <c r="G726" s="449">
        <f>'потребность 2023 (5)'!K740</f>
        <v>1484637</v>
      </c>
      <c r="H726" s="449"/>
      <c r="I726" s="449">
        <v>1439461</v>
      </c>
      <c r="J726" s="449">
        <v>1611254.16</v>
      </c>
      <c r="K726" s="462">
        <f t="shared" si="331"/>
        <v>108.52849282349825</v>
      </c>
      <c r="L726" s="462">
        <f t="shared" si="332"/>
        <v>126617.15999999992</v>
      </c>
      <c r="M726" s="449">
        <v>1611254.16</v>
      </c>
      <c r="N726" s="178">
        <f t="shared" si="330"/>
        <v>0</v>
      </c>
      <c r="O726" s="179">
        <f t="shared" si="333"/>
        <v>126617.15999999992</v>
      </c>
    </row>
    <row r="727" spans="1:15" s="184" customFormat="1" ht="45.7" customHeight="1" x14ac:dyDescent="0.3">
      <c r="A727" s="189" t="s">
        <v>449</v>
      </c>
      <c r="B727" s="392" t="s">
        <v>672</v>
      </c>
      <c r="C727" s="392" t="s">
        <v>10</v>
      </c>
      <c r="D727" s="392" t="s">
        <v>450</v>
      </c>
      <c r="E727" s="392" t="s">
        <v>6</v>
      </c>
      <c r="F727" s="476">
        <f>F728+F730</f>
        <v>239183.68</v>
      </c>
      <c r="G727" s="449">
        <f>G728+G730+G732</f>
        <v>283235</v>
      </c>
      <c r="H727" s="449"/>
      <c r="I727" s="449">
        <f>I728+I730+I732</f>
        <v>309047</v>
      </c>
      <c r="J727" s="449">
        <f>J728+J730+J732</f>
        <v>282120.16000000003</v>
      </c>
      <c r="K727" s="462">
        <f t="shared" si="331"/>
        <v>99.606390453157275</v>
      </c>
      <c r="L727" s="462">
        <f t="shared" si="332"/>
        <v>-1114.8399999999674</v>
      </c>
      <c r="M727" s="449">
        <f>M728+M730+M732</f>
        <v>282120.16000000003</v>
      </c>
      <c r="N727" s="178">
        <f t="shared" si="330"/>
        <v>0</v>
      </c>
      <c r="O727" s="179">
        <f t="shared" si="333"/>
        <v>-1114.8399999999674</v>
      </c>
    </row>
    <row r="728" spans="1:15" s="184" customFormat="1" ht="101.9" x14ac:dyDescent="0.3">
      <c r="A728" s="189" t="s">
        <v>11</v>
      </c>
      <c r="B728" s="392" t="s">
        <v>672</v>
      </c>
      <c r="C728" s="392" t="s">
        <v>10</v>
      </c>
      <c r="D728" s="392" t="s">
        <v>450</v>
      </c>
      <c r="E728" s="392" t="s">
        <v>12</v>
      </c>
      <c r="F728" s="476">
        <f>F729</f>
        <v>207828.68</v>
      </c>
      <c r="G728" s="449">
        <f>G729</f>
        <v>206182</v>
      </c>
      <c r="H728" s="449"/>
      <c r="I728" s="449">
        <f>I729</f>
        <v>213387</v>
      </c>
      <c r="J728" s="449">
        <f>J729</f>
        <v>220620.16</v>
      </c>
      <c r="K728" s="462">
        <f t="shared" si="331"/>
        <v>107.0026287454773</v>
      </c>
      <c r="L728" s="462">
        <f t="shared" si="332"/>
        <v>14438.160000000003</v>
      </c>
      <c r="M728" s="449">
        <f>M729</f>
        <v>220620.16</v>
      </c>
      <c r="N728" s="178">
        <f t="shared" si="330"/>
        <v>0</v>
      </c>
      <c r="O728" s="179">
        <f t="shared" si="333"/>
        <v>14438.160000000003</v>
      </c>
    </row>
    <row r="729" spans="1:15" s="184" customFormat="1" ht="34" x14ac:dyDescent="0.3">
      <c r="A729" s="189" t="s">
        <v>13</v>
      </c>
      <c r="B729" s="392" t="s">
        <v>672</v>
      </c>
      <c r="C729" s="392" t="s">
        <v>10</v>
      </c>
      <c r="D729" s="392" t="s">
        <v>450</v>
      </c>
      <c r="E729" s="392" t="s">
        <v>14</v>
      </c>
      <c r="F729" s="475">
        <v>207828.68</v>
      </c>
      <c r="G729" s="449">
        <f>'потребность 2023 (5)'!K743</f>
        <v>206182</v>
      </c>
      <c r="H729" s="449"/>
      <c r="I729" s="449">
        <v>213387</v>
      </c>
      <c r="J729" s="449">
        <v>220620.16</v>
      </c>
      <c r="K729" s="462">
        <f t="shared" si="331"/>
        <v>107.0026287454773</v>
      </c>
      <c r="L729" s="462">
        <f t="shared" si="332"/>
        <v>14438.160000000003</v>
      </c>
      <c r="M729" s="449">
        <v>220620.16</v>
      </c>
      <c r="N729" s="178">
        <f t="shared" si="330"/>
        <v>0</v>
      </c>
      <c r="O729" s="179">
        <f t="shared" si="333"/>
        <v>14438.160000000003</v>
      </c>
    </row>
    <row r="730" spans="1:15" s="184" customFormat="1" ht="34" x14ac:dyDescent="0.3">
      <c r="A730" s="189" t="s">
        <v>15</v>
      </c>
      <c r="B730" s="392" t="s">
        <v>672</v>
      </c>
      <c r="C730" s="392" t="s">
        <v>10</v>
      </c>
      <c r="D730" s="392" t="s">
        <v>450</v>
      </c>
      <c r="E730" s="392" t="s">
        <v>16</v>
      </c>
      <c r="F730" s="476">
        <f>F731</f>
        <v>31355</v>
      </c>
      <c r="G730" s="449">
        <f>G731</f>
        <v>76553</v>
      </c>
      <c r="H730" s="449"/>
      <c r="I730" s="449">
        <f>I731</f>
        <v>95160</v>
      </c>
      <c r="J730" s="449">
        <f>J731</f>
        <v>61000</v>
      </c>
      <c r="K730" s="462">
        <f t="shared" si="331"/>
        <v>79.683356628740881</v>
      </c>
      <c r="L730" s="462">
        <f t="shared" si="332"/>
        <v>-15553</v>
      </c>
      <c r="M730" s="449">
        <f>M731</f>
        <v>61000</v>
      </c>
      <c r="N730" s="178">
        <f t="shared" si="330"/>
        <v>0</v>
      </c>
      <c r="O730" s="179">
        <f t="shared" si="333"/>
        <v>-15553</v>
      </c>
    </row>
    <row r="731" spans="1:15" s="184" customFormat="1" ht="50.95" x14ac:dyDescent="0.3">
      <c r="A731" s="189" t="s">
        <v>17</v>
      </c>
      <c r="B731" s="392" t="s">
        <v>672</v>
      </c>
      <c r="C731" s="392" t="s">
        <v>10</v>
      </c>
      <c r="D731" s="392" t="s">
        <v>450</v>
      </c>
      <c r="E731" s="392" t="s">
        <v>18</v>
      </c>
      <c r="F731" s="475">
        <v>31355</v>
      </c>
      <c r="G731" s="449">
        <f>'потребность 2023 (5)'!K745+39000</f>
        <v>76553</v>
      </c>
      <c r="H731" s="449"/>
      <c r="I731" s="449">
        <v>95160</v>
      </c>
      <c r="J731" s="449">
        <v>61000</v>
      </c>
      <c r="K731" s="462">
        <f t="shared" si="331"/>
        <v>79.683356628740881</v>
      </c>
      <c r="L731" s="462">
        <f t="shared" si="332"/>
        <v>-15553</v>
      </c>
      <c r="M731" s="449">
        <v>61000</v>
      </c>
      <c r="N731" s="178">
        <f t="shared" si="330"/>
        <v>0</v>
      </c>
      <c r="O731" s="179">
        <f t="shared" si="333"/>
        <v>-15553</v>
      </c>
    </row>
    <row r="732" spans="1:15" s="184" customFormat="1" x14ac:dyDescent="0.3">
      <c r="A732" s="189" t="s">
        <v>19</v>
      </c>
      <c r="B732" s="392" t="s">
        <v>672</v>
      </c>
      <c r="C732" s="392" t="s">
        <v>10</v>
      </c>
      <c r="D732" s="298" t="s">
        <v>450</v>
      </c>
      <c r="E732" s="298" t="s">
        <v>20</v>
      </c>
      <c r="F732" s="462">
        <v>0</v>
      </c>
      <c r="G732" s="449">
        <f>G733</f>
        <v>500</v>
      </c>
      <c r="H732" s="449"/>
      <c r="I732" s="449">
        <f>I733</f>
        <v>500</v>
      </c>
      <c r="J732" s="449">
        <f>J733</f>
        <v>500</v>
      </c>
      <c r="K732" s="462">
        <f t="shared" si="331"/>
        <v>100</v>
      </c>
      <c r="L732" s="462">
        <f t="shared" si="332"/>
        <v>0</v>
      </c>
      <c r="M732" s="449">
        <f>M733</f>
        <v>500</v>
      </c>
      <c r="N732" s="178">
        <f t="shared" si="330"/>
        <v>0</v>
      </c>
      <c r="O732" s="179">
        <f t="shared" si="333"/>
        <v>0</v>
      </c>
    </row>
    <row r="733" spans="1:15" s="184" customFormat="1" x14ac:dyDescent="0.3">
      <c r="A733" s="189" t="s">
        <v>21</v>
      </c>
      <c r="B733" s="392" t="s">
        <v>672</v>
      </c>
      <c r="C733" s="392" t="s">
        <v>10</v>
      </c>
      <c r="D733" s="298" t="s">
        <v>450</v>
      </c>
      <c r="E733" s="298" t="s">
        <v>22</v>
      </c>
      <c r="F733" s="462">
        <v>0</v>
      </c>
      <c r="G733" s="449">
        <f>'потребность 2023 (5)'!K747</f>
        <v>500</v>
      </c>
      <c r="H733" s="449"/>
      <c r="I733" s="449">
        <v>500</v>
      </c>
      <c r="J733" s="449">
        <v>500</v>
      </c>
      <c r="K733" s="462">
        <f t="shared" si="331"/>
        <v>100</v>
      </c>
      <c r="L733" s="462">
        <f t="shared" si="332"/>
        <v>0</v>
      </c>
      <c r="M733" s="449">
        <v>500</v>
      </c>
      <c r="N733" s="178">
        <f t="shared" si="330"/>
        <v>0</v>
      </c>
      <c r="O733" s="179">
        <f t="shared" si="333"/>
        <v>0</v>
      </c>
    </row>
    <row r="734" spans="1:15" s="184" customFormat="1" x14ac:dyDescent="0.3">
      <c r="A734" s="189" t="s">
        <v>23</v>
      </c>
      <c r="B734" s="392" t="s">
        <v>672</v>
      </c>
      <c r="C734" s="392" t="s">
        <v>24</v>
      </c>
      <c r="D734" s="298" t="s">
        <v>126</v>
      </c>
      <c r="E734" s="298" t="s">
        <v>6</v>
      </c>
      <c r="F734" s="462">
        <v>0</v>
      </c>
      <c r="G734" s="449">
        <f>G735+G740</f>
        <v>19750</v>
      </c>
      <c r="H734" s="449"/>
      <c r="I734" s="449">
        <f>I735+I740</f>
        <v>19500</v>
      </c>
      <c r="J734" s="449">
        <f>J735+J740</f>
        <v>19000</v>
      </c>
      <c r="K734" s="462">
        <f t="shared" si="331"/>
        <v>96.202531645569621</v>
      </c>
      <c r="L734" s="462">
        <f t="shared" si="332"/>
        <v>-750</v>
      </c>
      <c r="M734" s="449">
        <f>M735+M740</f>
        <v>19000</v>
      </c>
      <c r="N734" s="178">
        <f t="shared" si="330"/>
        <v>0</v>
      </c>
      <c r="O734" s="179">
        <f t="shared" si="333"/>
        <v>-750</v>
      </c>
    </row>
    <row r="735" spans="1:15" s="184" customFormat="1" ht="50.95" x14ac:dyDescent="0.3">
      <c r="A735" s="233" t="s">
        <v>1020</v>
      </c>
      <c r="B735" s="397" t="s">
        <v>672</v>
      </c>
      <c r="C735" s="397" t="s">
        <v>24</v>
      </c>
      <c r="D735" s="398" t="s">
        <v>128</v>
      </c>
      <c r="E735" s="398" t="s">
        <v>6</v>
      </c>
      <c r="F735" s="465">
        <v>0</v>
      </c>
      <c r="G735" s="449">
        <f t="shared" ref="G735:J738" si="339">G736</f>
        <v>10000</v>
      </c>
      <c r="H735" s="449"/>
      <c r="I735" s="449">
        <f t="shared" si="339"/>
        <v>10400</v>
      </c>
      <c r="J735" s="449">
        <f t="shared" si="339"/>
        <v>10000</v>
      </c>
      <c r="K735" s="462">
        <f t="shared" si="331"/>
        <v>100</v>
      </c>
      <c r="L735" s="462">
        <f t="shared" si="332"/>
        <v>0</v>
      </c>
      <c r="M735" s="449">
        <f t="shared" ref="M735:M738" si="340">M736</f>
        <v>10000</v>
      </c>
      <c r="N735" s="178">
        <f t="shared" si="330"/>
        <v>0</v>
      </c>
      <c r="O735" s="179">
        <f t="shared" si="333"/>
        <v>0</v>
      </c>
    </row>
    <row r="736" spans="1:15" s="184" customFormat="1" ht="50.95" x14ac:dyDescent="0.3">
      <c r="A736" s="189" t="s">
        <v>729</v>
      </c>
      <c r="B736" s="392" t="s">
        <v>672</v>
      </c>
      <c r="C736" s="392" t="s">
        <v>24</v>
      </c>
      <c r="D736" s="298" t="s">
        <v>303</v>
      </c>
      <c r="E736" s="298" t="s">
        <v>6</v>
      </c>
      <c r="F736" s="462">
        <v>0</v>
      </c>
      <c r="G736" s="449">
        <f t="shared" si="339"/>
        <v>10000</v>
      </c>
      <c r="H736" s="449"/>
      <c r="I736" s="449">
        <f t="shared" si="339"/>
        <v>10400</v>
      </c>
      <c r="J736" s="449">
        <f t="shared" si="339"/>
        <v>10000</v>
      </c>
      <c r="K736" s="462">
        <f t="shared" si="331"/>
        <v>100</v>
      </c>
      <c r="L736" s="462">
        <f t="shared" si="332"/>
        <v>0</v>
      </c>
      <c r="M736" s="449">
        <f t="shared" si="340"/>
        <v>10000</v>
      </c>
      <c r="N736" s="178">
        <f t="shared" si="330"/>
        <v>0</v>
      </c>
      <c r="O736" s="179">
        <f t="shared" si="333"/>
        <v>0</v>
      </c>
    </row>
    <row r="737" spans="1:15" s="184" customFormat="1" x14ac:dyDescent="0.3">
      <c r="A737" s="189" t="s">
        <v>309</v>
      </c>
      <c r="B737" s="392" t="s">
        <v>672</v>
      </c>
      <c r="C737" s="392" t="s">
        <v>24</v>
      </c>
      <c r="D737" s="298" t="s">
        <v>304</v>
      </c>
      <c r="E737" s="298" t="s">
        <v>6</v>
      </c>
      <c r="F737" s="462">
        <v>0</v>
      </c>
      <c r="G737" s="449">
        <f t="shared" si="339"/>
        <v>10000</v>
      </c>
      <c r="H737" s="449"/>
      <c r="I737" s="449">
        <f t="shared" si="339"/>
        <v>10400</v>
      </c>
      <c r="J737" s="449">
        <f t="shared" si="339"/>
        <v>10000</v>
      </c>
      <c r="K737" s="462">
        <f t="shared" si="331"/>
        <v>100</v>
      </c>
      <c r="L737" s="462">
        <f t="shared" si="332"/>
        <v>0</v>
      </c>
      <c r="M737" s="449">
        <f t="shared" si="340"/>
        <v>10000</v>
      </c>
      <c r="N737" s="178">
        <f t="shared" si="330"/>
        <v>0</v>
      </c>
      <c r="O737" s="179">
        <f t="shared" si="333"/>
        <v>0</v>
      </c>
    </row>
    <row r="738" spans="1:15" s="184" customFormat="1" ht="34" x14ac:dyDescent="0.3">
      <c r="A738" s="189" t="s">
        <v>15</v>
      </c>
      <c r="B738" s="392" t="s">
        <v>672</v>
      </c>
      <c r="C738" s="392" t="s">
        <v>24</v>
      </c>
      <c r="D738" s="298" t="s">
        <v>304</v>
      </c>
      <c r="E738" s="298" t="s">
        <v>16</v>
      </c>
      <c r="F738" s="462">
        <v>0</v>
      </c>
      <c r="G738" s="449">
        <f t="shared" si="339"/>
        <v>10000</v>
      </c>
      <c r="H738" s="449"/>
      <c r="I738" s="449">
        <f t="shared" si="339"/>
        <v>10400</v>
      </c>
      <c r="J738" s="449">
        <f t="shared" si="339"/>
        <v>10000</v>
      </c>
      <c r="K738" s="462">
        <f t="shared" si="331"/>
        <v>100</v>
      </c>
      <c r="L738" s="462">
        <f t="shared" si="332"/>
        <v>0</v>
      </c>
      <c r="M738" s="449">
        <f t="shared" si="340"/>
        <v>10000</v>
      </c>
      <c r="N738" s="178">
        <f t="shared" si="330"/>
        <v>0</v>
      </c>
      <c r="O738" s="179">
        <f t="shared" si="333"/>
        <v>0</v>
      </c>
    </row>
    <row r="739" spans="1:15" s="184" customFormat="1" ht="50.95" x14ac:dyDescent="0.3">
      <c r="A739" s="189" t="s">
        <v>17</v>
      </c>
      <c r="B739" s="392" t="s">
        <v>672</v>
      </c>
      <c r="C739" s="392" t="s">
        <v>24</v>
      </c>
      <c r="D739" s="298" t="s">
        <v>304</v>
      </c>
      <c r="E739" s="298" t="s">
        <v>18</v>
      </c>
      <c r="F739" s="462">
        <v>0</v>
      </c>
      <c r="G739" s="449">
        <f>'потребность 2023 (5)'!K753</f>
        <v>10000</v>
      </c>
      <c r="H739" s="449"/>
      <c r="I739" s="449">
        <v>10400</v>
      </c>
      <c r="J739" s="449">
        <v>10000</v>
      </c>
      <c r="K739" s="462">
        <f t="shared" si="331"/>
        <v>100</v>
      </c>
      <c r="L739" s="462">
        <f t="shared" si="332"/>
        <v>0</v>
      </c>
      <c r="M739" s="449">
        <v>10000</v>
      </c>
      <c r="N739" s="178">
        <f t="shared" si="330"/>
        <v>0</v>
      </c>
      <c r="O739" s="179">
        <f t="shared" si="333"/>
        <v>0</v>
      </c>
    </row>
    <row r="740" spans="1:15" s="184" customFormat="1" ht="50.95" x14ac:dyDescent="0.3">
      <c r="A740" s="233" t="s">
        <v>1028</v>
      </c>
      <c r="B740" s="397" t="s">
        <v>672</v>
      </c>
      <c r="C740" s="392" t="s">
        <v>24</v>
      </c>
      <c r="D740" s="398" t="s">
        <v>305</v>
      </c>
      <c r="E740" s="398" t="s">
        <v>6</v>
      </c>
      <c r="F740" s="465">
        <v>0</v>
      </c>
      <c r="G740" s="449">
        <f t="shared" ref="G740:J743" si="341">G741</f>
        <v>9750</v>
      </c>
      <c r="H740" s="449"/>
      <c r="I740" s="449">
        <f t="shared" si="341"/>
        <v>9100</v>
      </c>
      <c r="J740" s="449">
        <f t="shared" si="341"/>
        <v>9000</v>
      </c>
      <c r="K740" s="462">
        <f t="shared" si="331"/>
        <v>92.307692307692307</v>
      </c>
      <c r="L740" s="462">
        <f t="shared" si="332"/>
        <v>-750</v>
      </c>
      <c r="M740" s="449">
        <f t="shared" ref="M740:M743" si="342">M741</f>
        <v>9000</v>
      </c>
      <c r="N740" s="178">
        <f t="shared" si="330"/>
        <v>0</v>
      </c>
      <c r="O740" s="179">
        <f t="shared" si="333"/>
        <v>-750</v>
      </c>
    </row>
    <row r="741" spans="1:15" s="184" customFormat="1" ht="50.95" x14ac:dyDescent="0.3">
      <c r="A741" s="189" t="s">
        <v>245</v>
      </c>
      <c r="B741" s="392" t="s">
        <v>672</v>
      </c>
      <c r="C741" s="392" t="s">
        <v>24</v>
      </c>
      <c r="D741" s="298" t="s">
        <v>306</v>
      </c>
      <c r="E741" s="298" t="s">
        <v>6</v>
      </c>
      <c r="F741" s="462">
        <v>0</v>
      </c>
      <c r="G741" s="449">
        <f t="shared" si="341"/>
        <v>9750</v>
      </c>
      <c r="H741" s="449"/>
      <c r="I741" s="449">
        <f t="shared" si="341"/>
        <v>9100</v>
      </c>
      <c r="J741" s="449">
        <f t="shared" si="341"/>
        <v>9000</v>
      </c>
      <c r="K741" s="462">
        <f t="shared" si="331"/>
        <v>92.307692307692307</v>
      </c>
      <c r="L741" s="462">
        <f t="shared" si="332"/>
        <v>-750</v>
      </c>
      <c r="M741" s="449">
        <f t="shared" si="342"/>
        <v>9000</v>
      </c>
      <c r="N741" s="178">
        <f t="shared" si="330"/>
        <v>0</v>
      </c>
      <c r="O741" s="179">
        <f t="shared" si="333"/>
        <v>-750</v>
      </c>
    </row>
    <row r="742" spans="1:15" s="184" customFormat="1" ht="45" customHeight="1" x14ac:dyDescent="0.3">
      <c r="A742" s="189" t="s">
        <v>25</v>
      </c>
      <c r="B742" s="392" t="s">
        <v>672</v>
      </c>
      <c r="C742" s="392" t="s">
        <v>24</v>
      </c>
      <c r="D742" s="298" t="s">
        <v>317</v>
      </c>
      <c r="E742" s="298" t="s">
        <v>6</v>
      </c>
      <c r="F742" s="462">
        <v>0</v>
      </c>
      <c r="G742" s="449">
        <f t="shared" si="341"/>
        <v>9750</v>
      </c>
      <c r="H742" s="449"/>
      <c r="I742" s="449">
        <f t="shared" si="341"/>
        <v>9100</v>
      </c>
      <c r="J742" s="449">
        <f t="shared" si="341"/>
        <v>9000</v>
      </c>
      <c r="K742" s="462">
        <f t="shared" si="331"/>
        <v>92.307692307692307</v>
      </c>
      <c r="L742" s="462">
        <f t="shared" si="332"/>
        <v>-750</v>
      </c>
      <c r="M742" s="449">
        <f t="shared" si="342"/>
        <v>9000</v>
      </c>
      <c r="N742" s="178">
        <f t="shared" si="330"/>
        <v>0</v>
      </c>
      <c r="O742" s="179">
        <f t="shared" si="333"/>
        <v>-750</v>
      </c>
    </row>
    <row r="743" spans="1:15" s="184" customFormat="1" ht="34" x14ac:dyDescent="0.3">
      <c r="A743" s="189" t="s">
        <v>15</v>
      </c>
      <c r="B743" s="392" t="s">
        <v>672</v>
      </c>
      <c r="C743" s="392" t="s">
        <v>24</v>
      </c>
      <c r="D743" s="298" t="s">
        <v>317</v>
      </c>
      <c r="E743" s="298" t="s">
        <v>16</v>
      </c>
      <c r="F743" s="462">
        <v>0</v>
      </c>
      <c r="G743" s="449">
        <f t="shared" si="341"/>
        <v>9750</v>
      </c>
      <c r="H743" s="449"/>
      <c r="I743" s="449">
        <f t="shared" si="341"/>
        <v>9100</v>
      </c>
      <c r="J743" s="449">
        <f t="shared" si="341"/>
        <v>9000</v>
      </c>
      <c r="K743" s="462">
        <f t="shared" si="331"/>
        <v>92.307692307692307</v>
      </c>
      <c r="L743" s="462">
        <f t="shared" si="332"/>
        <v>-750</v>
      </c>
      <c r="M743" s="449">
        <f t="shared" si="342"/>
        <v>9000</v>
      </c>
      <c r="N743" s="178">
        <f t="shared" si="330"/>
        <v>0</v>
      </c>
      <c r="O743" s="179">
        <f t="shared" si="333"/>
        <v>-750</v>
      </c>
    </row>
    <row r="744" spans="1:15" s="184" customFormat="1" ht="50.95" x14ac:dyDescent="0.3">
      <c r="A744" s="189" t="s">
        <v>17</v>
      </c>
      <c r="B744" s="392" t="s">
        <v>672</v>
      </c>
      <c r="C744" s="392" t="s">
        <v>24</v>
      </c>
      <c r="D744" s="298" t="s">
        <v>317</v>
      </c>
      <c r="E744" s="298" t="s">
        <v>18</v>
      </c>
      <c r="F744" s="462">
        <v>0</v>
      </c>
      <c r="G744" s="449">
        <f>'потребность 2023 (5)'!K758+1000</f>
        <v>9750</v>
      </c>
      <c r="H744" s="449"/>
      <c r="I744" s="449">
        <v>9100</v>
      </c>
      <c r="J744" s="449">
        <v>9000</v>
      </c>
      <c r="K744" s="462">
        <f t="shared" si="331"/>
        <v>92.307692307692307</v>
      </c>
      <c r="L744" s="462">
        <f t="shared" si="332"/>
        <v>-750</v>
      </c>
      <c r="M744" s="449">
        <v>9000</v>
      </c>
      <c r="N744" s="178">
        <f t="shared" si="330"/>
        <v>0</v>
      </c>
      <c r="O744" s="179">
        <f t="shared" si="333"/>
        <v>-750</v>
      </c>
    </row>
    <row r="745" spans="1:15" s="184" customFormat="1" x14ac:dyDescent="0.3">
      <c r="A745" s="191" t="s">
        <v>685</v>
      </c>
      <c r="B745" s="192"/>
      <c r="C745" s="192"/>
      <c r="D745" s="490"/>
      <c r="E745" s="192"/>
      <c r="F745" s="459">
        <f>F8+F30+F493+F520+F720</f>
        <v>350926584.41999996</v>
      </c>
      <c r="G745" s="459">
        <f>G8+G30+G493+G520+G720</f>
        <v>503937140.96000004</v>
      </c>
      <c r="H745" s="459"/>
      <c r="I745" s="459">
        <f>I8+I30+I493+I520+I720</f>
        <v>405290597.39999998</v>
      </c>
      <c r="J745" s="459">
        <f>J8+J30+J493+J520+J720</f>
        <v>560274759.8900001</v>
      </c>
      <c r="K745" s="462">
        <f t="shared" si="331"/>
        <v>111.17949330400154</v>
      </c>
      <c r="L745" s="462">
        <f t="shared" si="332"/>
        <v>56337618.930000067</v>
      </c>
      <c r="M745" s="459">
        <f>M8+M30+M493+M520+M720</f>
        <v>510200010.33999997</v>
      </c>
      <c r="N745" s="178">
        <f t="shared" si="330"/>
        <v>-50074749.550000131</v>
      </c>
      <c r="O745" s="179">
        <f t="shared" si="333"/>
        <v>6262869.3799999356</v>
      </c>
    </row>
    <row r="746" spans="1:15" s="184" customFormat="1" x14ac:dyDescent="0.3">
      <c r="A746" s="383"/>
      <c r="B746" s="192"/>
      <c r="C746" s="192"/>
      <c r="D746" s="491" t="s">
        <v>1107</v>
      </c>
      <c r="E746" s="192"/>
      <c r="F746" s="449"/>
      <c r="G746" s="449">
        <f>511169940.96-7232800-17069200.78</f>
        <v>486867940.17999995</v>
      </c>
      <c r="H746" s="449"/>
      <c r="I746" s="449"/>
      <c r="J746" s="449"/>
      <c r="K746" s="449">
        <v>100.6</v>
      </c>
      <c r="L746" s="462"/>
      <c r="M746" s="449">
        <v>489798066</v>
      </c>
      <c r="N746" s="192"/>
    </row>
    <row r="747" spans="1:15" s="184" customFormat="1" x14ac:dyDescent="0.3">
      <c r="A747" s="383"/>
      <c r="B747" s="192"/>
      <c r="C747" s="192"/>
      <c r="D747" s="491" t="s">
        <v>1106</v>
      </c>
      <c r="E747" s="192"/>
      <c r="F747" s="449"/>
      <c r="G747" s="449">
        <v>675094322.65999997</v>
      </c>
      <c r="H747" s="449"/>
      <c r="I747" s="449"/>
      <c r="J747" s="449"/>
      <c r="K747" s="449"/>
      <c r="L747" s="449"/>
      <c r="M747" s="464"/>
      <c r="N747" s="192"/>
    </row>
    <row r="748" spans="1:15" s="184" customFormat="1" x14ac:dyDescent="0.3">
      <c r="A748" s="195"/>
      <c r="B748" s="183"/>
      <c r="C748" s="183"/>
      <c r="D748" s="492" t="s">
        <v>1108</v>
      </c>
      <c r="E748" s="183"/>
      <c r="G748" s="184">
        <v>7232800</v>
      </c>
      <c r="I748" s="454"/>
      <c r="M748" s="183"/>
      <c r="N748" s="183"/>
    </row>
    <row r="749" spans="1:15" s="184" customFormat="1" x14ac:dyDescent="0.3">
      <c r="A749" s="195"/>
      <c r="B749" s="183"/>
      <c r="C749" s="183"/>
      <c r="D749" s="492" t="s">
        <v>1112</v>
      </c>
      <c r="E749" s="183"/>
      <c r="G749" s="184">
        <f>G746-G745</f>
        <v>-17069200.780000091</v>
      </c>
      <c r="I749" s="454"/>
      <c r="M749" s="184">
        <f>M746-M745</f>
        <v>-20401944.339999974</v>
      </c>
      <c r="N749" s="183"/>
    </row>
    <row r="750" spans="1:15" s="184" customFormat="1" x14ac:dyDescent="0.3">
      <c r="A750" s="195"/>
      <c r="B750" s="183"/>
      <c r="C750" s="183"/>
      <c r="D750" s="492"/>
      <c r="E750" s="183"/>
      <c r="I750" s="454"/>
      <c r="N750" s="183"/>
    </row>
    <row r="751" spans="1:15" s="184" customFormat="1" x14ac:dyDescent="0.3">
      <c r="A751" s="195"/>
      <c r="B751" s="183"/>
      <c r="C751" s="183"/>
      <c r="D751" s="493" t="s">
        <v>756</v>
      </c>
      <c r="E751" s="183"/>
      <c r="G751" s="184">
        <f>'прил 3 '!C9+'прил 3 '!C39</f>
        <v>1153434529.25</v>
      </c>
      <c r="I751" s="454"/>
      <c r="J751" s="184" t="e">
        <f>'прил 3 '!E9+'прил 3 '!E39</f>
        <v>#REF!</v>
      </c>
      <c r="M751" s="183"/>
      <c r="N751" s="183"/>
    </row>
    <row r="752" spans="1:15" s="184" customFormat="1" x14ac:dyDescent="0.3">
      <c r="A752" s="195"/>
      <c r="B752" s="183"/>
      <c r="C752" s="183"/>
      <c r="D752" s="492"/>
      <c r="E752" s="183"/>
      <c r="G752" s="494">
        <f>G751-G745</f>
        <v>649497388.28999996</v>
      </c>
      <c r="H752" s="494"/>
      <c r="I752" s="454"/>
      <c r="J752" s="494" t="e">
        <f>J751-J745</f>
        <v>#REF!</v>
      </c>
      <c r="K752" s="494"/>
      <c r="L752" s="494"/>
      <c r="M752" s="183"/>
      <c r="N752" s="183"/>
    </row>
    <row r="753" spans="1:14" s="184" customFormat="1" x14ac:dyDescent="0.3">
      <c r="A753" s="195"/>
      <c r="B753" s="183"/>
      <c r="C753" s="183"/>
      <c r="D753" s="492"/>
      <c r="E753" s="183"/>
      <c r="G753" s="494">
        <f>'прил 3 '!C78-'потребность 2024 1 (МБ)'!G745</f>
        <v>649497388.28999996</v>
      </c>
      <c r="H753" s="494"/>
      <c r="I753" s="454"/>
      <c r="J753" s="494" t="e">
        <f>'прил 3 '!E78-'потребность 2024 1 (МБ)'!J745</f>
        <v>#REF!</v>
      </c>
      <c r="K753" s="494"/>
      <c r="L753" s="494"/>
      <c r="M753" s="183"/>
      <c r="N753" s="183"/>
    </row>
    <row r="754" spans="1:14" s="184" customFormat="1" x14ac:dyDescent="0.3">
      <c r="A754" s="195"/>
      <c r="B754" s="183"/>
      <c r="C754" s="490" t="s">
        <v>8</v>
      </c>
      <c r="D754" s="492"/>
      <c r="E754" s="183"/>
      <c r="G754" s="184">
        <f>G9+G31++G494+G721</f>
        <v>111471077.91</v>
      </c>
      <c r="I754" s="454"/>
      <c r="J754" s="184">
        <f>J9+J31++J494+J721</f>
        <v>133824100.98999999</v>
      </c>
      <c r="M754" s="183"/>
      <c r="N754" s="183"/>
    </row>
    <row r="755" spans="1:14" s="184" customFormat="1" x14ac:dyDescent="0.3">
      <c r="A755" s="195"/>
      <c r="B755" s="183"/>
      <c r="C755" s="490" t="s">
        <v>26</v>
      </c>
      <c r="D755" s="492"/>
      <c r="E755" s="183"/>
      <c r="G755" s="184">
        <f>G160</f>
        <v>270000</v>
      </c>
      <c r="I755" s="454"/>
      <c r="J755" s="184">
        <f>J160</f>
        <v>270000</v>
      </c>
      <c r="M755" s="183"/>
      <c r="N755" s="183"/>
    </row>
    <row r="756" spans="1:14" s="184" customFormat="1" x14ac:dyDescent="0.3">
      <c r="A756" s="195"/>
      <c r="B756" s="183"/>
      <c r="C756" s="490" t="s">
        <v>42</v>
      </c>
      <c r="D756" s="492"/>
      <c r="E756" s="183"/>
      <c r="G756" s="184">
        <f>G170</f>
        <v>805000</v>
      </c>
      <c r="I756" s="454"/>
      <c r="J756" s="184">
        <f>J170</f>
        <v>3612945</v>
      </c>
      <c r="M756" s="183"/>
      <c r="N756" s="183"/>
    </row>
    <row r="757" spans="1:14" s="184" customFormat="1" x14ac:dyDescent="0.3">
      <c r="A757" s="195"/>
      <c r="B757" s="183"/>
      <c r="C757" s="490" t="s">
        <v>46</v>
      </c>
      <c r="D757" s="492"/>
      <c r="E757" s="183"/>
      <c r="G757" s="184">
        <f>G181</f>
        <v>23536279.5</v>
      </c>
      <c r="I757" s="454"/>
      <c r="J757" s="184">
        <f>J181</f>
        <v>19284000</v>
      </c>
      <c r="M757" s="183"/>
      <c r="N757" s="183"/>
    </row>
    <row r="758" spans="1:14" s="184" customFormat="1" x14ac:dyDescent="0.3">
      <c r="A758" s="195"/>
      <c r="B758" s="183"/>
      <c r="C758" s="490" t="s">
        <v>55</v>
      </c>
      <c r="D758" s="492"/>
      <c r="E758" s="183"/>
      <c r="G758" s="184">
        <f>G229</f>
        <v>50687804.199999996</v>
      </c>
      <c r="I758" s="454"/>
      <c r="J758" s="184">
        <f>J229</f>
        <v>68227342.040000007</v>
      </c>
      <c r="M758" s="183"/>
      <c r="N758" s="183"/>
    </row>
    <row r="759" spans="1:14" s="184" customFormat="1" x14ac:dyDescent="0.3">
      <c r="A759" s="195"/>
      <c r="B759" s="183"/>
      <c r="C759" s="490" t="s">
        <v>65</v>
      </c>
      <c r="D759" s="492"/>
      <c r="E759" s="183"/>
      <c r="G759" s="184">
        <f>G325</f>
        <v>515000</v>
      </c>
      <c r="I759" s="454"/>
      <c r="J759" s="184">
        <f>J325</f>
        <v>515000</v>
      </c>
      <c r="M759" s="183"/>
      <c r="N759" s="183"/>
    </row>
    <row r="760" spans="1:14" s="184" customFormat="1" x14ac:dyDescent="0.3">
      <c r="A760" s="195"/>
      <c r="B760" s="183"/>
      <c r="C760" s="490" t="s">
        <v>70</v>
      </c>
      <c r="D760" s="492"/>
      <c r="E760" s="183"/>
      <c r="G760" s="184">
        <f>G341+G521</f>
        <v>244811214.27000001</v>
      </c>
      <c r="I760" s="454"/>
      <c r="J760" s="184">
        <f>J341+J521</f>
        <v>280856819.18000007</v>
      </c>
      <c r="M760" s="183"/>
      <c r="N760" s="183"/>
    </row>
    <row r="761" spans="1:14" s="184" customFormat="1" x14ac:dyDescent="0.3">
      <c r="A761" s="195"/>
      <c r="B761" s="183"/>
      <c r="C761" s="490" t="s">
        <v>80</v>
      </c>
      <c r="D761" s="492"/>
      <c r="E761" s="183"/>
      <c r="G761" s="253">
        <f>G358</f>
        <v>40067527.339999996</v>
      </c>
      <c r="H761" s="253"/>
      <c r="I761" s="454"/>
      <c r="J761" s="253">
        <f>J358</f>
        <v>40773314.039999999</v>
      </c>
      <c r="K761" s="253"/>
      <c r="L761" s="253"/>
      <c r="M761" s="183"/>
      <c r="N761" s="183"/>
    </row>
    <row r="762" spans="1:14" s="184" customFormat="1" x14ac:dyDescent="0.3">
      <c r="A762" s="195"/>
      <c r="B762" s="183"/>
      <c r="C762" s="490" t="s">
        <v>86</v>
      </c>
      <c r="D762" s="492"/>
      <c r="E762" s="183"/>
      <c r="G762" s="253">
        <f>G401+G688</f>
        <v>8630645.6699999999</v>
      </c>
      <c r="H762" s="253"/>
      <c r="I762" s="454"/>
      <c r="J762" s="253">
        <f>J401+J688</f>
        <v>6694834.0199999996</v>
      </c>
      <c r="K762" s="253"/>
      <c r="L762" s="253"/>
      <c r="M762" s="183"/>
      <c r="N762" s="183"/>
    </row>
    <row r="763" spans="1:14" s="184" customFormat="1" x14ac:dyDescent="0.3">
      <c r="A763" s="195"/>
      <c r="B763" s="183"/>
      <c r="C763" s="490" t="s">
        <v>101</v>
      </c>
      <c r="D763" s="492"/>
      <c r="E763" s="183"/>
      <c r="G763" s="184">
        <f>G452+G704</f>
        <v>19785592.07</v>
      </c>
      <c r="I763" s="454"/>
      <c r="J763" s="184">
        <f>J452+J704</f>
        <v>2619170.16</v>
      </c>
      <c r="M763" s="183"/>
      <c r="N763" s="183"/>
    </row>
    <row r="764" spans="1:14" s="184" customFormat="1" x14ac:dyDescent="0.3">
      <c r="A764" s="195"/>
      <c r="B764" s="183"/>
      <c r="C764" s="490" t="s">
        <v>104</v>
      </c>
      <c r="D764" s="183"/>
      <c r="E764" s="183"/>
      <c r="G764" s="253">
        <f>G486</f>
        <v>3357000</v>
      </c>
      <c r="H764" s="253"/>
      <c r="I764" s="454"/>
      <c r="J764" s="253">
        <f>J486</f>
        <v>3597234.46</v>
      </c>
      <c r="K764" s="253"/>
      <c r="L764" s="253"/>
      <c r="M764" s="183"/>
      <c r="N764" s="183"/>
    </row>
    <row r="765" spans="1:14" s="184" customFormat="1" x14ac:dyDescent="0.3">
      <c r="A765" s="258"/>
      <c r="B765" s="183"/>
      <c r="C765" s="183"/>
      <c r="D765" s="183"/>
      <c r="E765" s="183"/>
      <c r="G765" s="260">
        <f>SUBTOTAL(9,G754:G764)</f>
        <v>503937140.95999998</v>
      </c>
      <c r="H765" s="260"/>
      <c r="I765" s="454"/>
      <c r="J765" s="260">
        <f>SUBTOTAL(9,J754:J764)</f>
        <v>560274759.8900001</v>
      </c>
      <c r="K765" s="253"/>
      <c r="L765" s="253"/>
      <c r="M765" s="183"/>
      <c r="N765" s="183"/>
    </row>
    <row r="767" spans="1:14" s="184" customFormat="1" x14ac:dyDescent="0.3">
      <c r="A767" s="195"/>
      <c r="B767" s="183"/>
      <c r="C767" s="183"/>
      <c r="D767" s="490" t="s">
        <v>757</v>
      </c>
      <c r="E767" s="183"/>
      <c r="G767" s="253">
        <f>G523+G561+G611+G638+G660+G690+G696</f>
        <v>222901461.55000001</v>
      </c>
      <c r="H767" s="253"/>
      <c r="I767" s="454"/>
      <c r="J767" s="253">
        <f>J523+J561+J611+J638+J660+J690+J696</f>
        <v>257083152.15000004</v>
      </c>
      <c r="K767" s="253"/>
      <c r="L767" s="253"/>
      <c r="M767" s="183"/>
      <c r="N767" s="183"/>
    </row>
    <row r="768" spans="1:14" s="184" customFormat="1" x14ac:dyDescent="0.3">
      <c r="A768" s="195"/>
      <c r="B768" s="183"/>
      <c r="C768" s="183"/>
      <c r="D768" s="490" t="s">
        <v>758</v>
      </c>
      <c r="E768" s="183"/>
      <c r="G768" s="262">
        <f>G343+G360+G441</f>
        <v>62101280.059999995</v>
      </c>
      <c r="H768" s="262"/>
      <c r="I768" s="454"/>
      <c r="J768" s="262">
        <f>J343+J360+J441</f>
        <v>64660981.07</v>
      </c>
      <c r="K768" s="262"/>
      <c r="L768" s="262"/>
      <c r="M768" s="183"/>
      <c r="N768" s="183"/>
    </row>
    <row r="769" spans="1:14" s="184" customFormat="1" x14ac:dyDescent="0.3">
      <c r="A769" s="195"/>
      <c r="B769" s="183"/>
      <c r="C769" s="183"/>
      <c r="D769" s="490" t="s">
        <v>759</v>
      </c>
      <c r="E769" s="183"/>
      <c r="G769" s="262">
        <f>G327</f>
        <v>470000</v>
      </c>
      <c r="H769" s="262"/>
      <c r="I769" s="454"/>
      <c r="J769" s="262">
        <f>J327</f>
        <v>470000</v>
      </c>
      <c r="K769" s="262"/>
      <c r="L769" s="262"/>
      <c r="M769" s="183"/>
      <c r="N769" s="183"/>
    </row>
    <row r="770" spans="1:14" s="184" customFormat="1" x14ac:dyDescent="0.3">
      <c r="A770" s="195"/>
      <c r="B770" s="183"/>
      <c r="C770" s="183"/>
      <c r="D770" s="490" t="s">
        <v>760</v>
      </c>
      <c r="E770" s="183"/>
      <c r="G770" s="253">
        <f>G454+G706</f>
        <v>19635592.07</v>
      </c>
      <c r="H770" s="253"/>
      <c r="I770" s="454"/>
      <c r="J770" s="253">
        <f>J454+J706</f>
        <v>2569170.16</v>
      </c>
      <c r="K770" s="253"/>
      <c r="L770" s="253"/>
      <c r="M770" s="183"/>
      <c r="N770" s="183"/>
    </row>
    <row r="771" spans="1:14" s="184" customFormat="1" x14ac:dyDescent="0.3">
      <c r="A771" s="195"/>
      <c r="B771" s="183"/>
      <c r="C771" s="183"/>
      <c r="D771" s="490" t="s">
        <v>761</v>
      </c>
      <c r="E771" s="183"/>
      <c r="G771" s="253">
        <f>G408</f>
        <v>150000</v>
      </c>
      <c r="H771" s="253"/>
      <c r="I771" s="454"/>
      <c r="J771" s="253">
        <f>J408</f>
        <v>150000</v>
      </c>
      <c r="K771" s="253"/>
      <c r="L771" s="253"/>
      <c r="M771" s="183"/>
      <c r="N771" s="183"/>
    </row>
    <row r="772" spans="1:14" s="184" customFormat="1" x14ac:dyDescent="0.3">
      <c r="A772" s="195"/>
      <c r="B772" s="183"/>
      <c r="C772" s="183"/>
      <c r="D772" s="490" t="s">
        <v>762</v>
      </c>
      <c r="E772" s="183"/>
      <c r="G772" s="253">
        <f>G20+G61+G511+G735</f>
        <v>24920344</v>
      </c>
      <c r="H772" s="253"/>
      <c r="I772" s="454"/>
      <c r="J772" s="253">
        <f>J20+J61+J511+J735</f>
        <v>29647251</v>
      </c>
      <c r="K772" s="253"/>
      <c r="L772" s="253"/>
      <c r="M772" s="183"/>
      <c r="N772" s="183"/>
    </row>
    <row r="773" spans="1:14" s="184" customFormat="1" x14ac:dyDescent="0.3">
      <c r="A773" s="195"/>
      <c r="B773" s="183"/>
      <c r="C773" s="183"/>
      <c r="D773" s="490" t="s">
        <v>763</v>
      </c>
      <c r="E773" s="183"/>
      <c r="G773" s="253">
        <f>G237+G268+G317</f>
        <v>35537980.030000001</v>
      </c>
      <c r="H773" s="253"/>
      <c r="I773" s="454"/>
      <c r="J773" s="253">
        <f>J237+J268+J317</f>
        <v>44752435.900000006</v>
      </c>
      <c r="K773" s="253"/>
      <c r="L773" s="253"/>
      <c r="M773" s="183"/>
      <c r="N773" s="183"/>
    </row>
    <row r="774" spans="1:14" s="184" customFormat="1" x14ac:dyDescent="0.3">
      <c r="A774" s="195"/>
      <c r="B774" s="183"/>
      <c r="C774" s="183"/>
      <c r="D774" s="490" t="s">
        <v>764</v>
      </c>
      <c r="E774" s="183"/>
      <c r="G774" s="253">
        <f>G86</f>
        <v>50000</v>
      </c>
      <c r="H774" s="253"/>
      <c r="I774" s="454"/>
      <c r="J774" s="253">
        <f>J86</f>
        <v>50000</v>
      </c>
      <c r="K774" s="253"/>
      <c r="L774" s="253"/>
      <c r="M774" s="183"/>
      <c r="N774" s="183"/>
    </row>
    <row r="775" spans="1:14" s="184" customFormat="1" x14ac:dyDescent="0.3">
      <c r="A775" s="195"/>
      <c r="B775" s="183"/>
      <c r="C775" s="183"/>
      <c r="D775" s="490" t="s">
        <v>765</v>
      </c>
      <c r="E775" s="183"/>
      <c r="G775" s="253">
        <f>G215</f>
        <v>100000</v>
      </c>
      <c r="H775" s="253"/>
      <c r="I775" s="454"/>
      <c r="J775" s="253">
        <f>J215</f>
        <v>100000</v>
      </c>
      <c r="K775" s="253"/>
      <c r="L775" s="253"/>
      <c r="M775" s="183"/>
      <c r="N775" s="183"/>
    </row>
    <row r="776" spans="1:14" s="184" customFormat="1" x14ac:dyDescent="0.3">
      <c r="A776" s="195"/>
      <c r="B776" s="183"/>
      <c r="C776" s="183"/>
      <c r="D776" s="490" t="s">
        <v>766</v>
      </c>
      <c r="E776" s="183"/>
      <c r="G776" s="253">
        <f>G413</f>
        <v>173500</v>
      </c>
      <c r="H776" s="253"/>
      <c r="I776" s="454"/>
      <c r="J776" s="253">
        <f>J413</f>
        <v>173500</v>
      </c>
      <c r="K776" s="253"/>
      <c r="L776" s="253"/>
      <c r="M776" s="183"/>
      <c r="N776" s="183"/>
    </row>
    <row r="777" spans="1:14" s="184" customFormat="1" x14ac:dyDescent="0.3">
      <c r="A777" s="195"/>
      <c r="B777" s="183"/>
      <c r="C777" s="183"/>
      <c r="D777" s="490" t="s">
        <v>767</v>
      </c>
      <c r="E777" s="183"/>
      <c r="G777" s="253">
        <f>G25+G91+G488+G740</f>
        <v>5457184.2000000002</v>
      </c>
      <c r="H777" s="253"/>
      <c r="I777" s="454"/>
      <c r="J777" s="253">
        <f>J25+J91+J488+J740</f>
        <v>11533314.460000001</v>
      </c>
      <c r="K777" s="253"/>
      <c r="L777" s="253"/>
      <c r="M777" s="183"/>
      <c r="N777" s="183"/>
    </row>
    <row r="778" spans="1:14" s="184" customFormat="1" x14ac:dyDescent="0.3">
      <c r="A778" s="195"/>
      <c r="B778" s="183"/>
      <c r="C778" s="183"/>
      <c r="D778" s="490" t="s">
        <v>768</v>
      </c>
      <c r="E778" s="183"/>
      <c r="G778" s="253">
        <f>G203</f>
        <v>21116279.5</v>
      </c>
      <c r="H778" s="253"/>
      <c r="I778" s="454"/>
      <c r="J778" s="253">
        <f>J203</f>
        <v>14000000</v>
      </c>
      <c r="K778" s="253"/>
      <c r="L778" s="253"/>
      <c r="M778" s="183"/>
      <c r="N778" s="183"/>
    </row>
    <row r="779" spans="1:14" s="184" customFormat="1" x14ac:dyDescent="0.3">
      <c r="A779" s="195"/>
      <c r="B779" s="183"/>
      <c r="C779" s="183"/>
      <c r="D779" s="490" t="s">
        <v>769</v>
      </c>
      <c r="E779" s="183"/>
      <c r="G779" s="253">
        <f>G336</f>
        <v>45000</v>
      </c>
      <c r="H779" s="253"/>
      <c r="I779" s="454"/>
      <c r="J779" s="253">
        <f>J336</f>
        <v>45000</v>
      </c>
      <c r="K779" s="253"/>
      <c r="L779" s="253"/>
      <c r="M779" s="183"/>
      <c r="N779" s="183"/>
    </row>
    <row r="780" spans="1:14" s="184" customFormat="1" x14ac:dyDescent="0.3">
      <c r="A780" s="195"/>
      <c r="B780" s="183"/>
      <c r="C780" s="183"/>
      <c r="D780" s="490" t="s">
        <v>770</v>
      </c>
      <c r="E780" s="183"/>
      <c r="G780" s="253">
        <f>G220</f>
        <v>835000</v>
      </c>
      <c r="H780" s="253"/>
      <c r="I780" s="454"/>
      <c r="J780" s="253">
        <f>J220</f>
        <v>1400000</v>
      </c>
      <c r="K780" s="253"/>
      <c r="L780" s="253"/>
      <c r="M780" s="183"/>
      <c r="N780" s="183"/>
    </row>
    <row r="781" spans="1:14" s="184" customFormat="1" x14ac:dyDescent="0.3">
      <c r="A781" s="195"/>
      <c r="B781" s="183"/>
      <c r="C781" s="183"/>
      <c r="D781" s="490" t="s">
        <v>771</v>
      </c>
      <c r="E781" s="183"/>
      <c r="G781" s="253">
        <f>G99+G231</f>
        <v>6268128.6400000006</v>
      </c>
      <c r="H781" s="253"/>
      <c r="I781" s="454"/>
      <c r="J781" s="253">
        <f>J99+J231</f>
        <v>15087050.58</v>
      </c>
      <c r="K781" s="253"/>
      <c r="L781" s="253"/>
      <c r="M781" s="183"/>
      <c r="N781" s="183"/>
    </row>
    <row r="782" spans="1:14" s="184" customFormat="1" x14ac:dyDescent="0.3">
      <c r="A782" s="195"/>
      <c r="B782" s="183"/>
      <c r="C782" s="183"/>
      <c r="D782" s="490" t="s">
        <v>776</v>
      </c>
      <c r="E782" s="183"/>
      <c r="G782" s="253">
        <f>G194</f>
        <v>1485000</v>
      </c>
      <c r="H782" s="253"/>
      <c r="I782" s="454"/>
      <c r="J782" s="253">
        <f>J194</f>
        <v>3784000</v>
      </c>
      <c r="K782" s="253"/>
      <c r="L782" s="253"/>
      <c r="M782" s="183"/>
      <c r="N782" s="183"/>
    </row>
    <row r="783" spans="1:14" s="184" customFormat="1" x14ac:dyDescent="0.3">
      <c r="A783" s="195"/>
      <c r="B783" s="183"/>
      <c r="C783" s="183"/>
      <c r="D783" s="490" t="s">
        <v>772</v>
      </c>
      <c r="E783" s="183"/>
      <c r="G783" s="253">
        <f>G481</f>
        <v>150000</v>
      </c>
      <c r="H783" s="253"/>
      <c r="I783" s="454"/>
      <c r="J783" s="253">
        <f>J481</f>
        <v>50000</v>
      </c>
      <c r="K783" s="253"/>
      <c r="L783" s="253"/>
      <c r="M783" s="183"/>
      <c r="N783" s="183"/>
    </row>
    <row r="784" spans="1:14" s="184" customFormat="1" x14ac:dyDescent="0.3">
      <c r="A784" s="195"/>
      <c r="B784" s="183"/>
      <c r="C784" s="183"/>
      <c r="D784" s="490" t="s">
        <v>773</v>
      </c>
      <c r="E784" s="183"/>
      <c r="G784" s="253">
        <f>G282</f>
        <v>11102296.719999999</v>
      </c>
      <c r="H784" s="253"/>
      <c r="I784" s="454"/>
      <c r="J784" s="253">
        <f>J282</f>
        <v>13999900</v>
      </c>
      <c r="K784" s="253"/>
      <c r="L784" s="253"/>
      <c r="M784" s="183"/>
      <c r="N784" s="183"/>
    </row>
    <row r="785" spans="1:14" s="184" customFormat="1" x14ac:dyDescent="0.3">
      <c r="A785" s="195"/>
      <c r="B785" s="183"/>
      <c r="C785" s="183"/>
      <c r="D785" s="490" t="s">
        <v>774</v>
      </c>
      <c r="E785" s="183"/>
      <c r="G785" s="253">
        <f>G296</f>
        <v>964413.7200000002</v>
      </c>
      <c r="H785" s="253"/>
      <c r="I785" s="454"/>
      <c r="J785" s="253">
        <f>J296</f>
        <v>437456.14</v>
      </c>
      <c r="K785" s="253"/>
      <c r="L785" s="253"/>
      <c r="M785" s="183"/>
      <c r="N785" s="183"/>
    </row>
    <row r="786" spans="1:14" s="184" customFormat="1" x14ac:dyDescent="0.3">
      <c r="A786" s="195"/>
      <c r="B786" s="183"/>
      <c r="C786" s="183"/>
      <c r="D786" s="490" t="s">
        <v>929</v>
      </c>
      <c r="E786" s="183"/>
      <c r="G786" s="253">
        <f>G108</f>
        <v>100000</v>
      </c>
      <c r="H786" s="253"/>
      <c r="I786" s="454"/>
      <c r="J786" s="253">
        <f>J108</f>
        <v>100000</v>
      </c>
      <c r="K786" s="253"/>
      <c r="L786" s="253"/>
      <c r="M786" s="183"/>
      <c r="N786" s="183"/>
    </row>
    <row r="787" spans="1:14" s="184" customFormat="1" x14ac:dyDescent="0.3">
      <c r="A787" s="195"/>
      <c r="B787" s="183"/>
      <c r="C787" s="183"/>
      <c r="D787" s="490" t="s">
        <v>775</v>
      </c>
      <c r="E787" s="183"/>
      <c r="G787" s="253">
        <f>G11+G33+G38+G45+G51+G56+G113+G162+G172+G177+G183+G189+G403+G418+G426+G496+G516+G723</f>
        <v>90373680.469999999</v>
      </c>
      <c r="H787" s="253"/>
      <c r="I787" s="454"/>
      <c r="J787" s="253">
        <f>J11+J33+J38+J45+J51+J56+J113+J162+J172+J177+J183+J189+J403+J418+J426+J496+J516+J723</f>
        <v>100181548.42999999</v>
      </c>
      <c r="K787" s="253"/>
      <c r="L787" s="253"/>
      <c r="M787" s="183"/>
      <c r="N787" s="183"/>
    </row>
    <row r="788" spans="1:14" s="184" customFormat="1" x14ac:dyDescent="0.3">
      <c r="A788" s="195"/>
      <c r="B788" s="183"/>
      <c r="C788" s="183"/>
      <c r="D788" s="183"/>
      <c r="E788" s="183"/>
      <c r="G788" s="260">
        <f>SUBTOTAL(9,G767:G787)</f>
        <v>503937140.96000004</v>
      </c>
      <c r="H788" s="260"/>
      <c r="I788" s="454"/>
      <c r="J788" s="260">
        <f>SUBTOTAL(9,J767:J787)</f>
        <v>560274759.88999999</v>
      </c>
      <c r="K788" s="253"/>
      <c r="L788" s="253"/>
      <c r="M788" s="183"/>
      <c r="N788" s="183"/>
    </row>
    <row r="789" spans="1:14" s="184" customFormat="1" x14ac:dyDescent="0.3">
      <c r="A789" s="195"/>
      <c r="B789" s="183" t="s">
        <v>777</v>
      </c>
      <c r="C789" s="183"/>
      <c r="D789" s="183"/>
      <c r="E789" s="183"/>
      <c r="G789" s="260">
        <f>G406+G432+G703</f>
        <v>5533145.6699999999</v>
      </c>
      <c r="H789" s="260"/>
      <c r="I789" s="454"/>
      <c r="J789" s="260">
        <f>J406+J432+J703</f>
        <v>6157334.0199999996</v>
      </c>
      <c r="K789" s="253"/>
      <c r="L789" s="253"/>
      <c r="M789" s="183"/>
      <c r="N789" s="183"/>
    </row>
    <row r="791" spans="1:14" s="184" customFormat="1" x14ac:dyDescent="0.3">
      <c r="A791" s="195"/>
      <c r="B791" s="183" t="s">
        <v>689</v>
      </c>
      <c r="C791" s="183"/>
      <c r="D791" s="183"/>
      <c r="E791" s="183"/>
      <c r="G791" s="253">
        <f>G12+G34+G39+G52+G114+G497+G500+G507+G662+G724+G727</f>
        <v>84584893.299999997</v>
      </c>
      <c r="H791" s="253"/>
      <c r="I791" s="454"/>
      <c r="J791" s="253">
        <f>J12+J34+J39+J52+J114+J497+J500+J507+J662+J724+J727</f>
        <v>95798269.409999982</v>
      </c>
      <c r="K791" s="253"/>
      <c r="L791" s="253"/>
      <c r="M791" s="183"/>
      <c r="N791" s="183"/>
    </row>
    <row r="792" spans="1:14" s="184" customFormat="1" x14ac:dyDescent="0.3">
      <c r="A792" s="258" t="s">
        <v>690</v>
      </c>
      <c r="B792" s="183"/>
      <c r="C792" s="264">
        <v>26.35</v>
      </c>
      <c r="D792" s="183"/>
      <c r="E792" s="183"/>
      <c r="G792" s="253">
        <f>('прил 3 '!C9+'прил 3 '!C42)*0.2635</f>
        <v>130381398.391</v>
      </c>
      <c r="H792" s="253"/>
      <c r="I792" s="454"/>
      <c r="M792" s="183"/>
      <c r="N792" s="183"/>
    </row>
  </sheetData>
  <autoFilter ref="A7:N747"/>
  <mergeCells count="3">
    <mergeCell ref="A3:G3"/>
    <mergeCell ref="A4:G4"/>
    <mergeCell ref="A5:G5"/>
  </mergeCells>
  <pageMargins left="1.1811023622047243" right="0.39370078740157483" top="0.39370078740157483" bottom="0.39370078740157483" header="0.31496062992125984" footer="0.31496062992125984"/>
  <pageSetup paperSize="9" scale="50" fitToHeight="0" orientation="portrait" r:id="rId1"/>
  <rowBreaks count="3" manualBreakCount="3">
    <brk id="100" max="12" man="1"/>
    <brk id="164" max="12" man="1"/>
    <brk id="421" max="12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791"/>
  <sheetViews>
    <sheetView topLeftCell="A34" zoomScale="110" zoomScaleNormal="110" zoomScaleSheetLayoutView="90" workbookViewId="0">
      <selection activeCell="G743" sqref="G743"/>
    </sheetView>
  </sheetViews>
  <sheetFormatPr defaultRowHeight="17" outlineLevelRow="7" x14ac:dyDescent="0.3"/>
  <cols>
    <col min="1" max="1" width="50.875" style="195" customWidth="1"/>
    <col min="2" max="2" width="5.25" style="183" customWidth="1"/>
    <col min="3" max="3" width="8.375" style="183" customWidth="1"/>
    <col min="4" max="4" width="15.375" style="183" customWidth="1"/>
    <col min="5" max="5" width="6.875" style="183" customWidth="1"/>
    <col min="6" max="6" width="17" style="184" hidden="1" customWidth="1"/>
    <col min="7" max="7" width="16.875" style="253" customWidth="1"/>
    <col min="8" max="8" width="21.125" style="253" hidden="1" customWidth="1"/>
    <col min="9" max="9" width="19.75" style="454" hidden="1" customWidth="1"/>
    <col min="10" max="10" width="17.125" style="184" customWidth="1"/>
    <col min="11" max="11" width="12.25" style="184" customWidth="1"/>
    <col min="12" max="12" width="15.625" style="184" hidden="1" customWidth="1"/>
    <col min="13" max="13" width="16.875" style="183" customWidth="1"/>
    <col min="14" max="14" width="17.25" style="183" customWidth="1"/>
    <col min="15" max="241" width="9" style="183"/>
    <col min="242" max="242" width="75.875" style="183" customWidth="1"/>
    <col min="243" max="244" width="7.625" style="183" customWidth="1"/>
    <col min="245" max="245" width="9.625" style="183" customWidth="1"/>
    <col min="246" max="246" width="7.625" style="183" customWidth="1"/>
    <col min="247" max="250" width="0" style="183" hidden="1" customWidth="1"/>
    <col min="251" max="251" width="14.375" style="183" customWidth="1"/>
    <col min="252" max="257" width="0" style="183" hidden="1" customWidth="1"/>
    <col min="258" max="258" width="10.125" style="183" bestFit="1" customWidth="1"/>
    <col min="259" max="497" width="9" style="183"/>
    <col min="498" max="498" width="75.875" style="183" customWidth="1"/>
    <col min="499" max="500" width="7.625" style="183" customWidth="1"/>
    <col min="501" max="501" width="9.625" style="183" customWidth="1"/>
    <col min="502" max="502" width="7.625" style="183" customWidth="1"/>
    <col min="503" max="506" width="0" style="183" hidden="1" customWidth="1"/>
    <col min="507" max="507" width="14.375" style="183" customWidth="1"/>
    <col min="508" max="513" width="0" style="183" hidden="1" customWidth="1"/>
    <col min="514" max="514" width="10.125" style="183" bestFit="1" customWidth="1"/>
    <col min="515" max="753" width="9" style="183"/>
    <col min="754" max="754" width="75.875" style="183" customWidth="1"/>
    <col min="755" max="756" width="7.625" style="183" customWidth="1"/>
    <col min="757" max="757" width="9.625" style="183" customWidth="1"/>
    <col min="758" max="758" width="7.625" style="183" customWidth="1"/>
    <col min="759" max="762" width="0" style="183" hidden="1" customWidth="1"/>
    <col min="763" max="763" width="14.375" style="183" customWidth="1"/>
    <col min="764" max="769" width="0" style="183" hidden="1" customWidth="1"/>
    <col min="770" max="770" width="10.125" style="183" bestFit="1" customWidth="1"/>
    <col min="771" max="1009" width="9" style="183"/>
    <col min="1010" max="1010" width="75.875" style="183" customWidth="1"/>
    <col min="1011" max="1012" width="7.625" style="183" customWidth="1"/>
    <col min="1013" max="1013" width="9.625" style="183" customWidth="1"/>
    <col min="1014" max="1014" width="7.625" style="183" customWidth="1"/>
    <col min="1015" max="1018" width="0" style="183" hidden="1" customWidth="1"/>
    <col min="1019" max="1019" width="14.375" style="183" customWidth="1"/>
    <col min="1020" max="1025" width="0" style="183" hidden="1" customWidth="1"/>
    <col min="1026" max="1026" width="10.125" style="183" bestFit="1" customWidth="1"/>
    <col min="1027" max="1265" width="9" style="183"/>
    <col min="1266" max="1266" width="75.875" style="183" customWidth="1"/>
    <col min="1267" max="1268" width="7.625" style="183" customWidth="1"/>
    <col min="1269" max="1269" width="9.625" style="183" customWidth="1"/>
    <col min="1270" max="1270" width="7.625" style="183" customWidth="1"/>
    <col min="1271" max="1274" width="0" style="183" hidden="1" customWidth="1"/>
    <col min="1275" max="1275" width="14.375" style="183" customWidth="1"/>
    <col min="1276" max="1281" width="0" style="183" hidden="1" customWidth="1"/>
    <col min="1282" max="1282" width="10.125" style="183" bestFit="1" customWidth="1"/>
    <col min="1283" max="1521" width="9" style="183"/>
    <col min="1522" max="1522" width="75.875" style="183" customWidth="1"/>
    <col min="1523" max="1524" width="7.625" style="183" customWidth="1"/>
    <col min="1525" max="1525" width="9.625" style="183" customWidth="1"/>
    <col min="1526" max="1526" width="7.625" style="183" customWidth="1"/>
    <col min="1527" max="1530" width="0" style="183" hidden="1" customWidth="1"/>
    <col min="1531" max="1531" width="14.375" style="183" customWidth="1"/>
    <col min="1532" max="1537" width="0" style="183" hidden="1" customWidth="1"/>
    <col min="1538" max="1538" width="10.125" style="183" bestFit="1" customWidth="1"/>
    <col min="1539" max="1777" width="9" style="183"/>
    <col min="1778" max="1778" width="75.875" style="183" customWidth="1"/>
    <col min="1779" max="1780" width="7.625" style="183" customWidth="1"/>
    <col min="1781" max="1781" width="9.625" style="183" customWidth="1"/>
    <col min="1782" max="1782" width="7.625" style="183" customWidth="1"/>
    <col min="1783" max="1786" width="0" style="183" hidden="1" customWidth="1"/>
    <col min="1787" max="1787" width="14.375" style="183" customWidth="1"/>
    <col min="1788" max="1793" width="0" style="183" hidden="1" customWidth="1"/>
    <col min="1794" max="1794" width="10.125" style="183" bestFit="1" customWidth="1"/>
    <col min="1795" max="2033" width="9" style="183"/>
    <col min="2034" max="2034" width="75.875" style="183" customWidth="1"/>
    <col min="2035" max="2036" width="7.625" style="183" customWidth="1"/>
    <col min="2037" max="2037" width="9.625" style="183" customWidth="1"/>
    <col min="2038" max="2038" width="7.625" style="183" customWidth="1"/>
    <col min="2039" max="2042" width="0" style="183" hidden="1" customWidth="1"/>
    <col min="2043" max="2043" width="14.375" style="183" customWidth="1"/>
    <col min="2044" max="2049" width="0" style="183" hidden="1" customWidth="1"/>
    <col min="2050" max="2050" width="10.125" style="183" bestFit="1" customWidth="1"/>
    <col min="2051" max="2289" width="9" style="183"/>
    <col min="2290" max="2290" width="75.875" style="183" customWidth="1"/>
    <col min="2291" max="2292" width="7.625" style="183" customWidth="1"/>
    <col min="2293" max="2293" width="9.625" style="183" customWidth="1"/>
    <col min="2294" max="2294" width="7.625" style="183" customWidth="1"/>
    <col min="2295" max="2298" width="0" style="183" hidden="1" customWidth="1"/>
    <col min="2299" max="2299" width="14.375" style="183" customWidth="1"/>
    <col min="2300" max="2305" width="0" style="183" hidden="1" customWidth="1"/>
    <col min="2306" max="2306" width="10.125" style="183" bestFit="1" customWidth="1"/>
    <col min="2307" max="2545" width="9" style="183"/>
    <col min="2546" max="2546" width="75.875" style="183" customWidth="1"/>
    <col min="2547" max="2548" width="7.625" style="183" customWidth="1"/>
    <col min="2549" max="2549" width="9.625" style="183" customWidth="1"/>
    <col min="2550" max="2550" width="7.625" style="183" customWidth="1"/>
    <col min="2551" max="2554" width="0" style="183" hidden="1" customWidth="1"/>
    <col min="2555" max="2555" width="14.375" style="183" customWidth="1"/>
    <col min="2556" max="2561" width="0" style="183" hidden="1" customWidth="1"/>
    <col min="2562" max="2562" width="10.125" style="183" bestFit="1" customWidth="1"/>
    <col min="2563" max="2801" width="9" style="183"/>
    <col min="2802" max="2802" width="75.875" style="183" customWidth="1"/>
    <col min="2803" max="2804" width="7.625" style="183" customWidth="1"/>
    <col min="2805" max="2805" width="9.625" style="183" customWidth="1"/>
    <col min="2806" max="2806" width="7.625" style="183" customWidth="1"/>
    <col min="2807" max="2810" width="0" style="183" hidden="1" customWidth="1"/>
    <col min="2811" max="2811" width="14.375" style="183" customWidth="1"/>
    <col min="2812" max="2817" width="0" style="183" hidden="1" customWidth="1"/>
    <col min="2818" max="2818" width="10.125" style="183" bestFit="1" customWidth="1"/>
    <col min="2819" max="3057" width="9" style="183"/>
    <col min="3058" max="3058" width="75.875" style="183" customWidth="1"/>
    <col min="3059" max="3060" width="7.625" style="183" customWidth="1"/>
    <col min="3061" max="3061" width="9.625" style="183" customWidth="1"/>
    <col min="3062" max="3062" width="7.625" style="183" customWidth="1"/>
    <col min="3063" max="3066" width="0" style="183" hidden="1" customWidth="1"/>
    <col min="3067" max="3067" width="14.375" style="183" customWidth="1"/>
    <col min="3068" max="3073" width="0" style="183" hidden="1" customWidth="1"/>
    <col min="3074" max="3074" width="10.125" style="183" bestFit="1" customWidth="1"/>
    <col min="3075" max="3313" width="9" style="183"/>
    <col min="3314" max="3314" width="75.875" style="183" customWidth="1"/>
    <col min="3315" max="3316" width="7.625" style="183" customWidth="1"/>
    <col min="3317" max="3317" width="9.625" style="183" customWidth="1"/>
    <col min="3318" max="3318" width="7.625" style="183" customWidth="1"/>
    <col min="3319" max="3322" width="0" style="183" hidden="1" customWidth="1"/>
    <col min="3323" max="3323" width="14.375" style="183" customWidth="1"/>
    <col min="3324" max="3329" width="0" style="183" hidden="1" customWidth="1"/>
    <col min="3330" max="3330" width="10.125" style="183" bestFit="1" customWidth="1"/>
    <col min="3331" max="3569" width="9" style="183"/>
    <col min="3570" max="3570" width="75.875" style="183" customWidth="1"/>
    <col min="3571" max="3572" width="7.625" style="183" customWidth="1"/>
    <col min="3573" max="3573" width="9.625" style="183" customWidth="1"/>
    <col min="3574" max="3574" width="7.625" style="183" customWidth="1"/>
    <col min="3575" max="3578" width="0" style="183" hidden="1" customWidth="1"/>
    <col min="3579" max="3579" width="14.375" style="183" customWidth="1"/>
    <col min="3580" max="3585" width="0" style="183" hidden="1" customWidth="1"/>
    <col min="3586" max="3586" width="10.125" style="183" bestFit="1" customWidth="1"/>
    <col min="3587" max="3825" width="9" style="183"/>
    <col min="3826" max="3826" width="75.875" style="183" customWidth="1"/>
    <col min="3827" max="3828" width="7.625" style="183" customWidth="1"/>
    <col min="3829" max="3829" width="9.625" style="183" customWidth="1"/>
    <col min="3830" max="3830" width="7.625" style="183" customWidth="1"/>
    <col min="3831" max="3834" width="0" style="183" hidden="1" customWidth="1"/>
    <col min="3835" max="3835" width="14.375" style="183" customWidth="1"/>
    <col min="3836" max="3841" width="0" style="183" hidden="1" customWidth="1"/>
    <col min="3842" max="3842" width="10.125" style="183" bestFit="1" customWidth="1"/>
    <col min="3843" max="4081" width="9" style="183"/>
    <col min="4082" max="4082" width="75.875" style="183" customWidth="1"/>
    <col min="4083" max="4084" width="7.625" style="183" customWidth="1"/>
    <col min="4085" max="4085" width="9.625" style="183" customWidth="1"/>
    <col min="4086" max="4086" width="7.625" style="183" customWidth="1"/>
    <col min="4087" max="4090" width="0" style="183" hidden="1" customWidth="1"/>
    <col min="4091" max="4091" width="14.375" style="183" customWidth="1"/>
    <col min="4092" max="4097" width="0" style="183" hidden="1" customWidth="1"/>
    <col min="4098" max="4098" width="10.125" style="183" bestFit="1" customWidth="1"/>
    <col min="4099" max="4337" width="9" style="183"/>
    <col min="4338" max="4338" width="75.875" style="183" customWidth="1"/>
    <col min="4339" max="4340" width="7.625" style="183" customWidth="1"/>
    <col min="4341" max="4341" width="9.625" style="183" customWidth="1"/>
    <col min="4342" max="4342" width="7.625" style="183" customWidth="1"/>
    <col min="4343" max="4346" width="0" style="183" hidden="1" customWidth="1"/>
    <col min="4347" max="4347" width="14.375" style="183" customWidth="1"/>
    <col min="4348" max="4353" width="0" style="183" hidden="1" customWidth="1"/>
    <col min="4354" max="4354" width="10.125" style="183" bestFit="1" customWidth="1"/>
    <col min="4355" max="4593" width="9" style="183"/>
    <col min="4594" max="4594" width="75.875" style="183" customWidth="1"/>
    <col min="4595" max="4596" width="7.625" style="183" customWidth="1"/>
    <col min="4597" max="4597" width="9.625" style="183" customWidth="1"/>
    <col min="4598" max="4598" width="7.625" style="183" customWidth="1"/>
    <col min="4599" max="4602" width="0" style="183" hidden="1" customWidth="1"/>
    <col min="4603" max="4603" width="14.375" style="183" customWidth="1"/>
    <col min="4604" max="4609" width="0" style="183" hidden="1" customWidth="1"/>
    <col min="4610" max="4610" width="10.125" style="183" bestFit="1" customWidth="1"/>
    <col min="4611" max="4849" width="9" style="183"/>
    <col min="4850" max="4850" width="75.875" style="183" customWidth="1"/>
    <col min="4851" max="4852" width="7.625" style="183" customWidth="1"/>
    <col min="4853" max="4853" width="9.625" style="183" customWidth="1"/>
    <col min="4854" max="4854" width="7.625" style="183" customWidth="1"/>
    <col min="4855" max="4858" width="0" style="183" hidden="1" customWidth="1"/>
    <col min="4859" max="4859" width="14.375" style="183" customWidth="1"/>
    <col min="4860" max="4865" width="0" style="183" hidden="1" customWidth="1"/>
    <col min="4866" max="4866" width="10.125" style="183" bestFit="1" customWidth="1"/>
    <col min="4867" max="5105" width="9" style="183"/>
    <col min="5106" max="5106" width="75.875" style="183" customWidth="1"/>
    <col min="5107" max="5108" width="7.625" style="183" customWidth="1"/>
    <col min="5109" max="5109" width="9.625" style="183" customWidth="1"/>
    <col min="5110" max="5110" width="7.625" style="183" customWidth="1"/>
    <col min="5111" max="5114" width="0" style="183" hidden="1" customWidth="1"/>
    <col min="5115" max="5115" width="14.375" style="183" customWidth="1"/>
    <col min="5116" max="5121" width="0" style="183" hidden="1" customWidth="1"/>
    <col min="5122" max="5122" width="10.125" style="183" bestFit="1" customWidth="1"/>
    <col min="5123" max="5361" width="9" style="183"/>
    <col min="5362" max="5362" width="75.875" style="183" customWidth="1"/>
    <col min="5363" max="5364" width="7.625" style="183" customWidth="1"/>
    <col min="5365" max="5365" width="9.625" style="183" customWidth="1"/>
    <col min="5366" max="5366" width="7.625" style="183" customWidth="1"/>
    <col min="5367" max="5370" width="0" style="183" hidden="1" customWidth="1"/>
    <col min="5371" max="5371" width="14.375" style="183" customWidth="1"/>
    <col min="5372" max="5377" width="0" style="183" hidden="1" customWidth="1"/>
    <col min="5378" max="5378" width="10.125" style="183" bestFit="1" customWidth="1"/>
    <col min="5379" max="5617" width="9" style="183"/>
    <col min="5618" max="5618" width="75.875" style="183" customWidth="1"/>
    <col min="5619" max="5620" width="7.625" style="183" customWidth="1"/>
    <col min="5621" max="5621" width="9.625" style="183" customWidth="1"/>
    <col min="5622" max="5622" width="7.625" style="183" customWidth="1"/>
    <col min="5623" max="5626" width="0" style="183" hidden="1" customWidth="1"/>
    <col min="5627" max="5627" width="14.375" style="183" customWidth="1"/>
    <col min="5628" max="5633" width="0" style="183" hidden="1" customWidth="1"/>
    <col min="5634" max="5634" width="10.125" style="183" bestFit="1" customWidth="1"/>
    <col min="5635" max="5873" width="9" style="183"/>
    <col min="5874" max="5874" width="75.875" style="183" customWidth="1"/>
    <col min="5875" max="5876" width="7.625" style="183" customWidth="1"/>
    <col min="5877" max="5877" width="9.625" style="183" customWidth="1"/>
    <col min="5878" max="5878" width="7.625" style="183" customWidth="1"/>
    <col min="5879" max="5882" width="0" style="183" hidden="1" customWidth="1"/>
    <col min="5883" max="5883" width="14.375" style="183" customWidth="1"/>
    <col min="5884" max="5889" width="0" style="183" hidden="1" customWidth="1"/>
    <col min="5890" max="5890" width="10.125" style="183" bestFit="1" customWidth="1"/>
    <col min="5891" max="6129" width="9" style="183"/>
    <col min="6130" max="6130" width="75.875" style="183" customWidth="1"/>
    <col min="6131" max="6132" width="7.625" style="183" customWidth="1"/>
    <col min="6133" max="6133" width="9.625" style="183" customWidth="1"/>
    <col min="6134" max="6134" width="7.625" style="183" customWidth="1"/>
    <col min="6135" max="6138" width="0" style="183" hidden="1" customWidth="1"/>
    <col min="6139" max="6139" width="14.375" style="183" customWidth="1"/>
    <col min="6140" max="6145" width="0" style="183" hidden="1" customWidth="1"/>
    <col min="6146" max="6146" width="10.125" style="183" bestFit="1" customWidth="1"/>
    <col min="6147" max="6385" width="9" style="183"/>
    <col min="6386" max="6386" width="75.875" style="183" customWidth="1"/>
    <col min="6387" max="6388" width="7.625" style="183" customWidth="1"/>
    <col min="6389" max="6389" width="9.625" style="183" customWidth="1"/>
    <col min="6390" max="6390" width="7.625" style="183" customWidth="1"/>
    <col min="6391" max="6394" width="0" style="183" hidden="1" customWidth="1"/>
    <col min="6395" max="6395" width="14.375" style="183" customWidth="1"/>
    <col min="6396" max="6401" width="0" style="183" hidden="1" customWidth="1"/>
    <col min="6402" max="6402" width="10.125" style="183" bestFit="1" customWidth="1"/>
    <col min="6403" max="6641" width="9" style="183"/>
    <col min="6642" max="6642" width="75.875" style="183" customWidth="1"/>
    <col min="6643" max="6644" width="7.625" style="183" customWidth="1"/>
    <col min="6645" max="6645" width="9.625" style="183" customWidth="1"/>
    <col min="6646" max="6646" width="7.625" style="183" customWidth="1"/>
    <col min="6647" max="6650" width="0" style="183" hidden="1" customWidth="1"/>
    <col min="6651" max="6651" width="14.375" style="183" customWidth="1"/>
    <col min="6652" max="6657" width="0" style="183" hidden="1" customWidth="1"/>
    <col min="6658" max="6658" width="10.125" style="183" bestFit="1" customWidth="1"/>
    <col min="6659" max="6897" width="9" style="183"/>
    <col min="6898" max="6898" width="75.875" style="183" customWidth="1"/>
    <col min="6899" max="6900" width="7.625" style="183" customWidth="1"/>
    <col min="6901" max="6901" width="9.625" style="183" customWidth="1"/>
    <col min="6902" max="6902" width="7.625" style="183" customWidth="1"/>
    <col min="6903" max="6906" width="0" style="183" hidden="1" customWidth="1"/>
    <col min="6907" max="6907" width="14.375" style="183" customWidth="1"/>
    <col min="6908" max="6913" width="0" style="183" hidden="1" customWidth="1"/>
    <col min="6914" max="6914" width="10.125" style="183" bestFit="1" customWidth="1"/>
    <col min="6915" max="7153" width="9" style="183"/>
    <col min="7154" max="7154" width="75.875" style="183" customWidth="1"/>
    <col min="7155" max="7156" width="7.625" style="183" customWidth="1"/>
    <col min="7157" max="7157" width="9.625" style="183" customWidth="1"/>
    <col min="7158" max="7158" width="7.625" style="183" customWidth="1"/>
    <col min="7159" max="7162" width="0" style="183" hidden="1" customWidth="1"/>
    <col min="7163" max="7163" width="14.375" style="183" customWidth="1"/>
    <col min="7164" max="7169" width="0" style="183" hidden="1" customWidth="1"/>
    <col min="7170" max="7170" width="10.125" style="183" bestFit="1" customWidth="1"/>
    <col min="7171" max="7409" width="9" style="183"/>
    <col min="7410" max="7410" width="75.875" style="183" customWidth="1"/>
    <col min="7411" max="7412" width="7.625" style="183" customWidth="1"/>
    <col min="7413" max="7413" width="9.625" style="183" customWidth="1"/>
    <col min="7414" max="7414" width="7.625" style="183" customWidth="1"/>
    <col min="7415" max="7418" width="0" style="183" hidden="1" customWidth="1"/>
    <col min="7419" max="7419" width="14.375" style="183" customWidth="1"/>
    <col min="7420" max="7425" width="0" style="183" hidden="1" customWidth="1"/>
    <col min="7426" max="7426" width="10.125" style="183" bestFit="1" customWidth="1"/>
    <col min="7427" max="7665" width="9" style="183"/>
    <col min="7666" max="7666" width="75.875" style="183" customWidth="1"/>
    <col min="7667" max="7668" width="7.625" style="183" customWidth="1"/>
    <col min="7669" max="7669" width="9.625" style="183" customWidth="1"/>
    <col min="7670" max="7670" width="7.625" style="183" customWidth="1"/>
    <col min="7671" max="7674" width="0" style="183" hidden="1" customWidth="1"/>
    <col min="7675" max="7675" width="14.375" style="183" customWidth="1"/>
    <col min="7676" max="7681" width="0" style="183" hidden="1" customWidth="1"/>
    <col min="7682" max="7682" width="10.125" style="183" bestFit="1" customWidth="1"/>
    <col min="7683" max="7921" width="9" style="183"/>
    <col min="7922" max="7922" width="75.875" style="183" customWidth="1"/>
    <col min="7923" max="7924" width="7.625" style="183" customWidth="1"/>
    <col min="7925" max="7925" width="9.625" style="183" customWidth="1"/>
    <col min="7926" max="7926" width="7.625" style="183" customWidth="1"/>
    <col min="7927" max="7930" width="0" style="183" hidden="1" customWidth="1"/>
    <col min="7931" max="7931" width="14.375" style="183" customWidth="1"/>
    <col min="7932" max="7937" width="0" style="183" hidden="1" customWidth="1"/>
    <col min="7938" max="7938" width="10.125" style="183" bestFit="1" customWidth="1"/>
    <col min="7939" max="8177" width="9" style="183"/>
    <col min="8178" max="8178" width="75.875" style="183" customWidth="1"/>
    <col min="8179" max="8180" width="7.625" style="183" customWidth="1"/>
    <col min="8181" max="8181" width="9.625" style="183" customWidth="1"/>
    <col min="8182" max="8182" width="7.625" style="183" customWidth="1"/>
    <col min="8183" max="8186" width="0" style="183" hidden="1" customWidth="1"/>
    <col min="8187" max="8187" width="14.375" style="183" customWidth="1"/>
    <col min="8188" max="8193" width="0" style="183" hidden="1" customWidth="1"/>
    <col min="8194" max="8194" width="10.125" style="183" bestFit="1" customWidth="1"/>
    <col min="8195" max="8433" width="9" style="183"/>
    <col min="8434" max="8434" width="75.875" style="183" customWidth="1"/>
    <col min="8435" max="8436" width="7.625" style="183" customWidth="1"/>
    <col min="8437" max="8437" width="9.625" style="183" customWidth="1"/>
    <col min="8438" max="8438" width="7.625" style="183" customWidth="1"/>
    <col min="8439" max="8442" width="0" style="183" hidden="1" customWidth="1"/>
    <col min="8443" max="8443" width="14.375" style="183" customWidth="1"/>
    <col min="8444" max="8449" width="0" style="183" hidden="1" customWidth="1"/>
    <col min="8450" max="8450" width="10.125" style="183" bestFit="1" customWidth="1"/>
    <col min="8451" max="8689" width="9" style="183"/>
    <col min="8690" max="8690" width="75.875" style="183" customWidth="1"/>
    <col min="8691" max="8692" width="7.625" style="183" customWidth="1"/>
    <col min="8693" max="8693" width="9.625" style="183" customWidth="1"/>
    <col min="8694" max="8694" width="7.625" style="183" customWidth="1"/>
    <col min="8695" max="8698" width="0" style="183" hidden="1" customWidth="1"/>
    <col min="8699" max="8699" width="14.375" style="183" customWidth="1"/>
    <col min="8700" max="8705" width="0" style="183" hidden="1" customWidth="1"/>
    <col min="8706" max="8706" width="10.125" style="183" bestFit="1" customWidth="1"/>
    <col min="8707" max="8945" width="9" style="183"/>
    <col min="8946" max="8946" width="75.875" style="183" customWidth="1"/>
    <col min="8947" max="8948" width="7.625" style="183" customWidth="1"/>
    <col min="8949" max="8949" width="9.625" style="183" customWidth="1"/>
    <col min="8950" max="8950" width="7.625" style="183" customWidth="1"/>
    <col min="8951" max="8954" width="0" style="183" hidden="1" customWidth="1"/>
    <col min="8955" max="8955" width="14.375" style="183" customWidth="1"/>
    <col min="8956" max="8961" width="0" style="183" hidden="1" customWidth="1"/>
    <col min="8962" max="8962" width="10.125" style="183" bestFit="1" customWidth="1"/>
    <col min="8963" max="9201" width="9" style="183"/>
    <col min="9202" max="9202" width="75.875" style="183" customWidth="1"/>
    <col min="9203" max="9204" width="7.625" style="183" customWidth="1"/>
    <col min="9205" max="9205" width="9.625" style="183" customWidth="1"/>
    <col min="9206" max="9206" width="7.625" style="183" customWidth="1"/>
    <col min="9207" max="9210" width="0" style="183" hidden="1" customWidth="1"/>
    <col min="9211" max="9211" width="14.375" style="183" customWidth="1"/>
    <col min="9212" max="9217" width="0" style="183" hidden="1" customWidth="1"/>
    <col min="9218" max="9218" width="10.125" style="183" bestFit="1" customWidth="1"/>
    <col min="9219" max="9457" width="9" style="183"/>
    <col min="9458" max="9458" width="75.875" style="183" customWidth="1"/>
    <col min="9459" max="9460" width="7.625" style="183" customWidth="1"/>
    <col min="9461" max="9461" width="9.625" style="183" customWidth="1"/>
    <col min="9462" max="9462" width="7.625" style="183" customWidth="1"/>
    <col min="9463" max="9466" width="0" style="183" hidden="1" customWidth="1"/>
    <col min="9467" max="9467" width="14.375" style="183" customWidth="1"/>
    <col min="9468" max="9473" width="0" style="183" hidden="1" customWidth="1"/>
    <col min="9474" max="9474" width="10.125" style="183" bestFit="1" customWidth="1"/>
    <col min="9475" max="9713" width="9" style="183"/>
    <col min="9714" max="9714" width="75.875" style="183" customWidth="1"/>
    <col min="9715" max="9716" width="7.625" style="183" customWidth="1"/>
    <col min="9717" max="9717" width="9.625" style="183" customWidth="1"/>
    <col min="9718" max="9718" width="7.625" style="183" customWidth="1"/>
    <col min="9719" max="9722" width="0" style="183" hidden="1" customWidth="1"/>
    <col min="9723" max="9723" width="14.375" style="183" customWidth="1"/>
    <col min="9724" max="9729" width="0" style="183" hidden="1" customWidth="1"/>
    <col min="9730" max="9730" width="10.125" style="183" bestFit="1" customWidth="1"/>
    <col min="9731" max="9969" width="9" style="183"/>
    <col min="9970" max="9970" width="75.875" style="183" customWidth="1"/>
    <col min="9971" max="9972" width="7.625" style="183" customWidth="1"/>
    <col min="9973" max="9973" width="9.625" style="183" customWidth="1"/>
    <col min="9974" max="9974" width="7.625" style="183" customWidth="1"/>
    <col min="9975" max="9978" width="0" style="183" hidden="1" customWidth="1"/>
    <col min="9979" max="9979" width="14.375" style="183" customWidth="1"/>
    <col min="9980" max="9985" width="0" style="183" hidden="1" customWidth="1"/>
    <col min="9986" max="9986" width="10.125" style="183" bestFit="1" customWidth="1"/>
    <col min="9987" max="10225" width="9" style="183"/>
    <col min="10226" max="10226" width="75.875" style="183" customWidth="1"/>
    <col min="10227" max="10228" width="7.625" style="183" customWidth="1"/>
    <col min="10229" max="10229" width="9.625" style="183" customWidth="1"/>
    <col min="10230" max="10230" width="7.625" style="183" customWidth="1"/>
    <col min="10231" max="10234" width="0" style="183" hidden="1" customWidth="1"/>
    <col min="10235" max="10235" width="14.375" style="183" customWidth="1"/>
    <col min="10236" max="10241" width="0" style="183" hidden="1" customWidth="1"/>
    <col min="10242" max="10242" width="10.125" style="183" bestFit="1" customWidth="1"/>
    <col min="10243" max="10481" width="9" style="183"/>
    <col min="10482" max="10482" width="75.875" style="183" customWidth="1"/>
    <col min="10483" max="10484" width="7.625" style="183" customWidth="1"/>
    <col min="10485" max="10485" width="9.625" style="183" customWidth="1"/>
    <col min="10486" max="10486" width="7.625" style="183" customWidth="1"/>
    <col min="10487" max="10490" width="0" style="183" hidden="1" customWidth="1"/>
    <col min="10491" max="10491" width="14.375" style="183" customWidth="1"/>
    <col min="10492" max="10497" width="0" style="183" hidden="1" customWidth="1"/>
    <col min="10498" max="10498" width="10.125" style="183" bestFit="1" customWidth="1"/>
    <col min="10499" max="10737" width="9" style="183"/>
    <col min="10738" max="10738" width="75.875" style="183" customWidth="1"/>
    <col min="10739" max="10740" width="7.625" style="183" customWidth="1"/>
    <col min="10741" max="10741" width="9.625" style="183" customWidth="1"/>
    <col min="10742" max="10742" width="7.625" style="183" customWidth="1"/>
    <col min="10743" max="10746" width="0" style="183" hidden="1" customWidth="1"/>
    <col min="10747" max="10747" width="14.375" style="183" customWidth="1"/>
    <col min="10748" max="10753" width="0" style="183" hidden="1" customWidth="1"/>
    <col min="10754" max="10754" width="10.125" style="183" bestFit="1" customWidth="1"/>
    <col min="10755" max="10993" width="9" style="183"/>
    <col min="10994" max="10994" width="75.875" style="183" customWidth="1"/>
    <col min="10995" max="10996" width="7.625" style="183" customWidth="1"/>
    <col min="10997" max="10997" width="9.625" style="183" customWidth="1"/>
    <col min="10998" max="10998" width="7.625" style="183" customWidth="1"/>
    <col min="10999" max="11002" width="0" style="183" hidden="1" customWidth="1"/>
    <col min="11003" max="11003" width="14.375" style="183" customWidth="1"/>
    <col min="11004" max="11009" width="0" style="183" hidden="1" customWidth="1"/>
    <col min="11010" max="11010" width="10.125" style="183" bestFit="1" customWidth="1"/>
    <col min="11011" max="11249" width="9" style="183"/>
    <col min="11250" max="11250" width="75.875" style="183" customWidth="1"/>
    <col min="11251" max="11252" width="7.625" style="183" customWidth="1"/>
    <col min="11253" max="11253" width="9.625" style="183" customWidth="1"/>
    <col min="11254" max="11254" width="7.625" style="183" customWidth="1"/>
    <col min="11255" max="11258" width="0" style="183" hidden="1" customWidth="1"/>
    <col min="11259" max="11259" width="14.375" style="183" customWidth="1"/>
    <col min="11260" max="11265" width="0" style="183" hidden="1" customWidth="1"/>
    <col min="11266" max="11266" width="10.125" style="183" bestFit="1" customWidth="1"/>
    <col min="11267" max="11505" width="9" style="183"/>
    <col min="11506" max="11506" width="75.875" style="183" customWidth="1"/>
    <col min="11507" max="11508" width="7.625" style="183" customWidth="1"/>
    <col min="11509" max="11509" width="9.625" style="183" customWidth="1"/>
    <col min="11510" max="11510" width="7.625" style="183" customWidth="1"/>
    <col min="11511" max="11514" width="0" style="183" hidden="1" customWidth="1"/>
    <col min="11515" max="11515" width="14.375" style="183" customWidth="1"/>
    <col min="11516" max="11521" width="0" style="183" hidden="1" customWidth="1"/>
    <col min="11522" max="11522" width="10.125" style="183" bestFit="1" customWidth="1"/>
    <col min="11523" max="11761" width="9" style="183"/>
    <col min="11762" max="11762" width="75.875" style="183" customWidth="1"/>
    <col min="11763" max="11764" width="7.625" style="183" customWidth="1"/>
    <col min="11765" max="11765" width="9.625" style="183" customWidth="1"/>
    <col min="11766" max="11766" width="7.625" style="183" customWidth="1"/>
    <col min="11767" max="11770" width="0" style="183" hidden="1" customWidth="1"/>
    <col min="11771" max="11771" width="14.375" style="183" customWidth="1"/>
    <col min="11772" max="11777" width="0" style="183" hidden="1" customWidth="1"/>
    <col min="11778" max="11778" width="10.125" style="183" bestFit="1" customWidth="1"/>
    <col min="11779" max="12017" width="9" style="183"/>
    <col min="12018" max="12018" width="75.875" style="183" customWidth="1"/>
    <col min="12019" max="12020" width="7.625" style="183" customWidth="1"/>
    <col min="12021" max="12021" width="9.625" style="183" customWidth="1"/>
    <col min="12022" max="12022" width="7.625" style="183" customWidth="1"/>
    <col min="12023" max="12026" width="0" style="183" hidden="1" customWidth="1"/>
    <col min="12027" max="12027" width="14.375" style="183" customWidth="1"/>
    <col min="12028" max="12033" width="0" style="183" hidden="1" customWidth="1"/>
    <col min="12034" max="12034" width="10.125" style="183" bestFit="1" customWidth="1"/>
    <col min="12035" max="12273" width="9" style="183"/>
    <col min="12274" max="12274" width="75.875" style="183" customWidth="1"/>
    <col min="12275" max="12276" width="7.625" style="183" customWidth="1"/>
    <col min="12277" max="12277" width="9.625" style="183" customWidth="1"/>
    <col min="12278" max="12278" width="7.625" style="183" customWidth="1"/>
    <col min="12279" max="12282" width="0" style="183" hidden="1" customWidth="1"/>
    <col min="12283" max="12283" width="14.375" style="183" customWidth="1"/>
    <col min="12284" max="12289" width="0" style="183" hidden="1" customWidth="1"/>
    <col min="12290" max="12290" width="10.125" style="183" bestFit="1" customWidth="1"/>
    <col min="12291" max="12529" width="9" style="183"/>
    <col min="12530" max="12530" width="75.875" style="183" customWidth="1"/>
    <col min="12531" max="12532" width="7.625" style="183" customWidth="1"/>
    <col min="12533" max="12533" width="9.625" style="183" customWidth="1"/>
    <col min="12534" max="12534" width="7.625" style="183" customWidth="1"/>
    <col min="12535" max="12538" width="0" style="183" hidden="1" customWidth="1"/>
    <col min="12539" max="12539" width="14.375" style="183" customWidth="1"/>
    <col min="12540" max="12545" width="0" style="183" hidden="1" customWidth="1"/>
    <col min="12546" max="12546" width="10.125" style="183" bestFit="1" customWidth="1"/>
    <col min="12547" max="12785" width="9" style="183"/>
    <col min="12786" max="12786" width="75.875" style="183" customWidth="1"/>
    <col min="12787" max="12788" width="7.625" style="183" customWidth="1"/>
    <col min="12789" max="12789" width="9.625" style="183" customWidth="1"/>
    <col min="12790" max="12790" width="7.625" style="183" customWidth="1"/>
    <col min="12791" max="12794" width="0" style="183" hidden="1" customWidth="1"/>
    <col min="12795" max="12795" width="14.375" style="183" customWidth="1"/>
    <col min="12796" max="12801" width="0" style="183" hidden="1" customWidth="1"/>
    <col min="12802" max="12802" width="10.125" style="183" bestFit="1" customWidth="1"/>
    <col min="12803" max="13041" width="9" style="183"/>
    <col min="13042" max="13042" width="75.875" style="183" customWidth="1"/>
    <col min="13043" max="13044" width="7.625" style="183" customWidth="1"/>
    <col min="13045" max="13045" width="9.625" style="183" customWidth="1"/>
    <col min="13046" max="13046" width="7.625" style="183" customWidth="1"/>
    <col min="13047" max="13050" width="0" style="183" hidden="1" customWidth="1"/>
    <col min="13051" max="13051" width="14.375" style="183" customWidth="1"/>
    <col min="13052" max="13057" width="0" style="183" hidden="1" customWidth="1"/>
    <col min="13058" max="13058" width="10.125" style="183" bestFit="1" customWidth="1"/>
    <col min="13059" max="13297" width="9" style="183"/>
    <col min="13298" max="13298" width="75.875" style="183" customWidth="1"/>
    <col min="13299" max="13300" width="7.625" style="183" customWidth="1"/>
    <col min="13301" max="13301" width="9.625" style="183" customWidth="1"/>
    <col min="13302" max="13302" width="7.625" style="183" customWidth="1"/>
    <col min="13303" max="13306" width="0" style="183" hidden="1" customWidth="1"/>
    <col min="13307" max="13307" width="14.375" style="183" customWidth="1"/>
    <col min="13308" max="13313" width="0" style="183" hidden="1" customWidth="1"/>
    <col min="13314" max="13314" width="10.125" style="183" bestFit="1" customWidth="1"/>
    <col min="13315" max="13553" width="9" style="183"/>
    <col min="13554" max="13554" width="75.875" style="183" customWidth="1"/>
    <col min="13555" max="13556" width="7.625" style="183" customWidth="1"/>
    <col min="13557" max="13557" width="9.625" style="183" customWidth="1"/>
    <col min="13558" max="13558" width="7.625" style="183" customWidth="1"/>
    <col min="13559" max="13562" width="0" style="183" hidden="1" customWidth="1"/>
    <col min="13563" max="13563" width="14.375" style="183" customWidth="1"/>
    <col min="13564" max="13569" width="0" style="183" hidden="1" customWidth="1"/>
    <col min="13570" max="13570" width="10.125" style="183" bestFit="1" customWidth="1"/>
    <col min="13571" max="13809" width="9" style="183"/>
    <col min="13810" max="13810" width="75.875" style="183" customWidth="1"/>
    <col min="13811" max="13812" width="7.625" style="183" customWidth="1"/>
    <col min="13813" max="13813" width="9.625" style="183" customWidth="1"/>
    <col min="13814" max="13814" width="7.625" style="183" customWidth="1"/>
    <col min="13815" max="13818" width="0" style="183" hidden="1" customWidth="1"/>
    <col min="13819" max="13819" width="14.375" style="183" customWidth="1"/>
    <col min="13820" max="13825" width="0" style="183" hidden="1" customWidth="1"/>
    <col min="13826" max="13826" width="10.125" style="183" bestFit="1" customWidth="1"/>
    <col min="13827" max="14065" width="9" style="183"/>
    <col min="14066" max="14066" width="75.875" style="183" customWidth="1"/>
    <col min="14067" max="14068" width="7.625" style="183" customWidth="1"/>
    <col min="14069" max="14069" width="9.625" style="183" customWidth="1"/>
    <col min="14070" max="14070" width="7.625" style="183" customWidth="1"/>
    <col min="14071" max="14074" width="0" style="183" hidden="1" customWidth="1"/>
    <col min="14075" max="14075" width="14.375" style="183" customWidth="1"/>
    <col min="14076" max="14081" width="0" style="183" hidden="1" customWidth="1"/>
    <col min="14082" max="14082" width="10.125" style="183" bestFit="1" customWidth="1"/>
    <col min="14083" max="14321" width="9" style="183"/>
    <col min="14322" max="14322" width="75.875" style="183" customWidth="1"/>
    <col min="14323" max="14324" width="7.625" style="183" customWidth="1"/>
    <col min="14325" max="14325" width="9.625" style="183" customWidth="1"/>
    <col min="14326" max="14326" width="7.625" style="183" customWidth="1"/>
    <col min="14327" max="14330" width="0" style="183" hidden="1" customWidth="1"/>
    <col min="14331" max="14331" width="14.375" style="183" customWidth="1"/>
    <col min="14332" max="14337" width="0" style="183" hidden="1" customWidth="1"/>
    <col min="14338" max="14338" width="10.125" style="183" bestFit="1" customWidth="1"/>
    <col min="14339" max="14577" width="9" style="183"/>
    <col min="14578" max="14578" width="75.875" style="183" customWidth="1"/>
    <col min="14579" max="14580" width="7.625" style="183" customWidth="1"/>
    <col min="14581" max="14581" width="9.625" style="183" customWidth="1"/>
    <col min="14582" max="14582" width="7.625" style="183" customWidth="1"/>
    <col min="14583" max="14586" width="0" style="183" hidden="1" customWidth="1"/>
    <col min="14587" max="14587" width="14.375" style="183" customWidth="1"/>
    <col min="14588" max="14593" width="0" style="183" hidden="1" customWidth="1"/>
    <col min="14594" max="14594" width="10.125" style="183" bestFit="1" customWidth="1"/>
    <col min="14595" max="14833" width="9" style="183"/>
    <col min="14834" max="14834" width="75.875" style="183" customWidth="1"/>
    <col min="14835" max="14836" width="7.625" style="183" customWidth="1"/>
    <col min="14837" max="14837" width="9.625" style="183" customWidth="1"/>
    <col min="14838" max="14838" width="7.625" style="183" customWidth="1"/>
    <col min="14839" max="14842" width="0" style="183" hidden="1" customWidth="1"/>
    <col min="14843" max="14843" width="14.375" style="183" customWidth="1"/>
    <col min="14844" max="14849" width="0" style="183" hidden="1" customWidth="1"/>
    <col min="14850" max="14850" width="10.125" style="183" bestFit="1" customWidth="1"/>
    <col min="14851" max="15089" width="9" style="183"/>
    <col min="15090" max="15090" width="75.875" style="183" customWidth="1"/>
    <col min="15091" max="15092" width="7.625" style="183" customWidth="1"/>
    <col min="15093" max="15093" width="9.625" style="183" customWidth="1"/>
    <col min="15094" max="15094" width="7.625" style="183" customWidth="1"/>
    <col min="15095" max="15098" width="0" style="183" hidden="1" customWidth="1"/>
    <col min="15099" max="15099" width="14.375" style="183" customWidth="1"/>
    <col min="15100" max="15105" width="0" style="183" hidden="1" customWidth="1"/>
    <col min="15106" max="15106" width="10.125" style="183" bestFit="1" customWidth="1"/>
    <col min="15107" max="15345" width="9" style="183"/>
    <col min="15346" max="15346" width="75.875" style="183" customWidth="1"/>
    <col min="15347" max="15348" width="7.625" style="183" customWidth="1"/>
    <col min="15349" max="15349" width="9.625" style="183" customWidth="1"/>
    <col min="15350" max="15350" width="7.625" style="183" customWidth="1"/>
    <col min="15351" max="15354" width="0" style="183" hidden="1" customWidth="1"/>
    <col min="15355" max="15355" width="14.375" style="183" customWidth="1"/>
    <col min="15356" max="15361" width="0" style="183" hidden="1" customWidth="1"/>
    <col min="15362" max="15362" width="10.125" style="183" bestFit="1" customWidth="1"/>
    <col min="15363" max="15601" width="9" style="183"/>
    <col min="15602" max="15602" width="75.875" style="183" customWidth="1"/>
    <col min="15603" max="15604" width="7.625" style="183" customWidth="1"/>
    <col min="15605" max="15605" width="9.625" style="183" customWidth="1"/>
    <col min="15606" max="15606" width="7.625" style="183" customWidth="1"/>
    <col min="15607" max="15610" width="0" style="183" hidden="1" customWidth="1"/>
    <col min="15611" max="15611" width="14.375" style="183" customWidth="1"/>
    <col min="15612" max="15617" width="0" style="183" hidden="1" customWidth="1"/>
    <col min="15618" max="15618" width="10.125" style="183" bestFit="1" customWidth="1"/>
    <col min="15619" max="15857" width="9" style="183"/>
    <col min="15858" max="15858" width="75.875" style="183" customWidth="1"/>
    <col min="15859" max="15860" width="7.625" style="183" customWidth="1"/>
    <col min="15861" max="15861" width="9.625" style="183" customWidth="1"/>
    <col min="15862" max="15862" width="7.625" style="183" customWidth="1"/>
    <col min="15863" max="15866" width="0" style="183" hidden="1" customWidth="1"/>
    <col min="15867" max="15867" width="14.375" style="183" customWidth="1"/>
    <col min="15868" max="15873" width="0" style="183" hidden="1" customWidth="1"/>
    <col min="15874" max="15874" width="10.125" style="183" bestFit="1" customWidth="1"/>
    <col min="15875" max="16113" width="9" style="183"/>
    <col min="16114" max="16114" width="75.875" style="183" customWidth="1"/>
    <col min="16115" max="16116" width="7.625" style="183" customWidth="1"/>
    <col min="16117" max="16117" width="9.625" style="183" customWidth="1"/>
    <col min="16118" max="16118" width="7.625" style="183" customWidth="1"/>
    <col min="16119" max="16122" width="0" style="183" hidden="1" customWidth="1"/>
    <col min="16123" max="16123" width="14.375" style="183" customWidth="1"/>
    <col min="16124" max="16129" width="0" style="183" hidden="1" customWidth="1"/>
    <col min="16130" max="16130" width="10.125" style="183" bestFit="1" customWidth="1"/>
    <col min="16131" max="16384" width="9" style="183"/>
  </cols>
  <sheetData>
    <row r="1" spans="1:14" x14ac:dyDescent="0.3">
      <c r="G1" s="197"/>
      <c r="H1" s="197"/>
    </row>
    <row r="2" spans="1:14" x14ac:dyDescent="0.3">
      <c r="G2" s="197"/>
      <c r="H2" s="197"/>
    </row>
    <row r="3" spans="1:14" x14ac:dyDescent="0.3">
      <c r="A3" s="668" t="s">
        <v>236</v>
      </c>
      <c r="B3" s="647"/>
      <c r="C3" s="647"/>
      <c r="D3" s="647"/>
      <c r="E3" s="647"/>
      <c r="F3" s="647"/>
      <c r="G3" s="647"/>
      <c r="H3" s="508"/>
    </row>
    <row r="4" spans="1:14" x14ac:dyDescent="0.3">
      <c r="A4" s="669" t="s">
        <v>1097</v>
      </c>
      <c r="B4" s="654"/>
      <c r="C4" s="654"/>
      <c r="D4" s="654"/>
      <c r="E4" s="654"/>
      <c r="F4" s="654"/>
      <c r="G4" s="654"/>
      <c r="H4" s="507"/>
    </row>
    <row r="5" spans="1:14" x14ac:dyDescent="0.3">
      <c r="A5" s="669" t="s">
        <v>427</v>
      </c>
      <c r="B5" s="654"/>
      <c r="C5" s="654"/>
      <c r="D5" s="654"/>
      <c r="E5" s="654"/>
      <c r="F5" s="654"/>
      <c r="G5" s="654"/>
      <c r="H5" s="507"/>
    </row>
    <row r="6" spans="1:14" x14ac:dyDescent="0.3">
      <c r="A6" s="509"/>
      <c r="B6" s="507"/>
      <c r="C6" s="507"/>
      <c r="D6" s="507"/>
      <c r="E6" s="507"/>
      <c r="F6" s="455"/>
      <c r="G6" s="454" t="s">
        <v>382</v>
      </c>
      <c r="H6" s="454"/>
    </row>
    <row r="7" spans="1:14" ht="63.2" customHeight="1" x14ac:dyDescent="0.3">
      <c r="A7" s="173" t="s">
        <v>0</v>
      </c>
      <c r="B7" s="174" t="s">
        <v>1</v>
      </c>
      <c r="C7" s="174" t="s">
        <v>2</v>
      </c>
      <c r="D7" s="174" t="s">
        <v>3</v>
      </c>
      <c r="E7" s="174" t="s">
        <v>4</v>
      </c>
      <c r="F7" s="456" t="s">
        <v>1101</v>
      </c>
      <c r="G7" s="175" t="s">
        <v>1094</v>
      </c>
      <c r="H7" s="175" t="s">
        <v>1102</v>
      </c>
      <c r="I7" s="457" t="s">
        <v>1098</v>
      </c>
      <c r="J7" s="456" t="s">
        <v>1095</v>
      </c>
      <c r="K7" s="456" t="s">
        <v>1105</v>
      </c>
      <c r="L7" s="456"/>
      <c r="M7" s="456" t="s">
        <v>1096</v>
      </c>
      <c r="N7" s="312" t="s">
        <v>677</v>
      </c>
    </row>
    <row r="8" spans="1:14" s="461" customFormat="1" ht="50.95" x14ac:dyDescent="0.3">
      <c r="A8" s="186" t="s">
        <v>448</v>
      </c>
      <c r="B8" s="458" t="s">
        <v>454</v>
      </c>
      <c r="C8" s="458" t="s">
        <v>5</v>
      </c>
      <c r="D8" s="458" t="s">
        <v>126</v>
      </c>
      <c r="E8" s="458" t="s">
        <v>6</v>
      </c>
      <c r="F8" s="495">
        <f>F9</f>
        <v>8004587.75</v>
      </c>
      <c r="G8" s="459">
        <f>G9</f>
        <v>8251204</v>
      </c>
      <c r="H8" s="460">
        <v>6112546.1100000003</v>
      </c>
      <c r="I8" s="459">
        <f>I9</f>
        <v>8500186.379999999</v>
      </c>
      <c r="J8" s="459">
        <f>J9</f>
        <v>9033233</v>
      </c>
      <c r="K8" s="462">
        <f>J8/G8*100</f>
        <v>109.47775621594134</v>
      </c>
      <c r="L8" s="462">
        <f>J8-G8</f>
        <v>782029</v>
      </c>
      <c r="M8" s="459">
        <f>M9</f>
        <v>9033233</v>
      </c>
      <c r="N8" s="178">
        <f t="shared" ref="N8:N71" si="0">M8-J8</f>
        <v>0</v>
      </c>
    </row>
    <row r="9" spans="1:14" outlineLevel="1" x14ac:dyDescent="0.3">
      <c r="A9" s="189" t="s">
        <v>7</v>
      </c>
      <c r="B9" s="392" t="s">
        <v>454</v>
      </c>
      <c r="C9" s="392" t="s">
        <v>8</v>
      </c>
      <c r="D9" s="392" t="s">
        <v>126</v>
      </c>
      <c r="E9" s="392" t="s">
        <v>6</v>
      </c>
      <c r="F9" s="471">
        <f>F10+F19</f>
        <v>8004587.75</v>
      </c>
      <c r="G9" s="462">
        <f>G10+G19</f>
        <v>8251204</v>
      </c>
      <c r="H9" s="463">
        <v>6112546.1100000003</v>
      </c>
      <c r="I9" s="462">
        <f>I10+I19</f>
        <v>8500186.379999999</v>
      </c>
      <c r="J9" s="462">
        <f>J10+J19</f>
        <v>9033233</v>
      </c>
      <c r="K9" s="462">
        <f t="shared" ref="K9:K72" si="1">J9/G9*100</f>
        <v>109.47775621594134</v>
      </c>
      <c r="L9" s="462">
        <f t="shared" ref="L9:L72" si="2">J9-G9</f>
        <v>782029</v>
      </c>
      <c r="M9" s="462">
        <f>M10+M19</f>
        <v>9033233</v>
      </c>
      <c r="N9" s="178">
        <f t="shared" si="0"/>
        <v>0</v>
      </c>
    </row>
    <row r="10" spans="1:14" ht="39.25" customHeight="1" outlineLevel="2" x14ac:dyDescent="0.3">
      <c r="A10" s="189" t="s">
        <v>9</v>
      </c>
      <c r="B10" s="392" t="s">
        <v>454</v>
      </c>
      <c r="C10" s="392" t="s">
        <v>10</v>
      </c>
      <c r="D10" s="392" t="s">
        <v>126</v>
      </c>
      <c r="E10" s="392" t="s">
        <v>6</v>
      </c>
      <c r="F10" s="471">
        <f>F11</f>
        <v>7452126.75</v>
      </c>
      <c r="G10" s="462">
        <f t="shared" ref="G10:J11" si="3">G11</f>
        <v>7534704</v>
      </c>
      <c r="H10" s="463">
        <v>5469092.1100000003</v>
      </c>
      <c r="I10" s="462">
        <f t="shared" si="3"/>
        <v>7898658.3799999999</v>
      </c>
      <c r="J10" s="462">
        <f t="shared" si="3"/>
        <v>8364034</v>
      </c>
      <c r="K10" s="462">
        <f t="shared" si="1"/>
        <v>111.00680265608311</v>
      </c>
      <c r="L10" s="462">
        <f t="shared" si="2"/>
        <v>829330</v>
      </c>
      <c r="M10" s="462">
        <f t="shared" ref="M10:M11" si="4">M11</f>
        <v>8364034</v>
      </c>
      <c r="N10" s="178">
        <f t="shared" si="0"/>
        <v>0</v>
      </c>
    </row>
    <row r="11" spans="1:14" ht="34" outlineLevel="4" x14ac:dyDescent="0.3">
      <c r="A11" s="189" t="s">
        <v>132</v>
      </c>
      <c r="B11" s="392" t="s">
        <v>454</v>
      </c>
      <c r="C11" s="392" t="s">
        <v>10</v>
      </c>
      <c r="D11" s="392" t="s">
        <v>127</v>
      </c>
      <c r="E11" s="392" t="s">
        <v>6</v>
      </c>
      <c r="F11" s="471">
        <f>F12</f>
        <v>7452126.75</v>
      </c>
      <c r="G11" s="462">
        <f t="shared" si="3"/>
        <v>7534704</v>
      </c>
      <c r="H11" s="463">
        <v>5469092.1100000003</v>
      </c>
      <c r="I11" s="462">
        <f t="shared" si="3"/>
        <v>7898658.3799999999</v>
      </c>
      <c r="J11" s="462">
        <f t="shared" si="3"/>
        <v>8364034</v>
      </c>
      <c r="K11" s="462">
        <f t="shared" si="1"/>
        <v>111.00680265608311</v>
      </c>
      <c r="L11" s="462">
        <f t="shared" si="2"/>
        <v>829330</v>
      </c>
      <c r="M11" s="462">
        <f t="shared" si="4"/>
        <v>8364034</v>
      </c>
      <c r="N11" s="178">
        <f t="shared" si="0"/>
        <v>0</v>
      </c>
    </row>
    <row r="12" spans="1:14" ht="43.5" customHeight="1" outlineLevel="5" x14ac:dyDescent="0.3">
      <c r="A12" s="189" t="s">
        <v>449</v>
      </c>
      <c r="B12" s="392" t="s">
        <v>454</v>
      </c>
      <c r="C12" s="392" t="s">
        <v>10</v>
      </c>
      <c r="D12" s="392" t="s">
        <v>450</v>
      </c>
      <c r="E12" s="392" t="s">
        <v>6</v>
      </c>
      <c r="F12" s="471">
        <f>F13+F15</f>
        <v>7452126.75</v>
      </c>
      <c r="G12" s="462">
        <f>G13+G15+G17</f>
        <v>7534704</v>
      </c>
      <c r="H12" s="463">
        <v>5469092.1100000003</v>
      </c>
      <c r="I12" s="462">
        <f>I13+I15+I17</f>
        <v>7898658.3799999999</v>
      </c>
      <c r="J12" s="462">
        <f>J13+J15+J17</f>
        <v>8364034</v>
      </c>
      <c r="K12" s="462">
        <f t="shared" si="1"/>
        <v>111.00680265608311</v>
      </c>
      <c r="L12" s="462">
        <f t="shared" si="2"/>
        <v>829330</v>
      </c>
      <c r="M12" s="462">
        <f>M13+M15+M17</f>
        <v>8364034</v>
      </c>
      <c r="N12" s="178">
        <f t="shared" si="0"/>
        <v>0</v>
      </c>
    </row>
    <row r="13" spans="1:14" ht="76.75" customHeight="1" outlineLevel="6" x14ac:dyDescent="0.3">
      <c r="A13" s="189" t="s">
        <v>11</v>
      </c>
      <c r="B13" s="392" t="s">
        <v>454</v>
      </c>
      <c r="C13" s="392" t="s">
        <v>10</v>
      </c>
      <c r="D13" s="392" t="s">
        <v>450</v>
      </c>
      <c r="E13" s="392" t="s">
        <v>12</v>
      </c>
      <c r="F13" s="471">
        <f>F14</f>
        <v>7224638.0899999999</v>
      </c>
      <c r="G13" s="462">
        <f>G14</f>
        <v>7311140</v>
      </c>
      <c r="H13" s="463">
        <v>5371932.6600000001</v>
      </c>
      <c r="I13" s="462">
        <f>I14</f>
        <v>7603584.3799999999</v>
      </c>
      <c r="J13" s="462">
        <f>J14</f>
        <v>8098234</v>
      </c>
      <c r="K13" s="462">
        <f t="shared" si="1"/>
        <v>110.7656808650908</v>
      </c>
      <c r="L13" s="462">
        <f t="shared" si="2"/>
        <v>787094</v>
      </c>
      <c r="M13" s="462">
        <f>M14</f>
        <v>8098234</v>
      </c>
      <c r="N13" s="178">
        <f t="shared" si="0"/>
        <v>0</v>
      </c>
    </row>
    <row r="14" spans="1:14" ht="34" outlineLevel="7" x14ac:dyDescent="0.3">
      <c r="A14" s="189" t="s">
        <v>13</v>
      </c>
      <c r="B14" s="392" t="s">
        <v>454</v>
      </c>
      <c r="C14" s="392" t="s">
        <v>10</v>
      </c>
      <c r="D14" s="392" t="s">
        <v>450</v>
      </c>
      <c r="E14" s="392" t="s">
        <v>14</v>
      </c>
      <c r="F14" s="475">
        <v>7224638.0899999999</v>
      </c>
      <c r="G14" s="449">
        <f>'потребность 2023 (5)'!K13</f>
        <v>7311140</v>
      </c>
      <c r="H14" s="463">
        <v>5371932.6600000001</v>
      </c>
      <c r="I14" s="449">
        <f>5839926.56+1763657.82</f>
        <v>7603584.3799999999</v>
      </c>
      <c r="J14" s="449">
        <v>8098234</v>
      </c>
      <c r="K14" s="462">
        <f t="shared" si="1"/>
        <v>110.7656808650908</v>
      </c>
      <c r="L14" s="462">
        <f t="shared" si="2"/>
        <v>787094</v>
      </c>
      <c r="M14" s="449">
        <v>8098234</v>
      </c>
      <c r="N14" s="178">
        <f t="shared" si="0"/>
        <v>0</v>
      </c>
    </row>
    <row r="15" spans="1:14" ht="34" outlineLevel="6" x14ac:dyDescent="0.3">
      <c r="A15" s="189" t="s">
        <v>15</v>
      </c>
      <c r="B15" s="392" t="s">
        <v>454</v>
      </c>
      <c r="C15" s="392" t="s">
        <v>10</v>
      </c>
      <c r="D15" s="392" t="s">
        <v>450</v>
      </c>
      <c r="E15" s="392" t="s">
        <v>16</v>
      </c>
      <c r="F15" s="471">
        <f>F16</f>
        <v>227488.66</v>
      </c>
      <c r="G15" s="462">
        <f>G16</f>
        <v>222564</v>
      </c>
      <c r="H15" s="463">
        <v>97159.45</v>
      </c>
      <c r="I15" s="462">
        <f>I16</f>
        <v>294074</v>
      </c>
      <c r="J15" s="462">
        <f>J16</f>
        <v>264800</v>
      </c>
      <c r="K15" s="462">
        <f t="shared" si="1"/>
        <v>118.97701335346238</v>
      </c>
      <c r="L15" s="462">
        <f t="shared" si="2"/>
        <v>42236</v>
      </c>
      <c r="M15" s="462">
        <f>M16</f>
        <v>264800</v>
      </c>
      <c r="N15" s="178">
        <f t="shared" si="0"/>
        <v>0</v>
      </c>
    </row>
    <row r="16" spans="1:14" ht="34.65" customHeight="1" outlineLevel="7" x14ac:dyDescent="0.3">
      <c r="A16" s="189" t="s">
        <v>17</v>
      </c>
      <c r="B16" s="392" t="s">
        <v>454</v>
      </c>
      <c r="C16" s="392" t="s">
        <v>10</v>
      </c>
      <c r="D16" s="392" t="s">
        <v>450</v>
      </c>
      <c r="E16" s="392" t="s">
        <v>18</v>
      </c>
      <c r="F16" s="496">
        <v>227488.66</v>
      </c>
      <c r="G16" s="449">
        <f>'потребность 2023 (5)'!K15-20000</f>
        <v>222564</v>
      </c>
      <c r="H16" s="463">
        <v>97159.45</v>
      </c>
      <c r="I16" s="449">
        <v>294074</v>
      </c>
      <c r="J16" s="449">
        <v>264800</v>
      </c>
      <c r="K16" s="462">
        <f t="shared" si="1"/>
        <v>118.97701335346238</v>
      </c>
      <c r="L16" s="462">
        <f t="shared" si="2"/>
        <v>42236</v>
      </c>
      <c r="M16" s="449">
        <v>264800</v>
      </c>
      <c r="N16" s="178">
        <f t="shared" si="0"/>
        <v>0</v>
      </c>
    </row>
    <row r="17" spans="1:14" outlineLevel="6" x14ac:dyDescent="0.3">
      <c r="A17" s="189" t="s">
        <v>19</v>
      </c>
      <c r="B17" s="392" t="s">
        <v>454</v>
      </c>
      <c r="C17" s="392" t="s">
        <v>10</v>
      </c>
      <c r="D17" s="392" t="s">
        <v>450</v>
      </c>
      <c r="E17" s="392" t="s">
        <v>20</v>
      </c>
      <c r="F17" s="449">
        <v>0</v>
      </c>
      <c r="G17" s="462">
        <f>G18</f>
        <v>1000</v>
      </c>
      <c r="H17" s="463">
        <v>0</v>
      </c>
      <c r="I17" s="462">
        <f>I18</f>
        <v>1000</v>
      </c>
      <c r="J17" s="462">
        <f>J18</f>
        <v>1000</v>
      </c>
      <c r="K17" s="462">
        <f t="shared" si="1"/>
        <v>100</v>
      </c>
      <c r="L17" s="462">
        <f t="shared" si="2"/>
        <v>0</v>
      </c>
      <c r="M17" s="462">
        <f>M18</f>
        <v>1000</v>
      </c>
      <c r="N17" s="178">
        <f t="shared" si="0"/>
        <v>0</v>
      </c>
    </row>
    <row r="18" spans="1:14" outlineLevel="7" x14ac:dyDescent="0.3">
      <c r="A18" s="189" t="s">
        <v>21</v>
      </c>
      <c r="B18" s="392" t="s">
        <v>454</v>
      </c>
      <c r="C18" s="392" t="s">
        <v>10</v>
      </c>
      <c r="D18" s="392" t="s">
        <v>450</v>
      </c>
      <c r="E18" s="392" t="s">
        <v>22</v>
      </c>
      <c r="F18" s="449">
        <v>0</v>
      </c>
      <c r="G18" s="449">
        <f>'потребность 2023 (5)'!K17</f>
        <v>1000</v>
      </c>
      <c r="H18" s="463">
        <v>0</v>
      </c>
      <c r="I18" s="449">
        <v>1000</v>
      </c>
      <c r="J18" s="449">
        <v>1000</v>
      </c>
      <c r="K18" s="462">
        <f t="shared" si="1"/>
        <v>100</v>
      </c>
      <c r="L18" s="462">
        <f t="shared" si="2"/>
        <v>0</v>
      </c>
      <c r="M18" s="449">
        <v>1000</v>
      </c>
      <c r="N18" s="178">
        <f t="shared" si="0"/>
        <v>0</v>
      </c>
    </row>
    <row r="19" spans="1:14" outlineLevel="2" x14ac:dyDescent="0.3">
      <c r="A19" s="189" t="s">
        <v>23</v>
      </c>
      <c r="B19" s="392" t="s">
        <v>454</v>
      </c>
      <c r="C19" s="392" t="s">
        <v>24</v>
      </c>
      <c r="D19" s="392" t="s">
        <v>126</v>
      </c>
      <c r="E19" s="392" t="s">
        <v>6</v>
      </c>
      <c r="F19" s="471">
        <f>F20+F25</f>
        <v>552461</v>
      </c>
      <c r="G19" s="462">
        <f>G20+G25</f>
        <v>716500</v>
      </c>
      <c r="H19" s="463">
        <v>643454</v>
      </c>
      <c r="I19" s="462">
        <f>I20+I25</f>
        <v>601528</v>
      </c>
      <c r="J19" s="462">
        <f>J20+J25</f>
        <v>669199</v>
      </c>
      <c r="K19" s="462">
        <f t="shared" si="1"/>
        <v>93.398325191905101</v>
      </c>
      <c r="L19" s="462">
        <f t="shared" si="2"/>
        <v>-47301</v>
      </c>
      <c r="M19" s="462">
        <f>M20+M25</f>
        <v>669199</v>
      </c>
      <c r="N19" s="178">
        <f t="shared" si="0"/>
        <v>0</v>
      </c>
    </row>
    <row r="20" spans="1:14" s="224" customFormat="1" ht="39.75" customHeight="1" outlineLevel="3" x14ac:dyDescent="0.3">
      <c r="A20" s="233" t="s">
        <v>1020</v>
      </c>
      <c r="B20" s="397" t="s">
        <v>454</v>
      </c>
      <c r="C20" s="397" t="s">
        <v>24</v>
      </c>
      <c r="D20" s="397" t="s">
        <v>128</v>
      </c>
      <c r="E20" s="397" t="s">
        <v>6</v>
      </c>
      <c r="F20" s="473">
        <f t="shared" ref="F20:J23" si="5">F21</f>
        <v>43445</v>
      </c>
      <c r="G20" s="465">
        <f t="shared" si="5"/>
        <v>60571</v>
      </c>
      <c r="H20" s="463">
        <v>0</v>
      </c>
      <c r="I20" s="465">
        <f t="shared" si="5"/>
        <v>63000</v>
      </c>
      <c r="J20" s="465">
        <f t="shared" si="5"/>
        <v>60571</v>
      </c>
      <c r="K20" s="462">
        <f t="shared" si="1"/>
        <v>100</v>
      </c>
      <c r="L20" s="462">
        <f t="shared" si="2"/>
        <v>0</v>
      </c>
      <c r="M20" s="465">
        <f t="shared" ref="M20:M23" si="6">M21</f>
        <v>60571</v>
      </c>
      <c r="N20" s="178">
        <f t="shared" si="0"/>
        <v>0</v>
      </c>
    </row>
    <row r="21" spans="1:14" ht="39.25" customHeight="1" outlineLevel="4" x14ac:dyDescent="0.3">
      <c r="A21" s="189" t="s">
        <v>748</v>
      </c>
      <c r="B21" s="392" t="s">
        <v>454</v>
      </c>
      <c r="C21" s="392" t="s">
        <v>24</v>
      </c>
      <c r="D21" s="392" t="s">
        <v>303</v>
      </c>
      <c r="E21" s="392" t="s">
        <v>6</v>
      </c>
      <c r="F21" s="471">
        <f t="shared" si="5"/>
        <v>43445</v>
      </c>
      <c r="G21" s="462">
        <f t="shared" si="5"/>
        <v>60571</v>
      </c>
      <c r="H21" s="463">
        <v>0</v>
      </c>
      <c r="I21" s="462">
        <f t="shared" si="5"/>
        <v>63000</v>
      </c>
      <c r="J21" s="462">
        <f t="shared" si="5"/>
        <v>60571</v>
      </c>
      <c r="K21" s="462">
        <f t="shared" si="1"/>
        <v>100</v>
      </c>
      <c r="L21" s="462">
        <f t="shared" si="2"/>
        <v>0</v>
      </c>
      <c r="M21" s="462">
        <f t="shared" si="6"/>
        <v>60571</v>
      </c>
      <c r="N21" s="178">
        <f t="shared" si="0"/>
        <v>0</v>
      </c>
    </row>
    <row r="22" spans="1:14" outlineLevel="5" x14ac:dyDescent="0.3">
      <c r="A22" s="189" t="s">
        <v>309</v>
      </c>
      <c r="B22" s="392" t="s">
        <v>454</v>
      </c>
      <c r="C22" s="392" t="s">
        <v>24</v>
      </c>
      <c r="D22" s="392" t="s">
        <v>304</v>
      </c>
      <c r="E22" s="392" t="s">
        <v>6</v>
      </c>
      <c r="F22" s="471">
        <f t="shared" si="5"/>
        <v>43445</v>
      </c>
      <c r="G22" s="462">
        <f t="shared" si="5"/>
        <v>60571</v>
      </c>
      <c r="H22" s="463">
        <v>0</v>
      </c>
      <c r="I22" s="462">
        <f t="shared" si="5"/>
        <v>63000</v>
      </c>
      <c r="J22" s="462">
        <f t="shared" si="5"/>
        <v>60571</v>
      </c>
      <c r="K22" s="462">
        <f t="shared" si="1"/>
        <v>100</v>
      </c>
      <c r="L22" s="462">
        <f t="shared" si="2"/>
        <v>0</v>
      </c>
      <c r="M22" s="462">
        <f t="shared" si="6"/>
        <v>60571</v>
      </c>
      <c r="N22" s="178">
        <f t="shared" si="0"/>
        <v>0</v>
      </c>
    </row>
    <row r="23" spans="1:14" ht="34" outlineLevel="6" x14ac:dyDescent="0.3">
      <c r="A23" s="189" t="s">
        <v>15</v>
      </c>
      <c r="B23" s="392" t="s">
        <v>454</v>
      </c>
      <c r="C23" s="392" t="s">
        <v>24</v>
      </c>
      <c r="D23" s="392" t="s">
        <v>304</v>
      </c>
      <c r="E23" s="392" t="s">
        <v>16</v>
      </c>
      <c r="F23" s="475">
        <v>43445</v>
      </c>
      <c r="G23" s="462">
        <f t="shared" si="5"/>
        <v>60571</v>
      </c>
      <c r="H23" s="463">
        <v>0</v>
      </c>
      <c r="I23" s="462">
        <f t="shared" si="5"/>
        <v>63000</v>
      </c>
      <c r="J23" s="462">
        <f t="shared" si="5"/>
        <v>60571</v>
      </c>
      <c r="K23" s="462">
        <f t="shared" si="1"/>
        <v>100</v>
      </c>
      <c r="L23" s="462">
        <f t="shared" si="2"/>
        <v>0</v>
      </c>
      <c r="M23" s="462">
        <f t="shared" si="6"/>
        <v>60571</v>
      </c>
      <c r="N23" s="178">
        <f t="shared" si="0"/>
        <v>0</v>
      </c>
    </row>
    <row r="24" spans="1:14" ht="19.55" customHeight="1" outlineLevel="7" x14ac:dyDescent="0.3">
      <c r="A24" s="189" t="s">
        <v>17</v>
      </c>
      <c r="B24" s="392" t="s">
        <v>454</v>
      </c>
      <c r="C24" s="392" t="s">
        <v>24</v>
      </c>
      <c r="D24" s="392" t="s">
        <v>304</v>
      </c>
      <c r="E24" s="392" t="s">
        <v>18</v>
      </c>
      <c r="F24" s="475">
        <v>43445</v>
      </c>
      <c r="G24" s="449">
        <f>'потребность 2023 (5)'!K23</f>
        <v>60571</v>
      </c>
      <c r="H24" s="463">
        <v>0</v>
      </c>
      <c r="I24" s="449">
        <v>63000</v>
      </c>
      <c r="J24" s="449">
        <v>60571</v>
      </c>
      <c r="K24" s="462">
        <f t="shared" si="1"/>
        <v>100</v>
      </c>
      <c r="L24" s="462">
        <f t="shared" si="2"/>
        <v>0</v>
      </c>
      <c r="M24" s="449">
        <v>60571</v>
      </c>
      <c r="N24" s="178">
        <f t="shared" si="0"/>
        <v>0</v>
      </c>
    </row>
    <row r="25" spans="1:14" s="224" customFormat="1" ht="36.700000000000003" customHeight="1" outlineLevel="7" x14ac:dyDescent="0.3">
      <c r="A25" s="233" t="s">
        <v>1028</v>
      </c>
      <c r="B25" s="397" t="s">
        <v>454</v>
      </c>
      <c r="C25" s="392" t="s">
        <v>24</v>
      </c>
      <c r="D25" s="397" t="s">
        <v>305</v>
      </c>
      <c r="E25" s="397" t="s">
        <v>6</v>
      </c>
      <c r="F25" s="477">
        <f t="shared" ref="F25:J28" si="7">F26</f>
        <v>509016</v>
      </c>
      <c r="G25" s="467">
        <f t="shared" si="7"/>
        <v>655929</v>
      </c>
      <c r="H25" s="463">
        <v>643454</v>
      </c>
      <c r="I25" s="467">
        <f t="shared" si="7"/>
        <v>538528</v>
      </c>
      <c r="J25" s="467">
        <f t="shared" si="7"/>
        <v>608628</v>
      </c>
      <c r="K25" s="462">
        <f t="shared" si="1"/>
        <v>92.788701216137724</v>
      </c>
      <c r="L25" s="462">
        <f t="shared" si="2"/>
        <v>-47301</v>
      </c>
      <c r="M25" s="467">
        <f t="shared" ref="M25:M28" si="8">M26</f>
        <v>608628</v>
      </c>
      <c r="N25" s="178">
        <f t="shared" si="0"/>
        <v>0</v>
      </c>
    </row>
    <row r="26" spans="1:14" ht="50.95" outlineLevel="7" x14ac:dyDescent="0.3">
      <c r="A26" s="189" t="s">
        <v>245</v>
      </c>
      <c r="B26" s="392" t="s">
        <v>454</v>
      </c>
      <c r="C26" s="392" t="s">
        <v>24</v>
      </c>
      <c r="D26" s="392" t="s">
        <v>306</v>
      </c>
      <c r="E26" s="392" t="s">
        <v>6</v>
      </c>
      <c r="F26" s="476">
        <f t="shared" si="7"/>
        <v>509016</v>
      </c>
      <c r="G26" s="449">
        <f t="shared" si="7"/>
        <v>655929</v>
      </c>
      <c r="H26" s="463">
        <v>643454</v>
      </c>
      <c r="I26" s="449">
        <f t="shared" si="7"/>
        <v>538528</v>
      </c>
      <c r="J26" s="449">
        <f t="shared" si="7"/>
        <v>608628</v>
      </c>
      <c r="K26" s="462">
        <f t="shared" si="1"/>
        <v>92.788701216137724</v>
      </c>
      <c r="L26" s="462">
        <f t="shared" si="2"/>
        <v>-47301</v>
      </c>
      <c r="M26" s="449">
        <f t="shared" si="8"/>
        <v>608628</v>
      </c>
      <c r="N26" s="178">
        <f t="shared" si="0"/>
        <v>0</v>
      </c>
    </row>
    <row r="27" spans="1:14" ht="39.75" customHeight="1" outlineLevel="5" x14ac:dyDescent="0.3">
      <c r="A27" s="189" t="s">
        <v>25</v>
      </c>
      <c r="B27" s="392" t="s">
        <v>454</v>
      </c>
      <c r="C27" s="392" t="s">
        <v>24</v>
      </c>
      <c r="D27" s="392" t="s">
        <v>317</v>
      </c>
      <c r="E27" s="392" t="s">
        <v>6</v>
      </c>
      <c r="F27" s="471">
        <f t="shared" si="7"/>
        <v>509016</v>
      </c>
      <c r="G27" s="462">
        <f t="shared" si="7"/>
        <v>655929</v>
      </c>
      <c r="H27" s="463">
        <v>643454</v>
      </c>
      <c r="I27" s="462">
        <f t="shared" si="7"/>
        <v>538528</v>
      </c>
      <c r="J27" s="462">
        <f t="shared" si="7"/>
        <v>608628</v>
      </c>
      <c r="K27" s="462">
        <f t="shared" si="1"/>
        <v>92.788701216137724</v>
      </c>
      <c r="L27" s="462">
        <f t="shared" si="2"/>
        <v>-47301</v>
      </c>
      <c r="M27" s="462">
        <f t="shared" si="8"/>
        <v>608628</v>
      </c>
      <c r="N27" s="178">
        <f t="shared" si="0"/>
        <v>0</v>
      </c>
    </row>
    <row r="28" spans="1:14" ht="34" outlineLevel="6" x14ac:dyDescent="0.3">
      <c r="A28" s="189" t="s">
        <v>15</v>
      </c>
      <c r="B28" s="392" t="s">
        <v>454</v>
      </c>
      <c r="C28" s="392" t="s">
        <v>24</v>
      </c>
      <c r="D28" s="392" t="s">
        <v>317</v>
      </c>
      <c r="E28" s="392" t="s">
        <v>16</v>
      </c>
      <c r="F28" s="471">
        <f t="shared" si="7"/>
        <v>509016</v>
      </c>
      <c r="G28" s="462">
        <f t="shared" si="7"/>
        <v>655929</v>
      </c>
      <c r="H28" s="463">
        <v>643454</v>
      </c>
      <c r="I28" s="462">
        <f t="shared" si="7"/>
        <v>538528</v>
      </c>
      <c r="J28" s="462">
        <f t="shared" si="7"/>
        <v>608628</v>
      </c>
      <c r="K28" s="462">
        <f t="shared" si="1"/>
        <v>92.788701216137724</v>
      </c>
      <c r="L28" s="462">
        <f t="shared" si="2"/>
        <v>-47301</v>
      </c>
      <c r="M28" s="462">
        <f t="shared" si="8"/>
        <v>608628</v>
      </c>
      <c r="N28" s="178">
        <f t="shared" si="0"/>
        <v>0</v>
      </c>
    </row>
    <row r="29" spans="1:14" ht="21.25" customHeight="1" outlineLevel="7" x14ac:dyDescent="0.3">
      <c r="A29" s="189" t="s">
        <v>17</v>
      </c>
      <c r="B29" s="392" t="s">
        <v>454</v>
      </c>
      <c r="C29" s="392" t="s">
        <v>24</v>
      </c>
      <c r="D29" s="392" t="s">
        <v>317</v>
      </c>
      <c r="E29" s="392" t="s">
        <v>18</v>
      </c>
      <c r="F29" s="475">
        <v>509016</v>
      </c>
      <c r="G29" s="462">
        <f>'потребность 2023 (5)'!K28+108713</f>
        <v>655929</v>
      </c>
      <c r="H29" s="463">
        <v>643454</v>
      </c>
      <c r="I29" s="462">
        <v>538528</v>
      </c>
      <c r="J29" s="449">
        <v>608628</v>
      </c>
      <c r="K29" s="462">
        <f t="shared" si="1"/>
        <v>92.788701216137724</v>
      </c>
      <c r="L29" s="462">
        <f t="shared" si="2"/>
        <v>-47301</v>
      </c>
      <c r="M29" s="449">
        <v>608628</v>
      </c>
      <c r="N29" s="178">
        <f t="shared" si="0"/>
        <v>0</v>
      </c>
    </row>
    <row r="30" spans="1:14" s="461" customFormat="1" ht="34" x14ac:dyDescent="0.3">
      <c r="A30" s="186" t="s">
        <v>888</v>
      </c>
      <c r="B30" s="458" t="s">
        <v>455</v>
      </c>
      <c r="C30" s="458" t="s">
        <v>5</v>
      </c>
      <c r="D30" s="458" t="s">
        <v>126</v>
      </c>
      <c r="E30" s="458" t="s">
        <v>6</v>
      </c>
      <c r="F30" s="459">
        <f>F31+F160+F170+F229+F325+F341+F358+F401+F486+F452+F181</f>
        <v>250739550.38999993</v>
      </c>
      <c r="G30" s="459">
        <f>G31+G160+G170+G229+G325+G341+G358+G401+G486+G452+G181</f>
        <v>263734885.10999998</v>
      </c>
      <c r="H30" s="460">
        <v>290398495.88999999</v>
      </c>
      <c r="I30" s="459">
        <f>I31+I160+I170+I229+I325+I341+I358+I401+I486+I452+I181</f>
        <v>188307399.69999999</v>
      </c>
      <c r="J30" s="459">
        <f>J31+J160+J170+J229+J325+J341+J358+J401+J486+J452+J181</f>
        <v>284037389.33000004</v>
      </c>
      <c r="K30" s="462">
        <f t="shared" si="1"/>
        <v>107.69807309015347</v>
      </c>
      <c r="L30" s="462">
        <f t="shared" si="2"/>
        <v>20302504.220000058</v>
      </c>
      <c r="M30" s="459">
        <f>M31+M160+M170+M229+M325+M341+M358+M401+M486+M452+M181</f>
        <v>239420183.79000005</v>
      </c>
      <c r="N30" s="178">
        <f t="shared" si="0"/>
        <v>-44617205.539999992</v>
      </c>
    </row>
    <row r="31" spans="1:14" s="224" customFormat="1" outlineLevel="1" x14ac:dyDescent="0.3">
      <c r="A31" s="233" t="s">
        <v>7</v>
      </c>
      <c r="B31" s="397" t="s">
        <v>455</v>
      </c>
      <c r="C31" s="397" t="s">
        <v>8</v>
      </c>
      <c r="D31" s="397" t="s">
        <v>126</v>
      </c>
      <c r="E31" s="397" t="s">
        <v>6</v>
      </c>
      <c r="F31" s="465">
        <f>F32+F37+F44+F50+F60+F55</f>
        <v>98280462.280000001</v>
      </c>
      <c r="G31" s="465">
        <f>G32+G37+G44+G50+G60+G55</f>
        <v>95785583.609999999</v>
      </c>
      <c r="H31" s="460">
        <v>70550900.319999993</v>
      </c>
      <c r="I31" s="465">
        <f>I32+I37+I44+I50+I60+I55</f>
        <v>94305786</v>
      </c>
      <c r="J31" s="465">
        <f>J32+J37+J44+J50+J60+J55</f>
        <v>116569882.58</v>
      </c>
      <c r="K31" s="462">
        <f t="shared" si="1"/>
        <v>121.69877573082941</v>
      </c>
      <c r="L31" s="462">
        <f t="shared" si="2"/>
        <v>20784298.969999999</v>
      </c>
      <c r="M31" s="465">
        <f>M32+M37+M44+M50+M60+M55</f>
        <v>127667185.61</v>
      </c>
      <c r="N31" s="178">
        <f t="shared" si="0"/>
        <v>11097303.030000001</v>
      </c>
    </row>
    <row r="32" spans="1:14" ht="45.7" customHeight="1" outlineLevel="2" x14ac:dyDescent="0.3">
      <c r="A32" s="189" t="s">
        <v>28</v>
      </c>
      <c r="B32" s="392" t="s">
        <v>455</v>
      </c>
      <c r="C32" s="392" t="s">
        <v>29</v>
      </c>
      <c r="D32" s="392" t="s">
        <v>126</v>
      </c>
      <c r="E32" s="392" t="s">
        <v>6</v>
      </c>
      <c r="F32" s="471">
        <f t="shared" ref="F32:J35" si="9">F33</f>
        <v>2665297.4500000002</v>
      </c>
      <c r="G32" s="462">
        <f t="shared" si="9"/>
        <v>2856950</v>
      </c>
      <c r="H32" s="460">
        <v>2405559.86</v>
      </c>
      <c r="I32" s="462">
        <f t="shared" si="9"/>
        <v>2819261</v>
      </c>
      <c r="J32" s="462">
        <f t="shared" si="9"/>
        <v>3140000</v>
      </c>
      <c r="K32" s="462">
        <f t="shared" si="1"/>
        <v>109.90741875076569</v>
      </c>
      <c r="L32" s="462">
        <f t="shared" si="2"/>
        <v>283050</v>
      </c>
      <c r="M32" s="462">
        <f t="shared" ref="M32:M35" si="10">M33</f>
        <v>3140000</v>
      </c>
      <c r="N32" s="178">
        <f t="shared" si="0"/>
        <v>0</v>
      </c>
    </row>
    <row r="33" spans="1:14" ht="34" outlineLevel="3" x14ac:dyDescent="0.3">
      <c r="A33" s="189" t="s">
        <v>132</v>
      </c>
      <c r="B33" s="392" t="s">
        <v>455</v>
      </c>
      <c r="C33" s="392" t="s">
        <v>29</v>
      </c>
      <c r="D33" s="392" t="s">
        <v>127</v>
      </c>
      <c r="E33" s="392" t="s">
        <v>6</v>
      </c>
      <c r="F33" s="471">
        <f t="shared" si="9"/>
        <v>2665297.4500000002</v>
      </c>
      <c r="G33" s="462">
        <f t="shared" si="9"/>
        <v>2856950</v>
      </c>
      <c r="H33" s="460">
        <v>2405559.86</v>
      </c>
      <c r="I33" s="462">
        <f t="shared" si="9"/>
        <v>2819261</v>
      </c>
      <c r="J33" s="462">
        <f t="shared" si="9"/>
        <v>3140000</v>
      </c>
      <c r="K33" s="462">
        <f t="shared" si="1"/>
        <v>109.90741875076569</v>
      </c>
      <c r="L33" s="462">
        <f t="shared" si="2"/>
        <v>283050</v>
      </c>
      <c r="M33" s="462">
        <f t="shared" si="10"/>
        <v>3140000</v>
      </c>
      <c r="N33" s="178">
        <f t="shared" si="0"/>
        <v>0</v>
      </c>
    </row>
    <row r="34" spans="1:14" outlineLevel="5" x14ac:dyDescent="0.3">
      <c r="A34" s="189" t="s">
        <v>451</v>
      </c>
      <c r="B34" s="392" t="s">
        <v>455</v>
      </c>
      <c r="C34" s="392" t="s">
        <v>29</v>
      </c>
      <c r="D34" s="392" t="s">
        <v>452</v>
      </c>
      <c r="E34" s="392" t="s">
        <v>6</v>
      </c>
      <c r="F34" s="471">
        <f t="shared" si="9"/>
        <v>2665297.4500000002</v>
      </c>
      <c r="G34" s="462">
        <f t="shared" si="9"/>
        <v>2856950</v>
      </c>
      <c r="H34" s="460">
        <v>2405559.86</v>
      </c>
      <c r="I34" s="462">
        <f t="shared" si="9"/>
        <v>2819261</v>
      </c>
      <c r="J34" s="462">
        <f t="shared" si="9"/>
        <v>3140000</v>
      </c>
      <c r="K34" s="462">
        <f t="shared" si="1"/>
        <v>109.90741875076569</v>
      </c>
      <c r="L34" s="462">
        <f t="shared" si="2"/>
        <v>283050</v>
      </c>
      <c r="M34" s="462">
        <f t="shared" si="10"/>
        <v>3140000</v>
      </c>
      <c r="N34" s="178">
        <f t="shared" si="0"/>
        <v>0</v>
      </c>
    </row>
    <row r="35" spans="1:14" ht="101.9" outlineLevel="6" x14ac:dyDescent="0.3">
      <c r="A35" s="189" t="s">
        <v>11</v>
      </c>
      <c r="B35" s="392" t="s">
        <v>455</v>
      </c>
      <c r="C35" s="392" t="s">
        <v>29</v>
      </c>
      <c r="D35" s="392" t="s">
        <v>452</v>
      </c>
      <c r="E35" s="392" t="s">
        <v>12</v>
      </c>
      <c r="F35" s="471">
        <f t="shared" si="9"/>
        <v>2665297.4500000002</v>
      </c>
      <c r="G35" s="462">
        <f t="shared" si="9"/>
        <v>2856950</v>
      </c>
      <c r="H35" s="460">
        <v>2405559.86</v>
      </c>
      <c r="I35" s="462">
        <f t="shared" si="9"/>
        <v>2819261</v>
      </c>
      <c r="J35" s="462">
        <f t="shared" si="9"/>
        <v>3140000</v>
      </c>
      <c r="K35" s="462">
        <f t="shared" si="1"/>
        <v>109.90741875076569</v>
      </c>
      <c r="L35" s="462">
        <f t="shared" si="2"/>
        <v>283050</v>
      </c>
      <c r="M35" s="462">
        <f t="shared" si="10"/>
        <v>3140000</v>
      </c>
      <c r="N35" s="178">
        <f t="shared" si="0"/>
        <v>0</v>
      </c>
    </row>
    <row r="36" spans="1:14" ht="34" outlineLevel="7" x14ac:dyDescent="0.3">
      <c r="A36" s="189" t="s">
        <v>13</v>
      </c>
      <c r="B36" s="392" t="s">
        <v>455</v>
      </c>
      <c r="C36" s="392" t="s">
        <v>29</v>
      </c>
      <c r="D36" s="392" t="s">
        <v>452</v>
      </c>
      <c r="E36" s="392" t="s">
        <v>14</v>
      </c>
      <c r="F36" s="475">
        <v>2665297.4500000002</v>
      </c>
      <c r="G36" s="462">
        <f>'потребность 2023 (5)'!K35-189170</f>
        <v>2856950</v>
      </c>
      <c r="H36" s="460">
        <v>2405559.86</v>
      </c>
      <c r="I36" s="462">
        <v>2819261</v>
      </c>
      <c r="J36" s="449">
        <v>3140000</v>
      </c>
      <c r="K36" s="462">
        <f t="shared" si="1"/>
        <v>109.90741875076569</v>
      </c>
      <c r="L36" s="462">
        <f t="shared" si="2"/>
        <v>283050</v>
      </c>
      <c r="M36" s="449">
        <v>3140000</v>
      </c>
      <c r="N36" s="178">
        <f t="shared" si="0"/>
        <v>0</v>
      </c>
    </row>
    <row r="37" spans="1:14" ht="55.2" customHeight="1" outlineLevel="2" x14ac:dyDescent="0.3">
      <c r="A37" s="189" t="s">
        <v>30</v>
      </c>
      <c r="B37" s="392" t="s">
        <v>455</v>
      </c>
      <c r="C37" s="392" t="s">
        <v>31</v>
      </c>
      <c r="D37" s="392" t="s">
        <v>126</v>
      </c>
      <c r="E37" s="392" t="s">
        <v>6</v>
      </c>
      <c r="F37" s="471">
        <f>F38</f>
        <v>20389387.09</v>
      </c>
      <c r="G37" s="462">
        <f t="shared" ref="G37:J38" si="11">G38</f>
        <v>23294985</v>
      </c>
      <c r="H37" s="460">
        <v>15146482.289999999</v>
      </c>
      <c r="I37" s="462">
        <f t="shared" si="11"/>
        <v>24468530</v>
      </c>
      <c r="J37" s="462">
        <f t="shared" si="11"/>
        <v>26575000</v>
      </c>
      <c r="K37" s="462">
        <f t="shared" si="1"/>
        <v>114.08034819511582</v>
      </c>
      <c r="L37" s="462">
        <f t="shared" si="2"/>
        <v>3280015</v>
      </c>
      <c r="M37" s="462">
        <f t="shared" ref="M37:M38" si="12">M38</f>
        <v>25575000</v>
      </c>
      <c r="N37" s="178">
        <f t="shared" si="0"/>
        <v>-1000000</v>
      </c>
    </row>
    <row r="38" spans="1:14" ht="34" outlineLevel="3" x14ac:dyDescent="0.3">
      <c r="A38" s="189" t="s">
        <v>132</v>
      </c>
      <c r="B38" s="392" t="s">
        <v>455</v>
      </c>
      <c r="C38" s="392" t="s">
        <v>31</v>
      </c>
      <c r="D38" s="392" t="s">
        <v>127</v>
      </c>
      <c r="E38" s="392" t="s">
        <v>6</v>
      </c>
      <c r="F38" s="471">
        <f>F39</f>
        <v>20389387.09</v>
      </c>
      <c r="G38" s="462">
        <f t="shared" si="11"/>
        <v>23294985</v>
      </c>
      <c r="H38" s="460">
        <v>15146482.289999999</v>
      </c>
      <c r="I38" s="462">
        <f t="shared" si="11"/>
        <v>24468530</v>
      </c>
      <c r="J38" s="462">
        <f t="shared" si="11"/>
        <v>26575000</v>
      </c>
      <c r="K38" s="462">
        <f t="shared" si="1"/>
        <v>114.08034819511582</v>
      </c>
      <c r="L38" s="462">
        <f t="shared" si="2"/>
        <v>3280015</v>
      </c>
      <c r="M38" s="462">
        <f t="shared" si="12"/>
        <v>25575000</v>
      </c>
      <c r="N38" s="178">
        <f t="shared" si="0"/>
        <v>-1000000</v>
      </c>
    </row>
    <row r="39" spans="1:14" ht="46.55" customHeight="1" outlineLevel="5" x14ac:dyDescent="0.3">
      <c r="A39" s="189" t="s">
        <v>449</v>
      </c>
      <c r="B39" s="392" t="s">
        <v>455</v>
      </c>
      <c r="C39" s="392" t="s">
        <v>31</v>
      </c>
      <c r="D39" s="392" t="s">
        <v>450</v>
      </c>
      <c r="E39" s="392" t="s">
        <v>6</v>
      </c>
      <c r="F39" s="471">
        <f>F40+F42</f>
        <v>20389387.09</v>
      </c>
      <c r="G39" s="462">
        <f>G40+G42</f>
        <v>23294985</v>
      </c>
      <c r="H39" s="460">
        <v>15146482.289999999</v>
      </c>
      <c r="I39" s="462">
        <f>I40+I42</f>
        <v>24468530</v>
      </c>
      <c r="J39" s="462">
        <f>J40+J42</f>
        <v>26575000</v>
      </c>
      <c r="K39" s="462">
        <f t="shared" si="1"/>
        <v>114.08034819511582</v>
      </c>
      <c r="L39" s="462">
        <f t="shared" si="2"/>
        <v>3280015</v>
      </c>
      <c r="M39" s="462">
        <f>M40+M42</f>
        <v>25575000</v>
      </c>
      <c r="N39" s="178">
        <f t="shared" si="0"/>
        <v>-1000000</v>
      </c>
    </row>
    <row r="40" spans="1:14" ht="101.9" outlineLevel="6" x14ac:dyDescent="0.3">
      <c r="A40" s="189" t="s">
        <v>11</v>
      </c>
      <c r="B40" s="392" t="s">
        <v>455</v>
      </c>
      <c r="C40" s="392" t="s">
        <v>31</v>
      </c>
      <c r="D40" s="392" t="s">
        <v>450</v>
      </c>
      <c r="E40" s="392" t="s">
        <v>12</v>
      </c>
      <c r="F40" s="471">
        <f>F41</f>
        <v>20270358.07</v>
      </c>
      <c r="G40" s="462">
        <f>G41</f>
        <v>23192985</v>
      </c>
      <c r="H40" s="460">
        <v>15091682.59</v>
      </c>
      <c r="I40" s="462">
        <f>I41</f>
        <v>24366530</v>
      </c>
      <c r="J40" s="462">
        <f>J41</f>
        <v>26470000</v>
      </c>
      <c r="K40" s="462">
        <f t="shared" si="1"/>
        <v>114.12933695253112</v>
      </c>
      <c r="L40" s="462">
        <f t="shared" si="2"/>
        <v>3277015</v>
      </c>
      <c r="M40" s="462">
        <f>M41</f>
        <v>25470000</v>
      </c>
      <c r="N40" s="178">
        <f t="shared" si="0"/>
        <v>-1000000</v>
      </c>
    </row>
    <row r="41" spans="1:14" ht="34" outlineLevel="7" x14ac:dyDescent="0.3">
      <c r="A41" s="189" t="s">
        <v>13</v>
      </c>
      <c r="B41" s="392" t="s">
        <v>455</v>
      </c>
      <c r="C41" s="392" t="s">
        <v>31</v>
      </c>
      <c r="D41" s="392" t="s">
        <v>450</v>
      </c>
      <c r="E41" s="392" t="s">
        <v>14</v>
      </c>
      <c r="F41" s="475">
        <v>20270358.07</v>
      </c>
      <c r="G41" s="449">
        <f>'потребность 2023 (5)'!K40</f>
        <v>23192985</v>
      </c>
      <c r="H41" s="460">
        <v>15091682.59</v>
      </c>
      <c r="I41" s="449">
        <f>24866530-500000</f>
        <v>24366530</v>
      </c>
      <c r="J41" s="449">
        <v>26470000</v>
      </c>
      <c r="K41" s="462">
        <f t="shared" si="1"/>
        <v>114.12933695253112</v>
      </c>
      <c r="L41" s="462">
        <f t="shared" si="2"/>
        <v>3277015</v>
      </c>
      <c r="M41" s="449">
        <f>26470000-1000000</f>
        <v>25470000</v>
      </c>
      <c r="N41" s="178">
        <f t="shared" si="0"/>
        <v>-1000000</v>
      </c>
    </row>
    <row r="42" spans="1:14" ht="34" outlineLevel="6" x14ac:dyDescent="0.3">
      <c r="A42" s="189" t="s">
        <v>15</v>
      </c>
      <c r="B42" s="392" t="s">
        <v>455</v>
      </c>
      <c r="C42" s="392" t="s">
        <v>31</v>
      </c>
      <c r="D42" s="392" t="s">
        <v>450</v>
      </c>
      <c r="E42" s="392" t="s">
        <v>16</v>
      </c>
      <c r="F42" s="471">
        <f>F43</f>
        <v>119029.02</v>
      </c>
      <c r="G42" s="462">
        <f>G43</f>
        <v>102000</v>
      </c>
      <c r="H42" s="460">
        <v>54799.7</v>
      </c>
      <c r="I42" s="462">
        <f>I43</f>
        <v>102000</v>
      </c>
      <c r="J42" s="462">
        <f>J43</f>
        <v>105000</v>
      </c>
      <c r="K42" s="462">
        <f t="shared" si="1"/>
        <v>102.94117647058823</v>
      </c>
      <c r="L42" s="462">
        <f t="shared" si="2"/>
        <v>3000</v>
      </c>
      <c r="M42" s="462">
        <f>M43</f>
        <v>105000</v>
      </c>
      <c r="N42" s="178">
        <f t="shared" si="0"/>
        <v>0</v>
      </c>
    </row>
    <row r="43" spans="1:14" ht="21.25" customHeight="1" outlineLevel="7" x14ac:dyDescent="0.3">
      <c r="A43" s="189" t="s">
        <v>17</v>
      </c>
      <c r="B43" s="392" t="s">
        <v>455</v>
      </c>
      <c r="C43" s="392" t="s">
        <v>31</v>
      </c>
      <c r="D43" s="392" t="s">
        <v>450</v>
      </c>
      <c r="E43" s="392" t="s">
        <v>18</v>
      </c>
      <c r="F43" s="475">
        <v>119029.02</v>
      </c>
      <c r="G43" s="449">
        <f>'потребность 2023 (5)'!K42</f>
        <v>102000</v>
      </c>
      <c r="H43" s="460">
        <v>54799.7</v>
      </c>
      <c r="I43" s="449">
        <v>102000</v>
      </c>
      <c r="J43" s="449">
        <v>105000</v>
      </c>
      <c r="K43" s="462">
        <f t="shared" si="1"/>
        <v>102.94117647058823</v>
      </c>
      <c r="L43" s="462">
        <f t="shared" si="2"/>
        <v>3000</v>
      </c>
      <c r="M43" s="449">
        <v>105000</v>
      </c>
      <c r="N43" s="178">
        <f t="shared" si="0"/>
        <v>0</v>
      </c>
    </row>
    <row r="44" spans="1:14" outlineLevel="7" x14ac:dyDescent="0.3">
      <c r="A44" s="189" t="s">
        <v>254</v>
      </c>
      <c r="B44" s="392" t="s">
        <v>455</v>
      </c>
      <c r="C44" s="392" t="s">
        <v>255</v>
      </c>
      <c r="D44" s="392" t="s">
        <v>126</v>
      </c>
      <c r="E44" s="392" t="s">
        <v>6</v>
      </c>
      <c r="F44" s="476">
        <f>F45</f>
        <v>0</v>
      </c>
      <c r="G44" s="449">
        <f>G45</f>
        <v>0</v>
      </c>
      <c r="H44" s="460"/>
      <c r="I44" s="449">
        <f>I45</f>
        <v>0</v>
      </c>
      <c r="J44" s="449">
        <f>J45</f>
        <v>0</v>
      </c>
      <c r="K44" s="462" t="e">
        <f t="shared" si="1"/>
        <v>#DIV/0!</v>
      </c>
      <c r="L44" s="462">
        <f t="shared" si="2"/>
        <v>0</v>
      </c>
      <c r="M44" s="449">
        <f>M45</f>
        <v>0</v>
      </c>
      <c r="N44" s="178">
        <f t="shared" si="0"/>
        <v>0</v>
      </c>
    </row>
    <row r="45" spans="1:14" ht="34" outlineLevel="7" x14ac:dyDescent="0.3">
      <c r="A45" s="189" t="s">
        <v>132</v>
      </c>
      <c r="B45" s="392" t="s">
        <v>455</v>
      </c>
      <c r="C45" s="392" t="s">
        <v>255</v>
      </c>
      <c r="D45" s="392" t="s">
        <v>127</v>
      </c>
      <c r="E45" s="392" t="s">
        <v>6</v>
      </c>
      <c r="F45" s="476">
        <f>F47</f>
        <v>0</v>
      </c>
      <c r="G45" s="449">
        <f>G47</f>
        <v>0</v>
      </c>
      <c r="H45" s="460"/>
      <c r="I45" s="449">
        <f>I47</f>
        <v>0</v>
      </c>
      <c r="J45" s="449">
        <f>J47</f>
        <v>0</v>
      </c>
      <c r="K45" s="462" t="e">
        <f t="shared" si="1"/>
        <v>#DIV/0!</v>
      </c>
      <c r="L45" s="462">
        <f t="shared" si="2"/>
        <v>0</v>
      </c>
      <c r="M45" s="449">
        <f>M47</f>
        <v>0</v>
      </c>
      <c r="N45" s="178">
        <f t="shared" si="0"/>
        <v>0</v>
      </c>
    </row>
    <row r="46" spans="1:14" ht="34" outlineLevel="7" x14ac:dyDescent="0.3">
      <c r="A46" s="189" t="s">
        <v>269</v>
      </c>
      <c r="B46" s="392" t="s">
        <v>455</v>
      </c>
      <c r="C46" s="392" t="s">
        <v>255</v>
      </c>
      <c r="D46" s="392" t="s">
        <v>268</v>
      </c>
      <c r="E46" s="392" t="s">
        <v>6</v>
      </c>
      <c r="F46" s="476">
        <f t="shared" ref="F46:J48" si="13">F47</f>
        <v>0</v>
      </c>
      <c r="G46" s="449">
        <f t="shared" si="13"/>
        <v>0</v>
      </c>
      <c r="H46" s="460"/>
      <c r="I46" s="449">
        <f t="shared" si="13"/>
        <v>0</v>
      </c>
      <c r="J46" s="449">
        <f t="shared" si="13"/>
        <v>0</v>
      </c>
      <c r="K46" s="462" t="e">
        <f t="shared" si="1"/>
        <v>#DIV/0!</v>
      </c>
      <c r="L46" s="462">
        <f t="shared" si="2"/>
        <v>0</v>
      </c>
      <c r="M46" s="449">
        <f t="shared" ref="M46:M48" si="14">M47</f>
        <v>0</v>
      </c>
      <c r="N46" s="178">
        <f t="shared" si="0"/>
        <v>0</v>
      </c>
    </row>
    <row r="47" spans="1:14" ht="41.45" customHeight="1" outlineLevel="7" x14ac:dyDescent="0.3">
      <c r="A47" s="189" t="s">
        <v>932</v>
      </c>
      <c r="B47" s="392" t="s">
        <v>455</v>
      </c>
      <c r="C47" s="392" t="s">
        <v>255</v>
      </c>
      <c r="D47" s="392" t="s">
        <v>277</v>
      </c>
      <c r="E47" s="392" t="s">
        <v>6</v>
      </c>
      <c r="F47" s="476">
        <f t="shared" si="13"/>
        <v>0</v>
      </c>
      <c r="G47" s="449">
        <f t="shared" si="13"/>
        <v>0</v>
      </c>
      <c r="H47" s="460"/>
      <c r="I47" s="449">
        <f t="shared" si="13"/>
        <v>0</v>
      </c>
      <c r="J47" s="449">
        <f t="shared" si="13"/>
        <v>0</v>
      </c>
      <c r="K47" s="462" t="e">
        <f t="shared" si="1"/>
        <v>#DIV/0!</v>
      </c>
      <c r="L47" s="462">
        <f t="shared" si="2"/>
        <v>0</v>
      </c>
      <c r="M47" s="449">
        <f t="shared" si="14"/>
        <v>0</v>
      </c>
      <c r="N47" s="178">
        <f t="shared" si="0"/>
        <v>0</v>
      </c>
    </row>
    <row r="48" spans="1:14" ht="34" outlineLevel="7" x14ac:dyDescent="0.3">
      <c r="A48" s="189" t="s">
        <v>15</v>
      </c>
      <c r="B48" s="392" t="s">
        <v>455</v>
      </c>
      <c r="C48" s="392" t="s">
        <v>255</v>
      </c>
      <c r="D48" s="392" t="s">
        <v>277</v>
      </c>
      <c r="E48" s="392" t="s">
        <v>16</v>
      </c>
      <c r="F48" s="476">
        <f t="shared" si="13"/>
        <v>0</v>
      </c>
      <c r="G48" s="449">
        <f t="shared" si="13"/>
        <v>0</v>
      </c>
      <c r="H48" s="460"/>
      <c r="I48" s="449">
        <f t="shared" si="13"/>
        <v>0</v>
      </c>
      <c r="J48" s="449">
        <f t="shared" si="13"/>
        <v>0</v>
      </c>
      <c r="K48" s="462" t="e">
        <f t="shared" si="1"/>
        <v>#DIV/0!</v>
      </c>
      <c r="L48" s="462">
        <f t="shared" si="2"/>
        <v>0</v>
      </c>
      <c r="M48" s="449">
        <f t="shared" si="14"/>
        <v>0</v>
      </c>
      <c r="N48" s="178">
        <f t="shared" si="0"/>
        <v>0</v>
      </c>
    </row>
    <row r="49" spans="1:14" ht="19.55" customHeight="1" outlineLevel="7" x14ac:dyDescent="0.3">
      <c r="A49" s="189" t="s">
        <v>17</v>
      </c>
      <c r="B49" s="392" t="s">
        <v>455</v>
      </c>
      <c r="C49" s="392" t="s">
        <v>255</v>
      </c>
      <c r="D49" s="392" t="s">
        <v>277</v>
      </c>
      <c r="E49" s="392" t="s">
        <v>18</v>
      </c>
      <c r="F49" s="475">
        <f>183414-183414</f>
        <v>0</v>
      </c>
      <c r="G49" s="462">
        <f>4037-4037</f>
        <v>0</v>
      </c>
      <c r="H49" s="460"/>
      <c r="I49" s="462">
        <f>4237-4237</f>
        <v>0</v>
      </c>
      <c r="J49" s="449"/>
      <c r="K49" s="462" t="e">
        <f t="shared" si="1"/>
        <v>#DIV/0!</v>
      </c>
      <c r="L49" s="462">
        <f t="shared" si="2"/>
        <v>0</v>
      </c>
      <c r="M49" s="449"/>
      <c r="N49" s="178">
        <f t="shared" si="0"/>
        <v>0</v>
      </c>
    </row>
    <row r="50" spans="1:14" ht="36.700000000000003" customHeight="1" outlineLevel="2" x14ac:dyDescent="0.3">
      <c r="A50" s="189" t="s">
        <v>9</v>
      </c>
      <c r="B50" s="392" t="s">
        <v>455</v>
      </c>
      <c r="C50" s="392" t="s">
        <v>10</v>
      </c>
      <c r="D50" s="392" t="s">
        <v>126</v>
      </c>
      <c r="E50" s="392" t="s">
        <v>6</v>
      </c>
      <c r="F50" s="471">
        <f t="shared" ref="F50:J53" si="15">F51</f>
        <v>734304.84</v>
      </c>
      <c r="G50" s="462">
        <f t="shared" si="15"/>
        <v>845370</v>
      </c>
      <c r="H50" s="460">
        <v>491632.01</v>
      </c>
      <c r="I50" s="462">
        <f t="shared" si="15"/>
        <v>866195</v>
      </c>
      <c r="J50" s="462">
        <f t="shared" si="15"/>
        <v>910350</v>
      </c>
      <c r="K50" s="462">
        <f t="shared" si="1"/>
        <v>107.68657510912381</v>
      </c>
      <c r="L50" s="462">
        <f t="shared" si="2"/>
        <v>64980</v>
      </c>
      <c r="M50" s="462">
        <f t="shared" ref="M50:M53" si="16">M51</f>
        <v>910350</v>
      </c>
      <c r="N50" s="178">
        <f t="shared" si="0"/>
        <v>0</v>
      </c>
    </row>
    <row r="51" spans="1:14" ht="34" outlineLevel="4" x14ac:dyDescent="0.3">
      <c r="A51" s="189" t="s">
        <v>132</v>
      </c>
      <c r="B51" s="392" t="s">
        <v>455</v>
      </c>
      <c r="C51" s="392" t="s">
        <v>10</v>
      </c>
      <c r="D51" s="392" t="s">
        <v>127</v>
      </c>
      <c r="E51" s="392" t="s">
        <v>6</v>
      </c>
      <c r="F51" s="471">
        <f t="shared" si="15"/>
        <v>734304.84</v>
      </c>
      <c r="G51" s="462">
        <f t="shared" si="15"/>
        <v>845370</v>
      </c>
      <c r="H51" s="460">
        <v>491632.01</v>
      </c>
      <c r="I51" s="462">
        <f t="shared" si="15"/>
        <v>866195</v>
      </c>
      <c r="J51" s="462">
        <f t="shared" si="15"/>
        <v>910350</v>
      </c>
      <c r="K51" s="462">
        <f t="shared" si="1"/>
        <v>107.68657510912381</v>
      </c>
      <c r="L51" s="462">
        <f t="shared" si="2"/>
        <v>64980</v>
      </c>
      <c r="M51" s="462">
        <f t="shared" si="16"/>
        <v>910350</v>
      </c>
      <c r="N51" s="178">
        <f t="shared" si="0"/>
        <v>0</v>
      </c>
    </row>
    <row r="52" spans="1:14" ht="34" outlineLevel="5" x14ac:dyDescent="0.3">
      <c r="A52" s="189" t="s">
        <v>453</v>
      </c>
      <c r="B52" s="392" t="s">
        <v>455</v>
      </c>
      <c r="C52" s="392" t="s">
        <v>10</v>
      </c>
      <c r="D52" s="392" t="s">
        <v>491</v>
      </c>
      <c r="E52" s="392" t="s">
        <v>6</v>
      </c>
      <c r="F52" s="471">
        <f t="shared" si="15"/>
        <v>734304.84</v>
      </c>
      <c r="G52" s="462">
        <f t="shared" si="15"/>
        <v>845370</v>
      </c>
      <c r="H52" s="460">
        <v>491632.01</v>
      </c>
      <c r="I52" s="462">
        <f t="shared" si="15"/>
        <v>866195</v>
      </c>
      <c r="J52" s="462">
        <f t="shared" si="15"/>
        <v>910350</v>
      </c>
      <c r="K52" s="462">
        <f t="shared" si="1"/>
        <v>107.68657510912381</v>
      </c>
      <c r="L52" s="462">
        <f t="shared" si="2"/>
        <v>64980</v>
      </c>
      <c r="M52" s="462">
        <f t="shared" si="16"/>
        <v>910350</v>
      </c>
      <c r="N52" s="178">
        <f t="shared" si="0"/>
        <v>0</v>
      </c>
    </row>
    <row r="53" spans="1:14" ht="101.9" outlineLevel="6" x14ac:dyDescent="0.3">
      <c r="A53" s="189" t="s">
        <v>11</v>
      </c>
      <c r="B53" s="392" t="s">
        <v>455</v>
      </c>
      <c r="C53" s="392" t="s">
        <v>10</v>
      </c>
      <c r="D53" s="392" t="s">
        <v>491</v>
      </c>
      <c r="E53" s="392" t="s">
        <v>12</v>
      </c>
      <c r="F53" s="471">
        <f t="shared" si="15"/>
        <v>734304.84</v>
      </c>
      <c r="G53" s="462">
        <f t="shared" si="15"/>
        <v>845370</v>
      </c>
      <c r="H53" s="460">
        <v>491632.01</v>
      </c>
      <c r="I53" s="462">
        <f t="shared" si="15"/>
        <v>866195</v>
      </c>
      <c r="J53" s="462">
        <f t="shared" si="15"/>
        <v>910350</v>
      </c>
      <c r="K53" s="462">
        <f t="shared" si="1"/>
        <v>107.68657510912381</v>
      </c>
      <c r="L53" s="462">
        <f t="shared" si="2"/>
        <v>64980</v>
      </c>
      <c r="M53" s="462">
        <f t="shared" si="16"/>
        <v>910350</v>
      </c>
      <c r="N53" s="178">
        <f t="shared" si="0"/>
        <v>0</v>
      </c>
    </row>
    <row r="54" spans="1:14" ht="34" outlineLevel="7" x14ac:dyDescent="0.3">
      <c r="A54" s="189" t="s">
        <v>13</v>
      </c>
      <c r="B54" s="392" t="s">
        <v>455</v>
      </c>
      <c r="C54" s="392" t="s">
        <v>10</v>
      </c>
      <c r="D54" s="392" t="s">
        <v>491</v>
      </c>
      <c r="E54" s="392" t="s">
        <v>14</v>
      </c>
      <c r="F54" s="475">
        <v>734304.84</v>
      </c>
      <c r="G54" s="462">
        <f>'потребность 2023 (5)'!K53</f>
        <v>845370</v>
      </c>
      <c r="H54" s="460">
        <v>491632.01</v>
      </c>
      <c r="I54" s="462">
        <v>866195</v>
      </c>
      <c r="J54" s="449">
        <v>910350</v>
      </c>
      <c r="K54" s="462">
        <f t="shared" si="1"/>
        <v>107.68657510912381</v>
      </c>
      <c r="L54" s="462">
        <f t="shared" si="2"/>
        <v>64980</v>
      </c>
      <c r="M54" s="449">
        <v>910350</v>
      </c>
      <c r="N54" s="178">
        <f t="shared" si="0"/>
        <v>0</v>
      </c>
    </row>
    <row r="55" spans="1:14" outlineLevel="7" x14ac:dyDescent="0.3">
      <c r="A55" s="189" t="s">
        <v>630</v>
      </c>
      <c r="B55" s="392" t="s">
        <v>455</v>
      </c>
      <c r="C55" s="392" t="s">
        <v>627</v>
      </c>
      <c r="D55" s="392" t="s">
        <v>126</v>
      </c>
      <c r="E55" s="392" t="s">
        <v>6</v>
      </c>
      <c r="F55" s="471">
        <f t="shared" ref="F55:J58" si="17">F56</f>
        <v>0</v>
      </c>
      <c r="G55" s="462">
        <f t="shared" si="17"/>
        <v>1203178</v>
      </c>
      <c r="H55" s="460">
        <v>0</v>
      </c>
      <c r="I55" s="462">
        <f t="shared" si="17"/>
        <v>0</v>
      </c>
      <c r="J55" s="462">
        <f t="shared" si="17"/>
        <v>0</v>
      </c>
      <c r="K55" s="462">
        <f t="shared" si="1"/>
        <v>0</v>
      </c>
      <c r="L55" s="462">
        <f t="shared" si="2"/>
        <v>-1203178</v>
      </c>
      <c r="M55" s="462">
        <f t="shared" ref="M55:M58" si="18">M56</f>
        <v>21790303.030000001</v>
      </c>
      <c r="N55" s="178">
        <f t="shared" si="0"/>
        <v>21790303.030000001</v>
      </c>
    </row>
    <row r="56" spans="1:14" ht="34" outlineLevel="7" x14ac:dyDescent="0.3">
      <c r="A56" s="189" t="s">
        <v>132</v>
      </c>
      <c r="B56" s="392" t="s">
        <v>455</v>
      </c>
      <c r="C56" s="392" t="s">
        <v>627</v>
      </c>
      <c r="D56" s="392" t="s">
        <v>127</v>
      </c>
      <c r="E56" s="392" t="s">
        <v>6</v>
      </c>
      <c r="F56" s="471">
        <f t="shared" si="17"/>
        <v>0</v>
      </c>
      <c r="G56" s="462">
        <f t="shared" si="17"/>
        <v>1203178</v>
      </c>
      <c r="H56" s="460">
        <v>0</v>
      </c>
      <c r="I56" s="462">
        <f t="shared" si="17"/>
        <v>0</v>
      </c>
      <c r="J56" s="462">
        <f t="shared" si="17"/>
        <v>0</v>
      </c>
      <c r="K56" s="462">
        <f t="shared" si="1"/>
        <v>0</v>
      </c>
      <c r="L56" s="462">
        <f t="shared" si="2"/>
        <v>-1203178</v>
      </c>
      <c r="M56" s="462">
        <f t="shared" si="18"/>
        <v>21790303.030000001</v>
      </c>
      <c r="N56" s="178">
        <f t="shared" si="0"/>
        <v>21790303.030000001</v>
      </c>
    </row>
    <row r="57" spans="1:14" ht="34" outlineLevel="7" x14ac:dyDescent="0.3">
      <c r="A57" s="189" t="s">
        <v>480</v>
      </c>
      <c r="B57" s="392" t="s">
        <v>455</v>
      </c>
      <c r="C57" s="392" t="s">
        <v>627</v>
      </c>
      <c r="D57" s="392" t="s">
        <v>493</v>
      </c>
      <c r="E57" s="392" t="s">
        <v>6</v>
      </c>
      <c r="F57" s="471">
        <f t="shared" si="17"/>
        <v>0</v>
      </c>
      <c r="G57" s="462">
        <f t="shared" si="17"/>
        <v>1203178</v>
      </c>
      <c r="H57" s="460">
        <v>0</v>
      </c>
      <c r="I57" s="462">
        <f t="shared" si="17"/>
        <v>0</v>
      </c>
      <c r="J57" s="462">
        <f t="shared" si="17"/>
        <v>0</v>
      </c>
      <c r="K57" s="462">
        <f t="shared" si="1"/>
        <v>0</v>
      </c>
      <c r="L57" s="462">
        <f t="shared" si="2"/>
        <v>-1203178</v>
      </c>
      <c r="M57" s="462">
        <f t="shared" si="18"/>
        <v>21790303.030000001</v>
      </c>
      <c r="N57" s="178">
        <f t="shared" si="0"/>
        <v>21790303.030000001</v>
      </c>
    </row>
    <row r="58" spans="1:14" outlineLevel="7" x14ac:dyDescent="0.3">
      <c r="A58" s="189" t="s">
        <v>19</v>
      </c>
      <c r="B58" s="392" t="s">
        <v>455</v>
      </c>
      <c r="C58" s="392" t="s">
        <v>627</v>
      </c>
      <c r="D58" s="392" t="s">
        <v>493</v>
      </c>
      <c r="E58" s="392" t="s">
        <v>20</v>
      </c>
      <c r="F58" s="471">
        <f t="shared" si="17"/>
        <v>0</v>
      </c>
      <c r="G58" s="462">
        <f t="shared" si="17"/>
        <v>1203178</v>
      </c>
      <c r="H58" s="460">
        <v>0</v>
      </c>
      <c r="I58" s="462">
        <f t="shared" si="17"/>
        <v>0</v>
      </c>
      <c r="J58" s="462">
        <f t="shared" si="17"/>
        <v>0</v>
      </c>
      <c r="K58" s="462">
        <f t="shared" si="1"/>
        <v>0</v>
      </c>
      <c r="L58" s="462">
        <f t="shared" si="2"/>
        <v>-1203178</v>
      </c>
      <c r="M58" s="462">
        <f t="shared" si="18"/>
        <v>21790303.030000001</v>
      </c>
      <c r="N58" s="178">
        <f t="shared" si="0"/>
        <v>21790303.030000001</v>
      </c>
    </row>
    <row r="59" spans="1:14" outlineLevel="7" x14ac:dyDescent="0.3">
      <c r="A59" s="189" t="s">
        <v>628</v>
      </c>
      <c r="B59" s="392" t="s">
        <v>455</v>
      </c>
      <c r="C59" s="392" t="s">
        <v>627</v>
      </c>
      <c r="D59" s="392" t="s">
        <v>493</v>
      </c>
      <c r="E59" s="392" t="s">
        <v>626</v>
      </c>
      <c r="F59" s="486">
        <v>0</v>
      </c>
      <c r="G59" s="462">
        <f>'потребность 2023 (5)'!K58-11954830+1686281.63-150000-1500000+38518.75+3954429.37-204428.22-1400000-2350001.15-100000+1140000+43207.62</f>
        <v>1203178</v>
      </c>
      <c r="H59" s="460">
        <v>0</v>
      </c>
      <c r="I59" s="462">
        <v>0</v>
      </c>
      <c r="J59" s="449">
        <v>0</v>
      </c>
      <c r="K59" s="462">
        <f t="shared" si="1"/>
        <v>0</v>
      </c>
      <c r="L59" s="462">
        <f t="shared" si="2"/>
        <v>-1203178</v>
      </c>
      <c r="M59" s="449">
        <f>22030303.03-240000</f>
        <v>21790303.030000001</v>
      </c>
      <c r="N59" s="178">
        <f t="shared" si="0"/>
        <v>21790303.030000001</v>
      </c>
    </row>
    <row r="60" spans="1:14" outlineLevel="2" x14ac:dyDescent="0.3">
      <c r="A60" s="189" t="s">
        <v>23</v>
      </c>
      <c r="B60" s="392" t="s">
        <v>455</v>
      </c>
      <c r="C60" s="392" t="s">
        <v>24</v>
      </c>
      <c r="D60" s="392" t="s">
        <v>126</v>
      </c>
      <c r="E60" s="392" t="s">
        <v>6</v>
      </c>
      <c r="F60" s="462">
        <f>F61+F86+F99+F91+F113+F108</f>
        <v>74491472.900000006</v>
      </c>
      <c r="G60" s="462">
        <f>G61+G86+G99+G91+G113+G108</f>
        <v>67585100.609999999</v>
      </c>
      <c r="H60" s="460">
        <v>52503189.159999996</v>
      </c>
      <c r="I60" s="462">
        <f>I61+I86+I99+I91+I113+I108</f>
        <v>66151800</v>
      </c>
      <c r="J60" s="462">
        <f>J61+J86+J99+J91+J113+J108</f>
        <v>85944532.579999998</v>
      </c>
      <c r="K60" s="462">
        <f t="shared" si="1"/>
        <v>127.1649103194255</v>
      </c>
      <c r="L60" s="462">
        <f t="shared" si="2"/>
        <v>18359431.969999999</v>
      </c>
      <c r="M60" s="462">
        <f>M61+M86+M99+M91+M113+M108</f>
        <v>76251532.579999998</v>
      </c>
      <c r="N60" s="178">
        <f t="shared" si="0"/>
        <v>-9693000</v>
      </c>
    </row>
    <row r="61" spans="1:14" s="224" customFormat="1" ht="31.95" customHeight="1" outlineLevel="3" x14ac:dyDescent="0.3">
      <c r="A61" s="233" t="s">
        <v>1029</v>
      </c>
      <c r="B61" s="397" t="s">
        <v>455</v>
      </c>
      <c r="C61" s="397" t="s">
        <v>24</v>
      </c>
      <c r="D61" s="397" t="s">
        <v>128</v>
      </c>
      <c r="E61" s="397" t="s">
        <v>6</v>
      </c>
      <c r="F61" s="465">
        <f>F62+F72+F80</f>
        <v>21657159.349999998</v>
      </c>
      <c r="G61" s="465">
        <f>G62+G72+G80</f>
        <v>24836153</v>
      </c>
      <c r="H61" s="460">
        <v>16056571.76</v>
      </c>
      <c r="I61" s="465">
        <f>I62+I72+I80</f>
        <v>25008695</v>
      </c>
      <c r="J61" s="465">
        <f>J62+J72+J80</f>
        <v>29555680</v>
      </c>
      <c r="K61" s="462">
        <f t="shared" si="1"/>
        <v>119.00264908176399</v>
      </c>
      <c r="L61" s="462">
        <f t="shared" si="2"/>
        <v>4719527</v>
      </c>
      <c r="M61" s="465">
        <f>M62+M72+M80</f>
        <v>28323680</v>
      </c>
      <c r="N61" s="178">
        <f t="shared" si="0"/>
        <v>-1232000</v>
      </c>
    </row>
    <row r="62" spans="1:14" ht="39.25" customHeight="1" outlineLevel="7" x14ac:dyDescent="0.3">
      <c r="A62" s="189" t="s">
        <v>729</v>
      </c>
      <c r="B62" s="392" t="s">
        <v>455</v>
      </c>
      <c r="C62" s="392" t="s">
        <v>24</v>
      </c>
      <c r="D62" s="392" t="s">
        <v>303</v>
      </c>
      <c r="E62" s="392" t="s">
        <v>6</v>
      </c>
      <c r="F62" s="476">
        <f>F63+F66</f>
        <v>669907.97</v>
      </c>
      <c r="G62" s="449">
        <f>G63+G66+G69</f>
        <v>974385</v>
      </c>
      <c r="H62" s="460">
        <v>189125</v>
      </c>
      <c r="I62" s="449">
        <f>I63+I66+I69</f>
        <v>845385</v>
      </c>
      <c r="J62" s="449">
        <f>J63+J66+J69</f>
        <v>920385</v>
      </c>
      <c r="K62" s="462">
        <f t="shared" si="1"/>
        <v>94.458042765436659</v>
      </c>
      <c r="L62" s="462">
        <f t="shared" si="2"/>
        <v>-54000</v>
      </c>
      <c r="M62" s="449">
        <f>M63+M66+M69</f>
        <v>920385</v>
      </c>
      <c r="N62" s="178">
        <f t="shared" si="0"/>
        <v>0</v>
      </c>
    </row>
    <row r="63" spans="1:14" outlineLevel="7" x14ac:dyDescent="0.3">
      <c r="A63" s="189" t="s">
        <v>309</v>
      </c>
      <c r="B63" s="392" t="s">
        <v>455</v>
      </c>
      <c r="C63" s="392" t="s">
        <v>24</v>
      </c>
      <c r="D63" s="392" t="s">
        <v>304</v>
      </c>
      <c r="E63" s="392" t="s">
        <v>6</v>
      </c>
      <c r="F63" s="476">
        <f>F64</f>
        <v>571182.97</v>
      </c>
      <c r="G63" s="449">
        <f t="shared" ref="G63:J64" si="19">G64</f>
        <v>745385</v>
      </c>
      <c r="H63" s="460">
        <v>9100</v>
      </c>
      <c r="I63" s="449">
        <f t="shared" si="19"/>
        <v>745385</v>
      </c>
      <c r="J63" s="449">
        <f t="shared" si="19"/>
        <v>745385</v>
      </c>
      <c r="K63" s="462">
        <f t="shared" si="1"/>
        <v>100</v>
      </c>
      <c r="L63" s="462">
        <f t="shared" si="2"/>
        <v>0</v>
      </c>
      <c r="M63" s="449">
        <f t="shared" ref="M63:M64" si="20">M64</f>
        <v>745385</v>
      </c>
      <c r="N63" s="178">
        <f t="shared" si="0"/>
        <v>0</v>
      </c>
    </row>
    <row r="64" spans="1:14" ht="34" outlineLevel="7" x14ac:dyDescent="0.3">
      <c r="A64" s="189" t="s">
        <v>15</v>
      </c>
      <c r="B64" s="392" t="s">
        <v>455</v>
      </c>
      <c r="C64" s="392" t="s">
        <v>24</v>
      </c>
      <c r="D64" s="392" t="s">
        <v>304</v>
      </c>
      <c r="E64" s="392" t="s">
        <v>16</v>
      </c>
      <c r="F64" s="471">
        <f>F65</f>
        <v>571182.97</v>
      </c>
      <c r="G64" s="462">
        <f t="shared" si="19"/>
        <v>745385</v>
      </c>
      <c r="H64" s="460">
        <v>9100</v>
      </c>
      <c r="I64" s="462">
        <f t="shared" si="19"/>
        <v>745385</v>
      </c>
      <c r="J64" s="462">
        <f t="shared" si="19"/>
        <v>745385</v>
      </c>
      <c r="K64" s="462">
        <f t="shared" si="1"/>
        <v>100</v>
      </c>
      <c r="L64" s="462">
        <f t="shared" si="2"/>
        <v>0</v>
      </c>
      <c r="M64" s="462">
        <f t="shared" si="20"/>
        <v>745385</v>
      </c>
      <c r="N64" s="178">
        <f t="shared" si="0"/>
        <v>0</v>
      </c>
    </row>
    <row r="65" spans="1:14" ht="21.25" customHeight="1" outlineLevel="7" x14ac:dyDescent="0.3">
      <c r="A65" s="189" t="s">
        <v>17</v>
      </c>
      <c r="B65" s="392" t="s">
        <v>455</v>
      </c>
      <c r="C65" s="392" t="s">
        <v>24</v>
      </c>
      <c r="D65" s="392" t="s">
        <v>304</v>
      </c>
      <c r="E65" s="392" t="s">
        <v>18</v>
      </c>
      <c r="F65" s="475">
        <v>571182.97</v>
      </c>
      <c r="G65" s="449">
        <f>'потребность 2023 (5)'!K64</f>
        <v>745385</v>
      </c>
      <c r="H65" s="460">
        <v>9100</v>
      </c>
      <c r="I65" s="449">
        <v>745385</v>
      </c>
      <c r="J65" s="449">
        <v>745385</v>
      </c>
      <c r="K65" s="462">
        <f t="shared" si="1"/>
        <v>100</v>
      </c>
      <c r="L65" s="462">
        <f t="shared" si="2"/>
        <v>0</v>
      </c>
      <c r="M65" s="449">
        <v>745385</v>
      </c>
      <c r="N65" s="178">
        <f t="shared" si="0"/>
        <v>0</v>
      </c>
    </row>
    <row r="66" spans="1:14" ht="34" outlineLevel="7" x14ac:dyDescent="0.3">
      <c r="A66" s="189" t="s">
        <v>310</v>
      </c>
      <c r="B66" s="392" t="s">
        <v>455</v>
      </c>
      <c r="C66" s="392" t="s">
        <v>24</v>
      </c>
      <c r="D66" s="392" t="s">
        <v>311</v>
      </c>
      <c r="E66" s="392" t="s">
        <v>6</v>
      </c>
      <c r="F66" s="476">
        <f>F67</f>
        <v>98725</v>
      </c>
      <c r="G66" s="449">
        <f t="shared" ref="G66:J67" si="21">G67</f>
        <v>165000</v>
      </c>
      <c r="H66" s="460">
        <v>117700</v>
      </c>
      <c r="I66" s="449">
        <f t="shared" si="21"/>
        <v>100000</v>
      </c>
      <c r="J66" s="449">
        <f t="shared" si="21"/>
        <v>165000</v>
      </c>
      <c r="K66" s="462">
        <f t="shared" si="1"/>
        <v>100</v>
      </c>
      <c r="L66" s="462">
        <f t="shared" si="2"/>
        <v>0</v>
      </c>
      <c r="M66" s="449">
        <f t="shared" ref="M66:M67" si="22">M67</f>
        <v>165000</v>
      </c>
      <c r="N66" s="178">
        <f t="shared" si="0"/>
        <v>0</v>
      </c>
    </row>
    <row r="67" spans="1:14" ht="34" outlineLevel="7" x14ac:dyDescent="0.3">
      <c r="A67" s="189" t="s">
        <v>15</v>
      </c>
      <c r="B67" s="392" t="s">
        <v>455</v>
      </c>
      <c r="C67" s="392" t="s">
        <v>24</v>
      </c>
      <c r="D67" s="392" t="s">
        <v>311</v>
      </c>
      <c r="E67" s="392" t="s">
        <v>16</v>
      </c>
      <c r="F67" s="471">
        <f>F68</f>
        <v>98725</v>
      </c>
      <c r="G67" s="462">
        <f t="shared" si="21"/>
        <v>165000</v>
      </c>
      <c r="H67" s="460">
        <v>117700</v>
      </c>
      <c r="I67" s="462">
        <f t="shared" si="21"/>
        <v>100000</v>
      </c>
      <c r="J67" s="462">
        <f t="shared" si="21"/>
        <v>165000</v>
      </c>
      <c r="K67" s="462">
        <f t="shared" si="1"/>
        <v>100</v>
      </c>
      <c r="L67" s="462">
        <f t="shared" si="2"/>
        <v>0</v>
      </c>
      <c r="M67" s="462">
        <f t="shared" si="22"/>
        <v>165000</v>
      </c>
      <c r="N67" s="178">
        <f t="shared" si="0"/>
        <v>0</v>
      </c>
    </row>
    <row r="68" spans="1:14" ht="19.55" customHeight="1" outlineLevel="7" x14ac:dyDescent="0.3">
      <c r="A68" s="189" t="s">
        <v>17</v>
      </c>
      <c r="B68" s="392" t="s">
        <v>455</v>
      </c>
      <c r="C68" s="392" t="s">
        <v>24</v>
      </c>
      <c r="D68" s="392" t="s">
        <v>311</v>
      </c>
      <c r="E68" s="392" t="s">
        <v>18</v>
      </c>
      <c r="F68" s="475">
        <v>98725</v>
      </c>
      <c r="G68" s="462">
        <f>'потребность 2023 (5)'!K67+65000</f>
        <v>165000</v>
      </c>
      <c r="H68" s="460">
        <v>117700</v>
      </c>
      <c r="I68" s="462">
        <v>100000</v>
      </c>
      <c r="J68" s="449">
        <v>165000</v>
      </c>
      <c r="K68" s="462">
        <f t="shared" si="1"/>
        <v>100</v>
      </c>
      <c r="L68" s="462">
        <f t="shared" si="2"/>
        <v>0</v>
      </c>
      <c r="M68" s="449">
        <v>165000</v>
      </c>
      <c r="N68" s="178">
        <f t="shared" si="0"/>
        <v>0</v>
      </c>
    </row>
    <row r="69" spans="1:14" ht="19.55" customHeight="1" outlineLevel="7" x14ac:dyDescent="0.3">
      <c r="A69" s="189" t="s">
        <v>1045</v>
      </c>
      <c r="B69" s="392" t="s">
        <v>455</v>
      </c>
      <c r="C69" s="392" t="s">
        <v>24</v>
      </c>
      <c r="D69" s="392" t="s">
        <v>1046</v>
      </c>
      <c r="E69" s="392" t="s">
        <v>6</v>
      </c>
      <c r="F69" s="462">
        <v>0</v>
      </c>
      <c r="G69" s="462">
        <f t="shared" ref="G69:J70" si="23">G70</f>
        <v>64000</v>
      </c>
      <c r="H69" s="460">
        <v>62325</v>
      </c>
      <c r="I69" s="462">
        <f t="shared" si="23"/>
        <v>0</v>
      </c>
      <c r="J69" s="462">
        <f t="shared" si="23"/>
        <v>10000</v>
      </c>
      <c r="K69" s="462">
        <f t="shared" si="1"/>
        <v>15.625</v>
      </c>
      <c r="L69" s="462">
        <f t="shared" si="2"/>
        <v>-54000</v>
      </c>
      <c r="M69" s="462">
        <f t="shared" ref="M69:M70" si="24">M70</f>
        <v>10000</v>
      </c>
      <c r="N69" s="178">
        <f t="shared" si="0"/>
        <v>0</v>
      </c>
    </row>
    <row r="70" spans="1:14" ht="19.55" customHeight="1" outlineLevel="7" x14ac:dyDescent="0.3">
      <c r="A70" s="189" t="s">
        <v>15</v>
      </c>
      <c r="B70" s="392" t="s">
        <v>455</v>
      </c>
      <c r="C70" s="392" t="s">
        <v>24</v>
      </c>
      <c r="D70" s="392" t="s">
        <v>1046</v>
      </c>
      <c r="E70" s="392" t="s">
        <v>16</v>
      </c>
      <c r="F70" s="462">
        <v>0</v>
      </c>
      <c r="G70" s="462">
        <f t="shared" si="23"/>
        <v>64000</v>
      </c>
      <c r="H70" s="460">
        <v>62325</v>
      </c>
      <c r="I70" s="462">
        <f t="shared" si="23"/>
        <v>0</v>
      </c>
      <c r="J70" s="462">
        <f t="shared" si="23"/>
        <v>10000</v>
      </c>
      <c r="K70" s="462">
        <f t="shared" si="1"/>
        <v>15.625</v>
      </c>
      <c r="L70" s="462">
        <f t="shared" si="2"/>
        <v>-54000</v>
      </c>
      <c r="M70" s="462">
        <f t="shared" si="24"/>
        <v>10000</v>
      </c>
      <c r="N70" s="178">
        <f t="shared" si="0"/>
        <v>0</v>
      </c>
    </row>
    <row r="71" spans="1:14" ht="19.55" customHeight="1" outlineLevel="7" x14ac:dyDescent="0.3">
      <c r="A71" s="189" t="s">
        <v>17</v>
      </c>
      <c r="B71" s="392" t="s">
        <v>455</v>
      </c>
      <c r="C71" s="392" t="s">
        <v>24</v>
      </c>
      <c r="D71" s="392" t="s">
        <v>1046</v>
      </c>
      <c r="E71" s="392" t="s">
        <v>18</v>
      </c>
      <c r="F71" s="462">
        <v>0</v>
      </c>
      <c r="G71" s="462">
        <v>64000</v>
      </c>
      <c r="H71" s="460">
        <v>62325</v>
      </c>
      <c r="I71" s="462">
        <v>0</v>
      </c>
      <c r="J71" s="449">
        <v>10000</v>
      </c>
      <c r="K71" s="462">
        <f t="shared" si="1"/>
        <v>15.625</v>
      </c>
      <c r="L71" s="462">
        <f t="shared" si="2"/>
        <v>-54000</v>
      </c>
      <c r="M71" s="449">
        <v>10000</v>
      </c>
      <c r="N71" s="178">
        <f t="shared" si="0"/>
        <v>0</v>
      </c>
    </row>
    <row r="72" spans="1:14" ht="36.700000000000003" customHeight="1" outlineLevel="7" x14ac:dyDescent="0.3">
      <c r="A72" s="189" t="s">
        <v>213</v>
      </c>
      <c r="B72" s="392" t="s">
        <v>455</v>
      </c>
      <c r="C72" s="392" t="s">
        <v>24</v>
      </c>
      <c r="D72" s="392" t="s">
        <v>228</v>
      </c>
      <c r="E72" s="392" t="s">
        <v>6</v>
      </c>
      <c r="F72" s="476">
        <f>F73</f>
        <v>19725044.52</v>
      </c>
      <c r="G72" s="449">
        <f>G73</f>
        <v>22504328</v>
      </c>
      <c r="H72" s="460">
        <v>15104391.08</v>
      </c>
      <c r="I72" s="449">
        <f>I73</f>
        <v>22712210</v>
      </c>
      <c r="J72" s="449">
        <f>J73</f>
        <v>27171451</v>
      </c>
      <c r="K72" s="462">
        <f t="shared" si="1"/>
        <v>120.73877966940402</v>
      </c>
      <c r="L72" s="462">
        <f t="shared" si="2"/>
        <v>4667123</v>
      </c>
      <c r="M72" s="449">
        <f>M73</f>
        <v>25939451</v>
      </c>
      <c r="N72" s="178">
        <f t="shared" ref="N72:N135" si="25">M72-J72</f>
        <v>-1232000</v>
      </c>
    </row>
    <row r="73" spans="1:14" ht="50.95" outlineLevel="5" x14ac:dyDescent="0.3">
      <c r="A73" s="189" t="s">
        <v>33</v>
      </c>
      <c r="B73" s="392" t="s">
        <v>455</v>
      </c>
      <c r="C73" s="392" t="s">
        <v>24</v>
      </c>
      <c r="D73" s="392" t="s">
        <v>130</v>
      </c>
      <c r="E73" s="392" t="s">
        <v>6</v>
      </c>
      <c r="F73" s="471">
        <f>F74+F76+F78</f>
        <v>19725044.52</v>
      </c>
      <c r="G73" s="462">
        <f>G74+G76+G78</f>
        <v>22504328</v>
      </c>
      <c r="H73" s="460">
        <v>15104391.08</v>
      </c>
      <c r="I73" s="462">
        <f>I74+I76+I78</f>
        <v>22712210</v>
      </c>
      <c r="J73" s="462">
        <f>J74+J76+J78</f>
        <v>27171451</v>
      </c>
      <c r="K73" s="462">
        <f t="shared" ref="K73:K136" si="26">J73/G73*100</f>
        <v>120.73877966940402</v>
      </c>
      <c r="L73" s="462">
        <f t="shared" ref="L73:L136" si="27">J73-G73</f>
        <v>4667123</v>
      </c>
      <c r="M73" s="462">
        <f>M74+M76+M78</f>
        <v>25939451</v>
      </c>
      <c r="N73" s="178">
        <f t="shared" si="25"/>
        <v>-1232000</v>
      </c>
    </row>
    <row r="74" spans="1:14" ht="59.1" customHeight="1" outlineLevel="6" x14ac:dyDescent="0.3">
      <c r="A74" s="189" t="s">
        <v>11</v>
      </c>
      <c r="B74" s="392" t="s">
        <v>455</v>
      </c>
      <c r="C74" s="392" t="s">
        <v>24</v>
      </c>
      <c r="D74" s="392" t="s">
        <v>130</v>
      </c>
      <c r="E74" s="392" t="s">
        <v>12</v>
      </c>
      <c r="F74" s="471">
        <f>F75</f>
        <v>11022220.449999999</v>
      </c>
      <c r="G74" s="462">
        <f>G75</f>
        <v>11899000</v>
      </c>
      <c r="H74" s="460">
        <v>8830623.4600000009</v>
      </c>
      <c r="I74" s="462">
        <f>I75</f>
        <v>11824960</v>
      </c>
      <c r="J74" s="462">
        <f>J75</f>
        <v>14815450</v>
      </c>
      <c r="K74" s="462">
        <f t="shared" si="26"/>
        <v>124.5100428607446</v>
      </c>
      <c r="L74" s="462">
        <f t="shared" si="27"/>
        <v>2916450</v>
      </c>
      <c r="M74" s="462">
        <f>M75</f>
        <v>14815450</v>
      </c>
      <c r="N74" s="178">
        <f t="shared" si="25"/>
        <v>0</v>
      </c>
    </row>
    <row r="75" spans="1:14" ht="34" outlineLevel="7" x14ac:dyDescent="0.3">
      <c r="A75" s="189" t="s">
        <v>34</v>
      </c>
      <c r="B75" s="392" t="s">
        <v>455</v>
      </c>
      <c r="C75" s="392" t="s">
        <v>24</v>
      </c>
      <c r="D75" s="392" t="s">
        <v>130</v>
      </c>
      <c r="E75" s="392" t="s">
        <v>35</v>
      </c>
      <c r="F75" s="475">
        <v>11022220.449999999</v>
      </c>
      <c r="G75" s="449">
        <f>'потребность 2023 (5)'!K71</f>
        <v>11899000</v>
      </c>
      <c r="H75" s="460">
        <v>8830623.4600000009</v>
      </c>
      <c r="I75" s="449">
        <v>11824960</v>
      </c>
      <c r="J75" s="449">
        <v>14815450</v>
      </c>
      <c r="K75" s="462">
        <f t="shared" si="26"/>
        <v>124.5100428607446</v>
      </c>
      <c r="L75" s="462">
        <f t="shared" si="27"/>
        <v>2916450</v>
      </c>
      <c r="M75" s="449">
        <v>14815450</v>
      </c>
      <c r="N75" s="178">
        <f t="shared" si="25"/>
        <v>0</v>
      </c>
    </row>
    <row r="76" spans="1:14" ht="34" outlineLevel="6" x14ac:dyDescent="0.3">
      <c r="A76" s="189" t="s">
        <v>15</v>
      </c>
      <c r="B76" s="392" t="s">
        <v>455</v>
      </c>
      <c r="C76" s="392" t="s">
        <v>24</v>
      </c>
      <c r="D76" s="392" t="s">
        <v>130</v>
      </c>
      <c r="E76" s="392" t="s">
        <v>16</v>
      </c>
      <c r="F76" s="471">
        <f>F77</f>
        <v>8365496.1900000004</v>
      </c>
      <c r="G76" s="462">
        <f>G77</f>
        <v>9836820</v>
      </c>
      <c r="H76" s="460">
        <v>5718839.3399999999</v>
      </c>
      <c r="I76" s="462">
        <f>I77</f>
        <v>10088000</v>
      </c>
      <c r="J76" s="462">
        <f>J77</f>
        <v>11556753</v>
      </c>
      <c r="K76" s="462">
        <f t="shared" si="26"/>
        <v>117.48464442777239</v>
      </c>
      <c r="L76" s="462">
        <f t="shared" si="27"/>
        <v>1719933</v>
      </c>
      <c r="M76" s="462">
        <f>M77</f>
        <v>10324753</v>
      </c>
      <c r="N76" s="178">
        <f t="shared" si="25"/>
        <v>-1232000</v>
      </c>
    </row>
    <row r="77" spans="1:14" ht="21.25" customHeight="1" outlineLevel="7" x14ac:dyDescent="0.3">
      <c r="A77" s="189" t="s">
        <v>17</v>
      </c>
      <c r="B77" s="392" t="s">
        <v>455</v>
      </c>
      <c r="C77" s="392" t="s">
        <v>24</v>
      </c>
      <c r="D77" s="392" t="s">
        <v>130</v>
      </c>
      <c r="E77" s="392" t="s">
        <v>18</v>
      </c>
      <c r="F77" s="475">
        <v>8365496.1900000004</v>
      </c>
      <c r="G77" s="449">
        <f>'потребность 2023 (5)'!K73+88000</f>
        <v>9836820</v>
      </c>
      <c r="H77" s="460">
        <v>5718839.3399999999</v>
      </c>
      <c r="I77" s="449">
        <v>10088000</v>
      </c>
      <c r="J77" s="449">
        <v>11556753</v>
      </c>
      <c r="K77" s="462">
        <f t="shared" si="26"/>
        <v>117.48464442777239</v>
      </c>
      <c r="L77" s="462">
        <f t="shared" si="27"/>
        <v>1719933</v>
      </c>
      <c r="M77" s="449">
        <f>11556753-160000-156000-495000-421000</f>
        <v>10324753</v>
      </c>
      <c r="N77" s="178">
        <f t="shared" si="25"/>
        <v>-1232000</v>
      </c>
    </row>
    <row r="78" spans="1:14" outlineLevel="6" x14ac:dyDescent="0.3">
      <c r="A78" s="189" t="s">
        <v>19</v>
      </c>
      <c r="B78" s="392" t="s">
        <v>455</v>
      </c>
      <c r="C78" s="392" t="s">
        <v>24</v>
      </c>
      <c r="D78" s="392" t="s">
        <v>130</v>
      </c>
      <c r="E78" s="392" t="s">
        <v>20</v>
      </c>
      <c r="F78" s="475">
        <v>337327.88</v>
      </c>
      <c r="G78" s="462">
        <f>G79</f>
        <v>768508</v>
      </c>
      <c r="H78" s="460">
        <v>554928.28</v>
      </c>
      <c r="I78" s="462">
        <f>I79</f>
        <v>799250</v>
      </c>
      <c r="J78" s="462">
        <f>J79</f>
        <v>799248</v>
      </c>
      <c r="K78" s="462">
        <f t="shared" si="26"/>
        <v>103.99995836087588</v>
      </c>
      <c r="L78" s="462">
        <f t="shared" si="27"/>
        <v>30740</v>
      </c>
      <c r="M78" s="462">
        <f>M79</f>
        <v>799248</v>
      </c>
      <c r="N78" s="178">
        <f t="shared" si="25"/>
        <v>0</v>
      </c>
    </row>
    <row r="79" spans="1:14" outlineLevel="7" x14ac:dyDescent="0.3">
      <c r="A79" s="189" t="s">
        <v>21</v>
      </c>
      <c r="B79" s="392" t="s">
        <v>455</v>
      </c>
      <c r="C79" s="392" t="s">
        <v>24</v>
      </c>
      <c r="D79" s="392" t="s">
        <v>130</v>
      </c>
      <c r="E79" s="392" t="s">
        <v>22</v>
      </c>
      <c r="F79" s="475">
        <v>337327.88</v>
      </c>
      <c r="G79" s="449">
        <f>'потребность 2023 (5)'!K75</f>
        <v>768508</v>
      </c>
      <c r="H79" s="460">
        <v>554928.28</v>
      </c>
      <c r="I79" s="449">
        <v>799250</v>
      </c>
      <c r="J79" s="449">
        <v>799248</v>
      </c>
      <c r="K79" s="462">
        <f t="shared" si="26"/>
        <v>103.99995836087588</v>
      </c>
      <c r="L79" s="462">
        <f t="shared" si="27"/>
        <v>30740</v>
      </c>
      <c r="M79" s="449">
        <v>799248</v>
      </c>
      <c r="N79" s="178">
        <f t="shared" si="25"/>
        <v>0</v>
      </c>
    </row>
    <row r="80" spans="1:14" ht="17.5" customHeight="1" outlineLevel="7" x14ac:dyDescent="0.3">
      <c r="A80" s="189" t="s">
        <v>670</v>
      </c>
      <c r="B80" s="392" t="s">
        <v>455</v>
      </c>
      <c r="C80" s="392" t="s">
        <v>24</v>
      </c>
      <c r="D80" s="392" t="s">
        <v>624</v>
      </c>
      <c r="E80" s="392" t="s">
        <v>6</v>
      </c>
      <c r="F80" s="471">
        <f>F81</f>
        <v>1262206.8600000001</v>
      </c>
      <c r="G80" s="462">
        <f>G81</f>
        <v>1357440</v>
      </c>
      <c r="H80" s="460">
        <v>763055.68</v>
      </c>
      <c r="I80" s="462">
        <f>I81</f>
        <v>1451100</v>
      </c>
      <c r="J80" s="462">
        <f>J81</f>
        <v>1463844</v>
      </c>
      <c r="K80" s="462">
        <f t="shared" si="26"/>
        <v>107.83857850070721</v>
      </c>
      <c r="L80" s="462">
        <f t="shared" si="27"/>
        <v>106404</v>
      </c>
      <c r="M80" s="462">
        <f>M81</f>
        <v>1463844</v>
      </c>
      <c r="N80" s="178">
        <f t="shared" si="25"/>
        <v>0</v>
      </c>
    </row>
    <row r="81" spans="1:14" ht="50.95" outlineLevel="7" x14ac:dyDescent="0.3">
      <c r="A81" s="189" t="s">
        <v>622</v>
      </c>
      <c r="B81" s="392" t="s">
        <v>455</v>
      </c>
      <c r="C81" s="392" t="s">
        <v>24</v>
      </c>
      <c r="D81" s="392" t="s">
        <v>621</v>
      </c>
      <c r="E81" s="392" t="s">
        <v>6</v>
      </c>
      <c r="F81" s="471">
        <f>F84+F82</f>
        <v>1262206.8600000001</v>
      </c>
      <c r="G81" s="462">
        <f>G84+G82</f>
        <v>1357440</v>
      </c>
      <c r="H81" s="460">
        <v>763055.68</v>
      </c>
      <c r="I81" s="462">
        <f>I84+I82</f>
        <v>1451100</v>
      </c>
      <c r="J81" s="462">
        <f>J84+J82</f>
        <v>1463844</v>
      </c>
      <c r="K81" s="462">
        <f t="shared" si="26"/>
        <v>107.83857850070721</v>
      </c>
      <c r="L81" s="462">
        <f t="shared" si="27"/>
        <v>106404</v>
      </c>
      <c r="M81" s="462">
        <f>M84+M82</f>
        <v>1463844</v>
      </c>
      <c r="N81" s="178">
        <f t="shared" si="25"/>
        <v>0</v>
      </c>
    </row>
    <row r="82" spans="1:14" ht="101.9" outlineLevel="7" x14ac:dyDescent="0.3">
      <c r="A82" s="189" t="s">
        <v>11</v>
      </c>
      <c r="B82" s="392" t="s">
        <v>455</v>
      </c>
      <c r="C82" s="392" t="s">
        <v>24</v>
      </c>
      <c r="D82" s="392" t="s">
        <v>621</v>
      </c>
      <c r="E82" s="392" t="s">
        <v>12</v>
      </c>
      <c r="F82" s="471">
        <f>F83</f>
        <v>116000</v>
      </c>
      <c r="G82" s="462">
        <f>G83</f>
        <v>116000</v>
      </c>
      <c r="H82" s="460">
        <v>55333</v>
      </c>
      <c r="I82" s="462">
        <f>I83</f>
        <v>116000</v>
      </c>
      <c r="J82" s="462">
        <f>J83</f>
        <v>128744</v>
      </c>
      <c r="K82" s="462">
        <f t="shared" si="26"/>
        <v>110.98620689655172</v>
      </c>
      <c r="L82" s="462">
        <f t="shared" si="27"/>
        <v>12744</v>
      </c>
      <c r="M82" s="462">
        <f>M83</f>
        <v>128744</v>
      </c>
      <c r="N82" s="178">
        <f t="shared" si="25"/>
        <v>0</v>
      </c>
    </row>
    <row r="83" spans="1:14" ht="34" outlineLevel="7" x14ac:dyDescent="0.3">
      <c r="A83" s="189" t="s">
        <v>13</v>
      </c>
      <c r="B83" s="392" t="s">
        <v>455</v>
      </c>
      <c r="C83" s="392" t="s">
        <v>24</v>
      </c>
      <c r="D83" s="392" t="s">
        <v>621</v>
      </c>
      <c r="E83" s="392" t="s">
        <v>14</v>
      </c>
      <c r="F83" s="475">
        <v>116000</v>
      </c>
      <c r="G83" s="462">
        <f>'потребность 2023 (5)'!K82</f>
        <v>116000</v>
      </c>
      <c r="H83" s="460">
        <v>55333</v>
      </c>
      <c r="I83" s="462">
        <v>116000</v>
      </c>
      <c r="J83" s="449">
        <v>128744</v>
      </c>
      <c r="K83" s="462">
        <f t="shared" si="26"/>
        <v>110.98620689655172</v>
      </c>
      <c r="L83" s="462">
        <f t="shared" si="27"/>
        <v>12744</v>
      </c>
      <c r="M83" s="449">
        <v>128744</v>
      </c>
      <c r="N83" s="178">
        <f t="shared" si="25"/>
        <v>0</v>
      </c>
    </row>
    <row r="84" spans="1:14" ht="34" outlineLevel="7" x14ac:dyDescent="0.3">
      <c r="A84" s="189" t="s">
        <v>15</v>
      </c>
      <c r="B84" s="392" t="s">
        <v>455</v>
      </c>
      <c r="C84" s="392" t="s">
        <v>24</v>
      </c>
      <c r="D84" s="392" t="s">
        <v>621</v>
      </c>
      <c r="E84" s="392" t="s">
        <v>16</v>
      </c>
      <c r="F84" s="471">
        <f>F85</f>
        <v>1146206.8600000001</v>
      </c>
      <c r="G84" s="462">
        <f>G85</f>
        <v>1241440</v>
      </c>
      <c r="H84" s="460">
        <v>707722.68</v>
      </c>
      <c r="I84" s="462">
        <f>I85</f>
        <v>1335100</v>
      </c>
      <c r="J84" s="462">
        <f>J85</f>
        <v>1335100</v>
      </c>
      <c r="K84" s="462">
        <f t="shared" si="26"/>
        <v>107.54446449284703</v>
      </c>
      <c r="L84" s="462">
        <f t="shared" si="27"/>
        <v>93660</v>
      </c>
      <c r="M84" s="462">
        <f>M85</f>
        <v>1335100</v>
      </c>
      <c r="N84" s="178">
        <f t="shared" si="25"/>
        <v>0</v>
      </c>
    </row>
    <row r="85" spans="1:14" ht="50.95" outlineLevel="7" x14ac:dyDescent="0.3">
      <c r="A85" s="189" t="s">
        <v>17</v>
      </c>
      <c r="B85" s="392" t="s">
        <v>455</v>
      </c>
      <c r="C85" s="392" t="s">
        <v>24</v>
      </c>
      <c r="D85" s="392" t="s">
        <v>621</v>
      </c>
      <c r="E85" s="392" t="s">
        <v>18</v>
      </c>
      <c r="F85" s="475">
        <v>1146206.8600000001</v>
      </c>
      <c r="G85" s="449">
        <f>'потребность 2023 (5)'!K84-93660</f>
        <v>1241440</v>
      </c>
      <c r="H85" s="460">
        <v>707722.68</v>
      </c>
      <c r="I85" s="449">
        <v>1335100</v>
      </c>
      <c r="J85" s="449">
        <v>1335100</v>
      </c>
      <c r="K85" s="462">
        <f t="shared" si="26"/>
        <v>107.54446449284703</v>
      </c>
      <c r="L85" s="462">
        <f t="shared" si="27"/>
        <v>93660</v>
      </c>
      <c r="M85" s="449">
        <v>1335100</v>
      </c>
      <c r="N85" s="178">
        <f t="shared" si="25"/>
        <v>0</v>
      </c>
    </row>
    <row r="86" spans="1:14" s="224" customFormat="1" ht="50.95" outlineLevel="7" x14ac:dyDescent="0.3">
      <c r="A86" s="233" t="s">
        <v>1022</v>
      </c>
      <c r="B86" s="397" t="s">
        <v>455</v>
      </c>
      <c r="C86" s="397" t="s">
        <v>24</v>
      </c>
      <c r="D86" s="397" t="s">
        <v>131</v>
      </c>
      <c r="E86" s="397" t="s">
        <v>6</v>
      </c>
      <c r="F86" s="475">
        <v>49993.440000000002</v>
      </c>
      <c r="G86" s="465">
        <f t="shared" ref="G86:J89" si="28">G87</f>
        <v>50000</v>
      </c>
      <c r="H86" s="460">
        <v>49985.88</v>
      </c>
      <c r="I86" s="465">
        <f t="shared" si="28"/>
        <v>50000</v>
      </c>
      <c r="J86" s="465">
        <f t="shared" si="28"/>
        <v>50000</v>
      </c>
      <c r="K86" s="462">
        <f t="shared" si="26"/>
        <v>100</v>
      </c>
      <c r="L86" s="462">
        <f t="shared" si="27"/>
        <v>0</v>
      </c>
      <c r="M86" s="465">
        <f t="shared" ref="M86:M89" si="29">M87</f>
        <v>50000</v>
      </c>
      <c r="N86" s="178">
        <f t="shared" si="25"/>
        <v>0</v>
      </c>
    </row>
    <row r="87" spans="1:14" outlineLevel="7" x14ac:dyDescent="0.3">
      <c r="A87" s="189" t="s">
        <v>312</v>
      </c>
      <c r="B87" s="392" t="s">
        <v>455</v>
      </c>
      <c r="C87" s="392" t="s">
        <v>24</v>
      </c>
      <c r="D87" s="392" t="s">
        <v>230</v>
      </c>
      <c r="E87" s="392" t="s">
        <v>6</v>
      </c>
      <c r="F87" s="475">
        <v>49993.440000000002</v>
      </c>
      <c r="G87" s="462">
        <f t="shared" si="28"/>
        <v>50000</v>
      </c>
      <c r="H87" s="460">
        <v>49985.88</v>
      </c>
      <c r="I87" s="462">
        <f t="shared" si="28"/>
        <v>50000</v>
      </c>
      <c r="J87" s="462">
        <f t="shared" si="28"/>
        <v>50000</v>
      </c>
      <c r="K87" s="462">
        <f t="shared" si="26"/>
        <v>100</v>
      </c>
      <c r="L87" s="462">
        <f t="shared" si="27"/>
        <v>0</v>
      </c>
      <c r="M87" s="462">
        <f t="shared" si="29"/>
        <v>50000</v>
      </c>
      <c r="N87" s="178">
        <f t="shared" si="25"/>
        <v>0</v>
      </c>
    </row>
    <row r="88" spans="1:14" ht="34" outlineLevel="7" x14ac:dyDescent="0.3">
      <c r="A88" s="189" t="s">
        <v>313</v>
      </c>
      <c r="B88" s="392" t="s">
        <v>455</v>
      </c>
      <c r="C88" s="392" t="s">
        <v>24</v>
      </c>
      <c r="D88" s="392" t="s">
        <v>314</v>
      </c>
      <c r="E88" s="392" t="s">
        <v>6</v>
      </c>
      <c r="F88" s="475">
        <v>49993.440000000002</v>
      </c>
      <c r="G88" s="462">
        <f t="shared" si="28"/>
        <v>50000</v>
      </c>
      <c r="H88" s="460">
        <v>49985.88</v>
      </c>
      <c r="I88" s="462">
        <f t="shared" si="28"/>
        <v>50000</v>
      </c>
      <c r="J88" s="462">
        <f t="shared" si="28"/>
        <v>50000</v>
      </c>
      <c r="K88" s="462">
        <f t="shared" si="26"/>
        <v>100</v>
      </c>
      <c r="L88" s="462">
        <f t="shared" si="27"/>
        <v>0</v>
      </c>
      <c r="M88" s="462">
        <f t="shared" si="29"/>
        <v>50000</v>
      </c>
      <c r="N88" s="178">
        <f t="shared" si="25"/>
        <v>0</v>
      </c>
    </row>
    <row r="89" spans="1:14" ht="34" outlineLevel="7" x14ac:dyDescent="0.3">
      <c r="A89" s="189" t="s">
        <v>15</v>
      </c>
      <c r="B89" s="392" t="s">
        <v>455</v>
      </c>
      <c r="C89" s="392" t="s">
        <v>24</v>
      </c>
      <c r="D89" s="392" t="s">
        <v>314</v>
      </c>
      <c r="E89" s="392" t="s">
        <v>16</v>
      </c>
      <c r="F89" s="475">
        <v>49993.440000000002</v>
      </c>
      <c r="G89" s="462">
        <f t="shared" si="28"/>
        <v>50000</v>
      </c>
      <c r="H89" s="460">
        <v>49985.88</v>
      </c>
      <c r="I89" s="462">
        <f t="shared" si="28"/>
        <v>50000</v>
      </c>
      <c r="J89" s="462">
        <f t="shared" si="28"/>
        <v>50000</v>
      </c>
      <c r="K89" s="462">
        <f t="shared" si="26"/>
        <v>100</v>
      </c>
      <c r="L89" s="462">
        <f t="shared" si="27"/>
        <v>0</v>
      </c>
      <c r="M89" s="462">
        <f t="shared" si="29"/>
        <v>50000</v>
      </c>
      <c r="N89" s="178">
        <f t="shared" si="25"/>
        <v>0</v>
      </c>
    </row>
    <row r="90" spans="1:14" ht="21.25" customHeight="1" outlineLevel="7" x14ac:dyDescent="0.3">
      <c r="A90" s="189" t="s">
        <v>17</v>
      </c>
      <c r="B90" s="392" t="s">
        <v>455</v>
      </c>
      <c r="C90" s="392" t="s">
        <v>24</v>
      </c>
      <c r="D90" s="392" t="s">
        <v>314</v>
      </c>
      <c r="E90" s="392" t="s">
        <v>18</v>
      </c>
      <c r="F90" s="475">
        <v>49993.440000000002</v>
      </c>
      <c r="G90" s="449">
        <f>'потребность 2023 (5)'!K89</f>
        <v>50000</v>
      </c>
      <c r="H90" s="460">
        <v>49985.88</v>
      </c>
      <c r="I90" s="449">
        <v>50000</v>
      </c>
      <c r="J90" s="449">
        <v>50000</v>
      </c>
      <c r="K90" s="462">
        <f t="shared" si="26"/>
        <v>100</v>
      </c>
      <c r="L90" s="462">
        <f t="shared" si="27"/>
        <v>0</v>
      </c>
      <c r="M90" s="449">
        <v>50000</v>
      </c>
      <c r="N90" s="178">
        <f t="shared" si="25"/>
        <v>0</v>
      </c>
    </row>
    <row r="91" spans="1:14" s="224" customFormat="1" ht="38.25" customHeight="1" outlineLevel="7" x14ac:dyDescent="0.3">
      <c r="A91" s="233" t="s">
        <v>1028</v>
      </c>
      <c r="B91" s="397" t="s">
        <v>455</v>
      </c>
      <c r="C91" s="397" t="s">
        <v>24</v>
      </c>
      <c r="D91" s="397" t="s">
        <v>305</v>
      </c>
      <c r="E91" s="397" t="s">
        <v>6</v>
      </c>
      <c r="F91" s="473">
        <f>F92</f>
        <v>2113133.6100000003</v>
      </c>
      <c r="G91" s="465">
        <f>G92</f>
        <v>1434505.2</v>
      </c>
      <c r="H91" s="460">
        <v>1083576.31</v>
      </c>
      <c r="I91" s="465">
        <f>I92</f>
        <v>1178105</v>
      </c>
      <c r="J91" s="465">
        <f>J92</f>
        <v>7318452</v>
      </c>
      <c r="K91" s="462">
        <f t="shared" si="26"/>
        <v>510.1725668195557</v>
      </c>
      <c r="L91" s="462">
        <f t="shared" si="27"/>
        <v>5883946.7999999998</v>
      </c>
      <c r="M91" s="465">
        <f>M92</f>
        <v>1968452</v>
      </c>
      <c r="N91" s="178">
        <f t="shared" si="25"/>
        <v>-5350000</v>
      </c>
    </row>
    <row r="92" spans="1:14" ht="21.25" customHeight="1" outlineLevel="7" x14ac:dyDescent="0.3">
      <c r="A92" s="189" t="s">
        <v>315</v>
      </c>
      <c r="B92" s="392" t="s">
        <v>455</v>
      </c>
      <c r="C92" s="392" t="s">
        <v>24</v>
      </c>
      <c r="D92" s="392" t="s">
        <v>306</v>
      </c>
      <c r="E92" s="392" t="s">
        <v>6</v>
      </c>
      <c r="F92" s="471">
        <f>F93+F96</f>
        <v>2113133.6100000003</v>
      </c>
      <c r="G92" s="462">
        <f>G93+G96</f>
        <v>1434505.2</v>
      </c>
      <c r="H92" s="460">
        <v>1083576.31</v>
      </c>
      <c r="I92" s="462">
        <f>I93+I96</f>
        <v>1178105</v>
      </c>
      <c r="J92" s="462">
        <f>J93+J96</f>
        <v>7318452</v>
      </c>
      <c r="K92" s="462">
        <f t="shared" si="26"/>
        <v>510.1725668195557</v>
      </c>
      <c r="L92" s="462">
        <f t="shared" si="27"/>
        <v>5883946.7999999998</v>
      </c>
      <c r="M92" s="462">
        <f>M93+M96</f>
        <v>1968452</v>
      </c>
      <c r="N92" s="178">
        <f t="shared" si="25"/>
        <v>-5350000</v>
      </c>
    </row>
    <row r="93" spans="1:14" ht="37.549999999999997" customHeight="1" outlineLevel="7" x14ac:dyDescent="0.3">
      <c r="A93" s="189" t="s">
        <v>316</v>
      </c>
      <c r="B93" s="392" t="s">
        <v>455</v>
      </c>
      <c r="C93" s="392" t="s">
        <v>24</v>
      </c>
      <c r="D93" s="392" t="s">
        <v>317</v>
      </c>
      <c r="E93" s="392" t="s">
        <v>6</v>
      </c>
      <c r="F93" s="471">
        <f>F94</f>
        <v>2089203.61</v>
      </c>
      <c r="G93" s="462">
        <f t="shared" ref="G93:J94" si="30">G94</f>
        <v>1388575.2</v>
      </c>
      <c r="H93" s="460">
        <v>1050522.31</v>
      </c>
      <c r="I93" s="462">
        <f t="shared" si="30"/>
        <v>1130340</v>
      </c>
      <c r="J93" s="462">
        <f t="shared" si="30"/>
        <v>7287412</v>
      </c>
      <c r="K93" s="462">
        <f t="shared" si="26"/>
        <v>524.8121959833361</v>
      </c>
      <c r="L93" s="462">
        <f t="shared" si="27"/>
        <v>5898836.7999999998</v>
      </c>
      <c r="M93" s="462">
        <f t="shared" ref="M93:M94" si="31">M94</f>
        <v>1937412</v>
      </c>
      <c r="N93" s="178">
        <f t="shared" si="25"/>
        <v>-5350000</v>
      </c>
    </row>
    <row r="94" spans="1:14" ht="34" outlineLevel="7" x14ac:dyDescent="0.3">
      <c r="A94" s="189" t="s">
        <v>15</v>
      </c>
      <c r="B94" s="392" t="s">
        <v>455</v>
      </c>
      <c r="C94" s="392" t="s">
        <v>24</v>
      </c>
      <c r="D94" s="392" t="s">
        <v>317</v>
      </c>
      <c r="E94" s="392" t="s">
        <v>16</v>
      </c>
      <c r="F94" s="471">
        <f>F95</f>
        <v>2089203.61</v>
      </c>
      <c r="G94" s="462">
        <f t="shared" si="30"/>
        <v>1388575.2</v>
      </c>
      <c r="H94" s="460">
        <v>1050522.31</v>
      </c>
      <c r="I94" s="462">
        <f t="shared" si="30"/>
        <v>1130340</v>
      </c>
      <c r="J94" s="462">
        <f t="shared" si="30"/>
        <v>7287412</v>
      </c>
      <c r="K94" s="462">
        <f t="shared" si="26"/>
        <v>524.8121959833361</v>
      </c>
      <c r="L94" s="462">
        <f t="shared" si="27"/>
        <v>5898836.7999999998</v>
      </c>
      <c r="M94" s="462">
        <f t="shared" si="31"/>
        <v>1937412</v>
      </c>
      <c r="N94" s="178">
        <f t="shared" si="25"/>
        <v>-5350000</v>
      </c>
    </row>
    <row r="95" spans="1:14" ht="18.7" customHeight="1" outlineLevel="7" x14ac:dyDescent="0.3">
      <c r="A95" s="189" t="s">
        <v>17</v>
      </c>
      <c r="B95" s="392" t="s">
        <v>455</v>
      </c>
      <c r="C95" s="392" t="s">
        <v>24</v>
      </c>
      <c r="D95" s="392" t="s">
        <v>317</v>
      </c>
      <c r="E95" s="392" t="s">
        <v>18</v>
      </c>
      <c r="F95" s="475">
        <v>2089203.61</v>
      </c>
      <c r="G95" s="449">
        <f>'потребность 2023 (5)'!K94+143103.2</f>
        <v>1388575.2</v>
      </c>
      <c r="H95" s="460">
        <v>1050522.31</v>
      </c>
      <c r="I95" s="449">
        <v>1130340</v>
      </c>
      <c r="J95" s="449">
        <v>7287412</v>
      </c>
      <c r="K95" s="462">
        <f t="shared" si="26"/>
        <v>524.8121959833361</v>
      </c>
      <c r="L95" s="462">
        <f t="shared" si="27"/>
        <v>5898836.7999999998</v>
      </c>
      <c r="M95" s="449">
        <f>7287412-5000000-350000</f>
        <v>1937412</v>
      </c>
      <c r="N95" s="178">
        <f t="shared" si="25"/>
        <v>-5350000</v>
      </c>
    </row>
    <row r="96" spans="1:14" ht="34" outlineLevel="7" x14ac:dyDescent="0.3">
      <c r="A96" s="189" t="s">
        <v>318</v>
      </c>
      <c r="B96" s="392" t="s">
        <v>455</v>
      </c>
      <c r="C96" s="392" t="s">
        <v>24</v>
      </c>
      <c r="D96" s="392" t="s">
        <v>307</v>
      </c>
      <c r="E96" s="392" t="s">
        <v>6</v>
      </c>
      <c r="F96" s="471">
        <f>F97</f>
        <v>23930</v>
      </c>
      <c r="G96" s="462">
        <f t="shared" ref="G96:J97" si="32">G97</f>
        <v>45930</v>
      </c>
      <c r="H96" s="460">
        <v>33054</v>
      </c>
      <c r="I96" s="462">
        <f t="shared" si="32"/>
        <v>47765</v>
      </c>
      <c r="J96" s="462">
        <f t="shared" si="32"/>
        <v>31040</v>
      </c>
      <c r="K96" s="462">
        <f t="shared" si="26"/>
        <v>67.581101676464186</v>
      </c>
      <c r="L96" s="462">
        <f t="shared" si="27"/>
        <v>-14890</v>
      </c>
      <c r="M96" s="462">
        <f t="shared" ref="M96:M97" si="33">M97</f>
        <v>31040</v>
      </c>
      <c r="N96" s="178">
        <f t="shared" si="25"/>
        <v>0</v>
      </c>
    </row>
    <row r="97" spans="1:14" ht="34" outlineLevel="7" x14ac:dyDescent="0.3">
      <c r="A97" s="189" t="s">
        <v>15</v>
      </c>
      <c r="B97" s="392" t="s">
        <v>455</v>
      </c>
      <c r="C97" s="392" t="s">
        <v>24</v>
      </c>
      <c r="D97" s="392" t="s">
        <v>307</v>
      </c>
      <c r="E97" s="392" t="s">
        <v>16</v>
      </c>
      <c r="F97" s="471">
        <f>F98</f>
        <v>23930</v>
      </c>
      <c r="G97" s="462">
        <f t="shared" si="32"/>
        <v>45930</v>
      </c>
      <c r="H97" s="460">
        <v>33054</v>
      </c>
      <c r="I97" s="462">
        <f t="shared" si="32"/>
        <v>47765</v>
      </c>
      <c r="J97" s="462">
        <f t="shared" si="32"/>
        <v>31040</v>
      </c>
      <c r="K97" s="462">
        <f t="shared" si="26"/>
        <v>67.581101676464186</v>
      </c>
      <c r="L97" s="462">
        <f t="shared" si="27"/>
        <v>-14890</v>
      </c>
      <c r="M97" s="462">
        <f t="shared" si="33"/>
        <v>31040</v>
      </c>
      <c r="N97" s="178">
        <f t="shared" si="25"/>
        <v>0</v>
      </c>
    </row>
    <row r="98" spans="1:14" ht="19.55" customHeight="1" outlineLevel="7" x14ac:dyDescent="0.3">
      <c r="A98" s="189" t="s">
        <v>17</v>
      </c>
      <c r="B98" s="392" t="s">
        <v>455</v>
      </c>
      <c r="C98" s="392" t="s">
        <v>24</v>
      </c>
      <c r="D98" s="392" t="s">
        <v>307</v>
      </c>
      <c r="E98" s="392" t="s">
        <v>18</v>
      </c>
      <c r="F98" s="475">
        <v>23930</v>
      </c>
      <c r="G98" s="462">
        <f>'потребность 2023 (5)'!K97</f>
        <v>45930</v>
      </c>
      <c r="H98" s="460">
        <v>33054</v>
      </c>
      <c r="I98" s="462">
        <v>47765</v>
      </c>
      <c r="J98" s="449">
        <v>31040</v>
      </c>
      <c r="K98" s="462">
        <f t="shared" si="26"/>
        <v>67.581101676464186</v>
      </c>
      <c r="L98" s="462">
        <f t="shared" si="27"/>
        <v>-14890</v>
      </c>
      <c r="M98" s="449">
        <v>31040</v>
      </c>
      <c r="N98" s="178">
        <f t="shared" si="25"/>
        <v>0</v>
      </c>
    </row>
    <row r="99" spans="1:14" s="224" customFormat="1" ht="50.95" outlineLevel="7" x14ac:dyDescent="0.3">
      <c r="A99" s="233" t="s">
        <v>1024</v>
      </c>
      <c r="B99" s="397" t="s">
        <v>455</v>
      </c>
      <c r="C99" s="397" t="s">
        <v>24</v>
      </c>
      <c r="D99" s="397" t="s">
        <v>319</v>
      </c>
      <c r="E99" s="397" t="s">
        <v>6</v>
      </c>
      <c r="F99" s="473">
        <f>F100</f>
        <v>3200452.78</v>
      </c>
      <c r="G99" s="465">
        <f t="shared" ref="G99:J100" si="34">G100</f>
        <v>3185014.91</v>
      </c>
      <c r="H99" s="460">
        <v>2350132.62</v>
      </c>
      <c r="I99" s="465">
        <f t="shared" si="34"/>
        <v>1300000</v>
      </c>
      <c r="J99" s="465">
        <f t="shared" si="34"/>
        <v>6049500.5800000001</v>
      </c>
      <c r="K99" s="462">
        <f t="shared" si="26"/>
        <v>189.93633470934049</v>
      </c>
      <c r="L99" s="462">
        <f t="shared" si="27"/>
        <v>2864485.67</v>
      </c>
      <c r="M99" s="465">
        <f t="shared" ref="M99:M100" si="35">M100</f>
        <v>2938500.58</v>
      </c>
      <c r="N99" s="178">
        <f t="shared" si="25"/>
        <v>-3111000</v>
      </c>
    </row>
    <row r="100" spans="1:14" ht="50.95" outlineLevel="7" x14ac:dyDescent="0.3">
      <c r="A100" s="189" t="s">
        <v>212</v>
      </c>
      <c r="B100" s="392" t="s">
        <v>455</v>
      </c>
      <c r="C100" s="392" t="s">
        <v>24</v>
      </c>
      <c r="D100" s="392" t="s">
        <v>320</v>
      </c>
      <c r="E100" s="392" t="s">
        <v>6</v>
      </c>
      <c r="F100" s="471">
        <f>F101</f>
        <v>3200452.78</v>
      </c>
      <c r="G100" s="462">
        <f t="shared" si="34"/>
        <v>3185014.91</v>
      </c>
      <c r="H100" s="460">
        <v>2350132.62</v>
      </c>
      <c r="I100" s="462">
        <f t="shared" si="34"/>
        <v>1300000</v>
      </c>
      <c r="J100" s="462">
        <f t="shared" si="34"/>
        <v>6049500.5800000001</v>
      </c>
      <c r="K100" s="462">
        <f t="shared" si="26"/>
        <v>189.93633470934049</v>
      </c>
      <c r="L100" s="462">
        <f t="shared" si="27"/>
        <v>2864485.67</v>
      </c>
      <c r="M100" s="462">
        <f t="shared" si="35"/>
        <v>2938500.58</v>
      </c>
      <c r="N100" s="178">
        <f t="shared" si="25"/>
        <v>-3111000</v>
      </c>
    </row>
    <row r="101" spans="1:14" ht="67.95" outlineLevel="5" x14ac:dyDescent="0.3">
      <c r="A101" s="189" t="s">
        <v>32</v>
      </c>
      <c r="B101" s="392" t="s">
        <v>455</v>
      </c>
      <c r="C101" s="392" t="s">
        <v>24</v>
      </c>
      <c r="D101" s="392" t="s">
        <v>321</v>
      </c>
      <c r="E101" s="392" t="s">
        <v>6</v>
      </c>
      <c r="F101" s="471">
        <f>F102+F104</f>
        <v>3200452.78</v>
      </c>
      <c r="G101" s="462">
        <f>G102+G104+G106</f>
        <v>3185014.91</v>
      </c>
      <c r="H101" s="460">
        <v>2350132.62</v>
      </c>
      <c r="I101" s="462">
        <f>I102+I104+I106</f>
        <v>1300000</v>
      </c>
      <c r="J101" s="462">
        <f>J102+J104+J106</f>
        <v>6049500.5800000001</v>
      </c>
      <c r="K101" s="462">
        <f t="shared" si="26"/>
        <v>189.93633470934049</v>
      </c>
      <c r="L101" s="462">
        <f t="shared" si="27"/>
        <v>2864485.67</v>
      </c>
      <c r="M101" s="462">
        <f>M102+M104+M106</f>
        <v>2938500.58</v>
      </c>
      <c r="N101" s="178">
        <f t="shared" si="25"/>
        <v>-3111000</v>
      </c>
    </row>
    <row r="102" spans="1:14" ht="34" outlineLevel="6" x14ac:dyDescent="0.3">
      <c r="A102" s="189" t="s">
        <v>15</v>
      </c>
      <c r="B102" s="392" t="s">
        <v>455</v>
      </c>
      <c r="C102" s="392" t="s">
        <v>24</v>
      </c>
      <c r="D102" s="392" t="s">
        <v>321</v>
      </c>
      <c r="E102" s="392" t="s">
        <v>16</v>
      </c>
      <c r="F102" s="471">
        <f>F103</f>
        <v>3200452.78</v>
      </c>
      <c r="G102" s="462">
        <f>G103</f>
        <v>3045014.91</v>
      </c>
      <c r="H102" s="460">
        <v>2211796.62</v>
      </c>
      <c r="I102" s="462">
        <f>I103</f>
        <v>1160000</v>
      </c>
      <c r="J102" s="462">
        <f>J103</f>
        <v>5909500.5800000001</v>
      </c>
      <c r="K102" s="462">
        <f t="shared" si="26"/>
        <v>194.07131835686152</v>
      </c>
      <c r="L102" s="462">
        <f t="shared" si="27"/>
        <v>2864485.67</v>
      </c>
      <c r="M102" s="462">
        <f>M103</f>
        <v>2798500.58</v>
      </c>
      <c r="N102" s="178">
        <f t="shared" si="25"/>
        <v>-3111000</v>
      </c>
    </row>
    <row r="103" spans="1:14" ht="20.25" customHeight="1" outlineLevel="7" x14ac:dyDescent="0.3">
      <c r="A103" s="189" t="s">
        <v>17</v>
      </c>
      <c r="B103" s="392" t="s">
        <v>455</v>
      </c>
      <c r="C103" s="392" t="s">
        <v>24</v>
      </c>
      <c r="D103" s="392" t="s">
        <v>321</v>
      </c>
      <c r="E103" s="392" t="s">
        <v>18</v>
      </c>
      <c r="F103" s="475">
        <v>3200452.78</v>
      </c>
      <c r="G103" s="462">
        <f>'потребность 2023 (5)'!K102+1200000-1200000+257014.91+168000</f>
        <v>3045014.91</v>
      </c>
      <c r="H103" s="460">
        <v>2211796.62</v>
      </c>
      <c r="I103" s="462">
        <v>1160000</v>
      </c>
      <c r="J103" s="449">
        <v>5909500.5800000001</v>
      </c>
      <c r="K103" s="462">
        <f t="shared" si="26"/>
        <v>194.07131835686152</v>
      </c>
      <c r="L103" s="462">
        <f t="shared" si="27"/>
        <v>2864485.67</v>
      </c>
      <c r="M103" s="449">
        <f>5909500.58-2650000-461000</f>
        <v>2798500.58</v>
      </c>
      <c r="N103" s="178">
        <f t="shared" si="25"/>
        <v>-3111000</v>
      </c>
    </row>
    <row r="104" spans="1:14" outlineLevel="6" x14ac:dyDescent="0.3">
      <c r="A104" s="189" t="s">
        <v>19</v>
      </c>
      <c r="B104" s="392" t="s">
        <v>455</v>
      </c>
      <c r="C104" s="392" t="s">
        <v>24</v>
      </c>
      <c r="D104" s="392" t="s">
        <v>321</v>
      </c>
      <c r="E104" s="392" t="s">
        <v>20</v>
      </c>
      <c r="F104" s="475">
        <v>0</v>
      </c>
      <c r="G104" s="462">
        <f>G105</f>
        <v>140000</v>
      </c>
      <c r="H104" s="460">
        <v>138336</v>
      </c>
      <c r="I104" s="462">
        <f>I105</f>
        <v>140000</v>
      </c>
      <c r="J104" s="462">
        <f>J105</f>
        <v>140000</v>
      </c>
      <c r="K104" s="462">
        <f t="shared" si="26"/>
        <v>100</v>
      </c>
      <c r="L104" s="462">
        <f t="shared" si="27"/>
        <v>0</v>
      </c>
      <c r="M104" s="462">
        <f>M105</f>
        <v>140000</v>
      </c>
      <c r="N104" s="178">
        <f t="shared" si="25"/>
        <v>0</v>
      </c>
    </row>
    <row r="105" spans="1:14" outlineLevel="7" x14ac:dyDescent="0.3">
      <c r="A105" s="189" t="s">
        <v>21</v>
      </c>
      <c r="B105" s="392" t="s">
        <v>455</v>
      </c>
      <c r="C105" s="392" t="s">
        <v>24</v>
      </c>
      <c r="D105" s="392" t="s">
        <v>321</v>
      </c>
      <c r="E105" s="392" t="s">
        <v>22</v>
      </c>
      <c r="F105" s="475">
        <v>0</v>
      </c>
      <c r="G105" s="449">
        <f>'потребность 2023 (5)'!K104</f>
        <v>140000</v>
      </c>
      <c r="H105" s="468">
        <v>138336</v>
      </c>
      <c r="I105" s="449">
        <v>140000</v>
      </c>
      <c r="J105" s="449">
        <v>140000</v>
      </c>
      <c r="K105" s="462">
        <f t="shared" si="26"/>
        <v>100</v>
      </c>
      <c r="L105" s="462">
        <f t="shared" si="27"/>
        <v>0</v>
      </c>
      <c r="M105" s="449">
        <v>140000</v>
      </c>
      <c r="N105" s="178">
        <f t="shared" si="25"/>
        <v>0</v>
      </c>
    </row>
    <row r="106" spans="1:14" ht="50.95" outlineLevel="7" x14ac:dyDescent="0.3">
      <c r="A106" s="189" t="s">
        <v>1047</v>
      </c>
      <c r="B106" s="392" t="s">
        <v>455</v>
      </c>
      <c r="C106" s="392" t="s">
        <v>24</v>
      </c>
      <c r="D106" s="392" t="s">
        <v>321</v>
      </c>
      <c r="E106" s="392" t="s">
        <v>259</v>
      </c>
      <c r="F106" s="462" t="s">
        <v>838</v>
      </c>
      <c r="G106" s="449">
        <f>G107</f>
        <v>0</v>
      </c>
      <c r="H106" s="449">
        <v>0</v>
      </c>
      <c r="I106" s="449">
        <f>I107</f>
        <v>0</v>
      </c>
      <c r="J106" s="449">
        <f>J107</f>
        <v>0</v>
      </c>
      <c r="K106" s="462" t="e">
        <f t="shared" si="26"/>
        <v>#DIV/0!</v>
      </c>
      <c r="L106" s="462">
        <f t="shared" si="27"/>
        <v>0</v>
      </c>
      <c r="M106" s="449">
        <f>M107</f>
        <v>0</v>
      </c>
      <c r="N106" s="178">
        <f t="shared" si="25"/>
        <v>0</v>
      </c>
    </row>
    <row r="107" spans="1:14" outlineLevel="7" x14ac:dyDescent="0.3">
      <c r="A107" s="189" t="s">
        <v>260</v>
      </c>
      <c r="B107" s="392" t="s">
        <v>455</v>
      </c>
      <c r="C107" s="392" t="s">
        <v>24</v>
      </c>
      <c r="D107" s="392" t="s">
        <v>321</v>
      </c>
      <c r="E107" s="392" t="s">
        <v>261</v>
      </c>
      <c r="F107" s="462" t="s">
        <v>838</v>
      </c>
      <c r="G107" s="449">
        <f>5000000-5000000</f>
        <v>0</v>
      </c>
      <c r="H107" s="449">
        <v>0</v>
      </c>
      <c r="I107" s="449">
        <f>5000000-5000000</f>
        <v>0</v>
      </c>
      <c r="J107" s="449">
        <v>0</v>
      </c>
      <c r="K107" s="462" t="e">
        <f t="shared" si="26"/>
        <v>#DIV/0!</v>
      </c>
      <c r="L107" s="462">
        <f t="shared" si="27"/>
        <v>0</v>
      </c>
      <c r="M107" s="449">
        <v>0</v>
      </c>
      <c r="N107" s="178">
        <f t="shared" si="25"/>
        <v>0</v>
      </c>
    </row>
    <row r="108" spans="1:14" ht="50.95" outlineLevel="7" x14ac:dyDescent="0.3">
      <c r="A108" s="233" t="s">
        <v>1026</v>
      </c>
      <c r="B108" s="397" t="s">
        <v>455</v>
      </c>
      <c r="C108" s="397" t="s">
        <v>24</v>
      </c>
      <c r="D108" s="397" t="s">
        <v>819</v>
      </c>
      <c r="E108" s="397" t="s">
        <v>6</v>
      </c>
      <c r="F108" s="476">
        <f t="shared" ref="F108:J111" si="36">F109</f>
        <v>50000</v>
      </c>
      <c r="G108" s="449">
        <f t="shared" si="36"/>
        <v>100000</v>
      </c>
      <c r="H108" s="460">
        <v>0</v>
      </c>
      <c r="I108" s="449">
        <f t="shared" si="36"/>
        <v>30000</v>
      </c>
      <c r="J108" s="449">
        <f t="shared" si="36"/>
        <v>100000</v>
      </c>
      <c r="K108" s="462">
        <f t="shared" si="26"/>
        <v>100</v>
      </c>
      <c r="L108" s="462">
        <f t="shared" si="27"/>
        <v>0</v>
      </c>
      <c r="M108" s="449">
        <f t="shared" ref="M108:M111" si="37">M109</f>
        <v>100000</v>
      </c>
      <c r="N108" s="178">
        <f t="shared" si="25"/>
        <v>0</v>
      </c>
    </row>
    <row r="109" spans="1:14" ht="34" outlineLevel="7" x14ac:dyDescent="0.3">
      <c r="A109" s="189" t="s">
        <v>818</v>
      </c>
      <c r="B109" s="392" t="s">
        <v>455</v>
      </c>
      <c r="C109" s="392" t="s">
        <v>24</v>
      </c>
      <c r="D109" s="392" t="s">
        <v>820</v>
      </c>
      <c r="E109" s="392" t="s">
        <v>6</v>
      </c>
      <c r="F109" s="476">
        <f t="shared" si="36"/>
        <v>50000</v>
      </c>
      <c r="G109" s="449">
        <f t="shared" si="36"/>
        <v>100000</v>
      </c>
      <c r="H109" s="460">
        <v>0</v>
      </c>
      <c r="I109" s="449">
        <f t="shared" si="36"/>
        <v>30000</v>
      </c>
      <c r="J109" s="449">
        <f t="shared" si="36"/>
        <v>100000</v>
      </c>
      <c r="K109" s="462">
        <f t="shared" si="26"/>
        <v>100</v>
      </c>
      <c r="L109" s="462">
        <f t="shared" si="27"/>
        <v>0</v>
      </c>
      <c r="M109" s="449">
        <f t="shared" si="37"/>
        <v>100000</v>
      </c>
      <c r="N109" s="178">
        <f t="shared" si="25"/>
        <v>0</v>
      </c>
    </row>
    <row r="110" spans="1:14" ht="34" outlineLevel="7" x14ac:dyDescent="0.3">
      <c r="A110" s="189" t="s">
        <v>310</v>
      </c>
      <c r="B110" s="392" t="s">
        <v>455</v>
      </c>
      <c r="C110" s="392" t="s">
        <v>24</v>
      </c>
      <c r="D110" s="392" t="s">
        <v>821</v>
      </c>
      <c r="E110" s="392" t="s">
        <v>6</v>
      </c>
      <c r="F110" s="476">
        <f t="shared" si="36"/>
        <v>50000</v>
      </c>
      <c r="G110" s="449">
        <f t="shared" si="36"/>
        <v>100000</v>
      </c>
      <c r="H110" s="460">
        <v>0</v>
      </c>
      <c r="I110" s="449">
        <f t="shared" si="36"/>
        <v>30000</v>
      </c>
      <c r="J110" s="449">
        <f t="shared" si="36"/>
        <v>100000</v>
      </c>
      <c r="K110" s="462">
        <f t="shared" si="26"/>
        <v>100</v>
      </c>
      <c r="L110" s="462">
        <f t="shared" si="27"/>
        <v>0</v>
      </c>
      <c r="M110" s="449">
        <f t="shared" si="37"/>
        <v>100000</v>
      </c>
      <c r="N110" s="178">
        <f t="shared" si="25"/>
        <v>0</v>
      </c>
    </row>
    <row r="111" spans="1:14" ht="34" outlineLevel="7" x14ac:dyDescent="0.3">
      <c r="A111" s="189" t="s">
        <v>15</v>
      </c>
      <c r="B111" s="392" t="s">
        <v>455</v>
      </c>
      <c r="C111" s="392" t="s">
        <v>24</v>
      </c>
      <c r="D111" s="392" t="s">
        <v>821</v>
      </c>
      <c r="E111" s="392" t="s">
        <v>16</v>
      </c>
      <c r="F111" s="476">
        <f t="shared" si="36"/>
        <v>50000</v>
      </c>
      <c r="G111" s="449">
        <f t="shared" si="36"/>
        <v>100000</v>
      </c>
      <c r="H111" s="460">
        <v>0</v>
      </c>
      <c r="I111" s="449">
        <f t="shared" si="36"/>
        <v>30000</v>
      </c>
      <c r="J111" s="449">
        <f t="shared" si="36"/>
        <v>100000</v>
      </c>
      <c r="K111" s="462">
        <f t="shared" si="26"/>
        <v>100</v>
      </c>
      <c r="L111" s="462">
        <f t="shared" si="27"/>
        <v>0</v>
      </c>
      <c r="M111" s="449">
        <f t="shared" si="37"/>
        <v>100000</v>
      </c>
      <c r="N111" s="178">
        <f t="shared" si="25"/>
        <v>0</v>
      </c>
    </row>
    <row r="112" spans="1:14" ht="50.95" outlineLevel="7" x14ac:dyDescent="0.3">
      <c r="A112" s="189" t="s">
        <v>17</v>
      </c>
      <c r="B112" s="392" t="s">
        <v>455</v>
      </c>
      <c r="C112" s="392" t="s">
        <v>24</v>
      </c>
      <c r="D112" s="392" t="s">
        <v>821</v>
      </c>
      <c r="E112" s="392" t="s">
        <v>18</v>
      </c>
      <c r="F112" s="475">
        <v>50000</v>
      </c>
      <c r="G112" s="449">
        <f>'потребность 2023 (5)'!K109</f>
        <v>100000</v>
      </c>
      <c r="H112" s="460">
        <v>0</v>
      </c>
      <c r="I112" s="449">
        <v>30000</v>
      </c>
      <c r="J112" s="449">
        <v>100000</v>
      </c>
      <c r="K112" s="462">
        <f t="shared" si="26"/>
        <v>100</v>
      </c>
      <c r="L112" s="462">
        <f t="shared" si="27"/>
        <v>0</v>
      </c>
      <c r="M112" s="449">
        <v>100000</v>
      </c>
      <c r="N112" s="178">
        <f t="shared" si="25"/>
        <v>0</v>
      </c>
    </row>
    <row r="113" spans="1:14" ht="34" outlineLevel="3" x14ac:dyDescent="0.3">
      <c r="A113" s="189" t="s">
        <v>132</v>
      </c>
      <c r="B113" s="392" t="s">
        <v>455</v>
      </c>
      <c r="C113" s="392" t="s">
        <v>24</v>
      </c>
      <c r="D113" s="392" t="s">
        <v>127</v>
      </c>
      <c r="E113" s="392" t="s">
        <v>6</v>
      </c>
      <c r="F113" s="462">
        <f>F128+F114+F125+F119</f>
        <v>47420733.719999999</v>
      </c>
      <c r="G113" s="462">
        <f>G128+G114+G125+G119</f>
        <v>37979427.5</v>
      </c>
      <c r="H113" s="460">
        <v>32962922.59</v>
      </c>
      <c r="I113" s="462">
        <f>I128+I114+I125+I119</f>
        <v>38585000</v>
      </c>
      <c r="J113" s="462">
        <f>J128+J114+J125+J119</f>
        <v>42870900</v>
      </c>
      <c r="K113" s="462">
        <f t="shared" si="26"/>
        <v>112.87926865142978</v>
      </c>
      <c r="L113" s="462">
        <f t="shared" si="27"/>
        <v>4891472.5</v>
      </c>
      <c r="M113" s="462">
        <f>M128+M114+M125+M119</f>
        <v>42870900</v>
      </c>
      <c r="N113" s="178">
        <f t="shared" si="25"/>
        <v>0</v>
      </c>
    </row>
    <row r="114" spans="1:14" ht="48.25" customHeight="1" outlineLevel="5" x14ac:dyDescent="0.3">
      <c r="A114" s="189" t="s">
        <v>449</v>
      </c>
      <c r="B114" s="392" t="s">
        <v>455</v>
      </c>
      <c r="C114" s="392" t="s">
        <v>24</v>
      </c>
      <c r="D114" s="392" t="s">
        <v>450</v>
      </c>
      <c r="E114" s="392" t="s">
        <v>6</v>
      </c>
      <c r="F114" s="471">
        <f>F115+F117</f>
        <v>36517400.520000003</v>
      </c>
      <c r="G114" s="462">
        <f>G115+G117</f>
        <v>37225780</v>
      </c>
      <c r="H114" s="460">
        <v>27378183.829999998</v>
      </c>
      <c r="I114" s="462">
        <f>I115+I117</f>
        <v>38385000</v>
      </c>
      <c r="J114" s="462">
        <f>J115+J117</f>
        <v>42620900</v>
      </c>
      <c r="K114" s="462">
        <f t="shared" si="26"/>
        <v>114.49296697073909</v>
      </c>
      <c r="L114" s="462">
        <f t="shared" si="27"/>
        <v>5395120</v>
      </c>
      <c r="M114" s="462">
        <f>M115+M117</f>
        <v>42620900</v>
      </c>
      <c r="N114" s="178">
        <f t="shared" si="25"/>
        <v>0</v>
      </c>
    </row>
    <row r="115" spans="1:14" ht="101.9" outlineLevel="6" x14ac:dyDescent="0.3">
      <c r="A115" s="189" t="s">
        <v>11</v>
      </c>
      <c r="B115" s="392" t="s">
        <v>455</v>
      </c>
      <c r="C115" s="392" t="s">
        <v>24</v>
      </c>
      <c r="D115" s="392" t="s">
        <v>450</v>
      </c>
      <c r="E115" s="392" t="s">
        <v>12</v>
      </c>
      <c r="F115" s="471">
        <f>F116</f>
        <v>36509300.520000003</v>
      </c>
      <c r="G115" s="462">
        <f>G116</f>
        <v>37205780</v>
      </c>
      <c r="H115" s="460">
        <v>27378183.829999998</v>
      </c>
      <c r="I115" s="462">
        <f>I116</f>
        <v>38365000</v>
      </c>
      <c r="J115" s="462">
        <f>J116</f>
        <v>42600900</v>
      </c>
      <c r="K115" s="462">
        <f t="shared" si="26"/>
        <v>114.5007576779737</v>
      </c>
      <c r="L115" s="462">
        <f t="shared" si="27"/>
        <v>5395120</v>
      </c>
      <c r="M115" s="462">
        <f>M116</f>
        <v>42600900</v>
      </c>
      <c r="N115" s="178">
        <f t="shared" si="25"/>
        <v>0</v>
      </c>
    </row>
    <row r="116" spans="1:14" ht="34" outlineLevel="7" x14ac:dyDescent="0.3">
      <c r="A116" s="189" t="s">
        <v>13</v>
      </c>
      <c r="B116" s="392" t="s">
        <v>455</v>
      </c>
      <c r="C116" s="392" t="s">
        <v>24</v>
      </c>
      <c r="D116" s="392" t="s">
        <v>450</v>
      </c>
      <c r="E116" s="392" t="s">
        <v>14</v>
      </c>
      <c r="F116" s="475">
        <v>36509300.520000003</v>
      </c>
      <c r="G116" s="462">
        <f>'потребность 2023 (5)'!K116</f>
        <v>37205780</v>
      </c>
      <c r="H116" s="460">
        <v>27378183.829999998</v>
      </c>
      <c r="I116" s="462">
        <v>38365000</v>
      </c>
      <c r="J116" s="449">
        <v>42600900</v>
      </c>
      <c r="K116" s="462">
        <f t="shared" si="26"/>
        <v>114.5007576779737</v>
      </c>
      <c r="L116" s="462">
        <f t="shared" si="27"/>
        <v>5395120</v>
      </c>
      <c r="M116" s="449">
        <v>42600900</v>
      </c>
      <c r="N116" s="178">
        <f t="shared" si="25"/>
        <v>0</v>
      </c>
    </row>
    <row r="117" spans="1:14" ht="34" outlineLevel="7" x14ac:dyDescent="0.3">
      <c r="A117" s="189" t="s">
        <v>15</v>
      </c>
      <c r="B117" s="392" t="s">
        <v>455</v>
      </c>
      <c r="C117" s="392" t="s">
        <v>24</v>
      </c>
      <c r="D117" s="392" t="s">
        <v>450</v>
      </c>
      <c r="E117" s="392" t="s">
        <v>16</v>
      </c>
      <c r="F117" s="475">
        <v>8100</v>
      </c>
      <c r="G117" s="449">
        <f>G118</f>
        <v>20000</v>
      </c>
      <c r="H117" s="460">
        <v>0</v>
      </c>
      <c r="I117" s="449">
        <f>I118</f>
        <v>20000</v>
      </c>
      <c r="J117" s="449">
        <f>J118</f>
        <v>20000</v>
      </c>
      <c r="K117" s="462">
        <f t="shared" si="26"/>
        <v>100</v>
      </c>
      <c r="L117" s="462">
        <f t="shared" si="27"/>
        <v>0</v>
      </c>
      <c r="M117" s="449">
        <f>M118</f>
        <v>20000</v>
      </c>
      <c r="N117" s="178">
        <f t="shared" si="25"/>
        <v>0</v>
      </c>
    </row>
    <row r="118" spans="1:14" ht="18.350000000000001" customHeight="1" outlineLevel="7" x14ac:dyDescent="0.3">
      <c r="A118" s="189" t="s">
        <v>17</v>
      </c>
      <c r="B118" s="392" t="s">
        <v>455</v>
      </c>
      <c r="C118" s="392" t="s">
        <v>24</v>
      </c>
      <c r="D118" s="392" t="s">
        <v>450</v>
      </c>
      <c r="E118" s="392" t="s">
        <v>18</v>
      </c>
      <c r="F118" s="475">
        <v>8100</v>
      </c>
      <c r="G118" s="462">
        <f>'потребность 2023 (5)'!K118</f>
        <v>20000</v>
      </c>
      <c r="H118" s="460">
        <v>0</v>
      </c>
      <c r="I118" s="462">
        <v>20000</v>
      </c>
      <c r="J118" s="449">
        <v>20000</v>
      </c>
      <c r="K118" s="462">
        <f t="shared" si="26"/>
        <v>100</v>
      </c>
      <c r="L118" s="462">
        <f t="shared" si="27"/>
        <v>0</v>
      </c>
      <c r="M118" s="449">
        <v>20000</v>
      </c>
      <c r="N118" s="178">
        <f t="shared" si="25"/>
        <v>0</v>
      </c>
    </row>
    <row r="119" spans="1:14" ht="38.9" customHeight="1" outlineLevel="7" x14ac:dyDescent="0.3">
      <c r="A119" s="189" t="s">
        <v>620</v>
      </c>
      <c r="B119" s="392" t="s">
        <v>455</v>
      </c>
      <c r="C119" s="392" t="s">
        <v>24</v>
      </c>
      <c r="D119" s="392" t="s">
        <v>618</v>
      </c>
      <c r="E119" s="392" t="s">
        <v>6</v>
      </c>
      <c r="F119" s="471">
        <f>F122+F120</f>
        <v>10742808.52</v>
      </c>
      <c r="G119" s="462">
        <f>G122+G120</f>
        <v>503647.5</v>
      </c>
      <c r="H119" s="460">
        <v>203801.14</v>
      </c>
      <c r="I119" s="462">
        <f>I122+I120</f>
        <v>0</v>
      </c>
      <c r="J119" s="462">
        <f>J122+J120</f>
        <v>0</v>
      </c>
      <c r="K119" s="462">
        <f t="shared" si="26"/>
        <v>0</v>
      </c>
      <c r="L119" s="462">
        <f t="shared" si="27"/>
        <v>-503647.5</v>
      </c>
      <c r="M119" s="462">
        <f>M122+M120</f>
        <v>0</v>
      </c>
      <c r="N119" s="178">
        <f t="shared" si="25"/>
        <v>0</v>
      </c>
    </row>
    <row r="120" spans="1:14" ht="38.9" customHeight="1" outlineLevel="7" x14ac:dyDescent="0.3">
      <c r="A120" s="189" t="s">
        <v>15</v>
      </c>
      <c r="B120" s="392" t="s">
        <v>455</v>
      </c>
      <c r="C120" s="392" t="s">
        <v>24</v>
      </c>
      <c r="D120" s="392" t="s">
        <v>618</v>
      </c>
      <c r="E120" s="392" t="s">
        <v>16</v>
      </c>
      <c r="F120" s="471">
        <f>F121</f>
        <v>8087150.75</v>
      </c>
      <c r="G120" s="462">
        <f>G121</f>
        <v>484648.5</v>
      </c>
      <c r="H120" s="460">
        <v>198422.14</v>
      </c>
      <c r="I120" s="462">
        <f>I121</f>
        <v>0</v>
      </c>
      <c r="J120" s="462">
        <f>J121</f>
        <v>0</v>
      </c>
      <c r="K120" s="462">
        <f t="shared" si="26"/>
        <v>0</v>
      </c>
      <c r="L120" s="462">
        <f t="shared" si="27"/>
        <v>-484648.5</v>
      </c>
      <c r="M120" s="462">
        <f>M121</f>
        <v>0</v>
      </c>
      <c r="N120" s="178">
        <f t="shared" si="25"/>
        <v>0</v>
      </c>
    </row>
    <row r="121" spans="1:14" ht="38.9" customHeight="1" outlineLevel="7" x14ac:dyDescent="0.3">
      <c r="A121" s="189" t="s">
        <v>17</v>
      </c>
      <c r="B121" s="392" t="s">
        <v>455</v>
      </c>
      <c r="C121" s="392" t="s">
        <v>24</v>
      </c>
      <c r="D121" s="392" t="s">
        <v>618</v>
      </c>
      <c r="E121" s="392" t="s">
        <v>18</v>
      </c>
      <c r="F121" s="475">
        <v>8087150.75</v>
      </c>
      <c r="G121" s="462">
        <f>14886.27+64260.24+25914.09+93587.9+286000</f>
        <v>484648.5</v>
      </c>
      <c r="H121" s="460">
        <v>198422.14</v>
      </c>
      <c r="I121" s="462">
        <v>0</v>
      </c>
      <c r="J121" s="449"/>
      <c r="K121" s="462">
        <f t="shared" si="26"/>
        <v>0</v>
      </c>
      <c r="L121" s="462">
        <f t="shared" si="27"/>
        <v>-484648.5</v>
      </c>
      <c r="M121" s="449"/>
      <c r="N121" s="178">
        <f t="shared" si="25"/>
        <v>0</v>
      </c>
    </row>
    <row r="122" spans="1:14" ht="18.350000000000001" customHeight="1" outlineLevel="7" x14ac:dyDescent="0.3">
      <c r="A122" s="189" t="s">
        <v>19</v>
      </c>
      <c r="B122" s="392" t="s">
        <v>455</v>
      </c>
      <c r="C122" s="392" t="s">
        <v>24</v>
      </c>
      <c r="D122" s="392" t="s">
        <v>618</v>
      </c>
      <c r="E122" s="392" t="s">
        <v>20</v>
      </c>
      <c r="F122" s="475">
        <v>2655657.77</v>
      </c>
      <c r="G122" s="462">
        <f>G123+G124</f>
        <v>18999</v>
      </c>
      <c r="H122" s="460">
        <v>5379</v>
      </c>
      <c r="I122" s="462">
        <f>I123+I124</f>
        <v>0</v>
      </c>
      <c r="J122" s="462">
        <f>J123+J124</f>
        <v>0</v>
      </c>
      <c r="K122" s="462">
        <f t="shared" si="26"/>
        <v>0</v>
      </c>
      <c r="L122" s="462">
        <f t="shared" si="27"/>
        <v>-18999</v>
      </c>
      <c r="M122" s="462">
        <f>M123+M124</f>
        <v>0</v>
      </c>
      <c r="N122" s="178">
        <f t="shared" si="25"/>
        <v>0</v>
      </c>
    </row>
    <row r="123" spans="1:14" ht="21.25" customHeight="1" outlineLevel="7" x14ac:dyDescent="0.3">
      <c r="A123" s="189" t="s">
        <v>646</v>
      </c>
      <c r="B123" s="392" t="s">
        <v>455</v>
      </c>
      <c r="C123" s="392" t="s">
        <v>24</v>
      </c>
      <c r="D123" s="392" t="s">
        <v>618</v>
      </c>
      <c r="E123" s="392" t="s">
        <v>647</v>
      </c>
      <c r="F123" s="475">
        <v>2655657.77</v>
      </c>
      <c r="G123" s="462">
        <f>2000+1256+2000+3743+10000</f>
        <v>18999</v>
      </c>
      <c r="H123" s="460">
        <v>5379</v>
      </c>
      <c r="I123" s="462">
        <v>0</v>
      </c>
      <c r="J123" s="449"/>
      <c r="K123" s="462">
        <f t="shared" si="26"/>
        <v>0</v>
      </c>
      <c r="L123" s="462">
        <f t="shared" si="27"/>
        <v>-18999</v>
      </c>
      <c r="M123" s="449"/>
      <c r="N123" s="178">
        <f t="shared" si="25"/>
        <v>0</v>
      </c>
    </row>
    <row r="124" spans="1:14" ht="19.2" customHeight="1" outlineLevel="7" x14ac:dyDescent="0.3">
      <c r="A124" s="189" t="s">
        <v>619</v>
      </c>
      <c r="B124" s="392" t="s">
        <v>455</v>
      </c>
      <c r="C124" s="392" t="s">
        <v>24</v>
      </c>
      <c r="D124" s="392" t="s">
        <v>618</v>
      </c>
      <c r="E124" s="392" t="s">
        <v>22</v>
      </c>
      <c r="F124" s="462" t="s">
        <v>838</v>
      </c>
      <c r="G124" s="462">
        <f>795959.09-525000-270959.09</f>
        <v>0</v>
      </c>
      <c r="H124" s="462">
        <v>0</v>
      </c>
      <c r="I124" s="462">
        <f>795959.09-525000-270959.09</f>
        <v>0</v>
      </c>
      <c r="J124" s="449"/>
      <c r="K124" s="462" t="e">
        <f t="shared" si="26"/>
        <v>#DIV/0!</v>
      </c>
      <c r="L124" s="462">
        <f t="shared" si="27"/>
        <v>0</v>
      </c>
      <c r="M124" s="449"/>
      <c r="N124" s="178">
        <f t="shared" si="25"/>
        <v>0</v>
      </c>
    </row>
    <row r="125" spans="1:14" ht="40.75" customHeight="1" outlineLevel="7" x14ac:dyDescent="0.3">
      <c r="A125" s="189" t="s">
        <v>458</v>
      </c>
      <c r="B125" s="392" t="s">
        <v>455</v>
      </c>
      <c r="C125" s="392" t="s">
        <v>24</v>
      </c>
      <c r="D125" s="392" t="s">
        <v>457</v>
      </c>
      <c r="E125" s="392" t="s">
        <v>6</v>
      </c>
      <c r="F125" s="475">
        <v>160524.68</v>
      </c>
      <c r="G125" s="449">
        <f t="shared" ref="G125:J126" si="38">G126</f>
        <v>250000</v>
      </c>
      <c r="H125" s="460">
        <v>184393.4</v>
      </c>
      <c r="I125" s="449">
        <f t="shared" si="38"/>
        <v>200000</v>
      </c>
      <c r="J125" s="449">
        <f t="shared" si="38"/>
        <v>250000</v>
      </c>
      <c r="K125" s="462">
        <f t="shared" si="26"/>
        <v>100</v>
      </c>
      <c r="L125" s="462">
        <f t="shared" si="27"/>
        <v>0</v>
      </c>
      <c r="M125" s="449">
        <f t="shared" ref="M125:M126" si="39">M126</f>
        <v>250000</v>
      </c>
      <c r="N125" s="178">
        <f t="shared" si="25"/>
        <v>0</v>
      </c>
    </row>
    <row r="126" spans="1:14" ht="34" outlineLevel="7" x14ac:dyDescent="0.3">
      <c r="A126" s="189" t="s">
        <v>15</v>
      </c>
      <c r="B126" s="392" t="s">
        <v>455</v>
      </c>
      <c r="C126" s="392" t="s">
        <v>24</v>
      </c>
      <c r="D126" s="392" t="s">
        <v>457</v>
      </c>
      <c r="E126" s="392" t="s">
        <v>16</v>
      </c>
      <c r="F126" s="475">
        <v>160524.68</v>
      </c>
      <c r="G126" s="449">
        <f t="shared" si="38"/>
        <v>250000</v>
      </c>
      <c r="H126" s="460">
        <v>184393.4</v>
      </c>
      <c r="I126" s="449">
        <f t="shared" si="38"/>
        <v>200000</v>
      </c>
      <c r="J126" s="449">
        <f t="shared" si="38"/>
        <v>250000</v>
      </c>
      <c r="K126" s="462">
        <f t="shared" si="26"/>
        <v>100</v>
      </c>
      <c r="L126" s="462">
        <f t="shared" si="27"/>
        <v>0</v>
      </c>
      <c r="M126" s="449">
        <f t="shared" si="39"/>
        <v>250000</v>
      </c>
      <c r="N126" s="178">
        <f t="shared" si="25"/>
        <v>0</v>
      </c>
    </row>
    <row r="127" spans="1:14" ht="19.7" customHeight="1" outlineLevel="7" x14ac:dyDescent="0.3">
      <c r="A127" s="189" t="s">
        <v>17</v>
      </c>
      <c r="B127" s="392" t="s">
        <v>455</v>
      </c>
      <c r="C127" s="392" t="s">
        <v>24</v>
      </c>
      <c r="D127" s="392" t="s">
        <v>457</v>
      </c>
      <c r="E127" s="392" t="s">
        <v>18</v>
      </c>
      <c r="F127" s="475">
        <v>160524.68</v>
      </c>
      <c r="G127" s="462">
        <f>'потребность 2023 (5)'!K132+50000</f>
        <v>250000</v>
      </c>
      <c r="H127" s="460">
        <v>184393.4</v>
      </c>
      <c r="I127" s="462">
        <v>200000</v>
      </c>
      <c r="J127" s="449">
        <v>250000</v>
      </c>
      <c r="K127" s="462">
        <f t="shared" si="26"/>
        <v>100</v>
      </c>
      <c r="L127" s="462">
        <f t="shared" si="27"/>
        <v>0</v>
      </c>
      <c r="M127" s="449">
        <v>250000</v>
      </c>
      <c r="N127" s="178">
        <f t="shared" si="25"/>
        <v>0</v>
      </c>
    </row>
    <row r="128" spans="1:14" ht="34" outlineLevel="3" x14ac:dyDescent="0.3">
      <c r="A128" s="189" t="s">
        <v>269</v>
      </c>
      <c r="B128" s="392" t="s">
        <v>455</v>
      </c>
      <c r="C128" s="392" t="s">
        <v>24</v>
      </c>
      <c r="D128" s="392" t="s">
        <v>268</v>
      </c>
      <c r="E128" s="392" t="s">
        <v>6</v>
      </c>
      <c r="F128" s="462"/>
      <c r="G128" s="462"/>
      <c r="H128" s="460"/>
      <c r="I128" s="462"/>
      <c r="J128" s="462">
        <f>J155+J129+J137+J145+J150+J134+J142</f>
        <v>0</v>
      </c>
      <c r="K128" s="462" t="e">
        <f t="shared" si="26"/>
        <v>#DIV/0!</v>
      </c>
      <c r="L128" s="462">
        <f t="shared" si="27"/>
        <v>0</v>
      </c>
      <c r="M128" s="462">
        <f>M155+M129+M137+M145+M150+M134+M142</f>
        <v>0</v>
      </c>
      <c r="N128" s="178">
        <f t="shared" si="25"/>
        <v>0</v>
      </c>
    </row>
    <row r="129" spans="1:14" ht="67.95" customHeight="1" outlineLevel="3" x14ac:dyDescent="0.3">
      <c r="A129" s="185" t="s">
        <v>962</v>
      </c>
      <c r="B129" s="392" t="s">
        <v>455</v>
      </c>
      <c r="C129" s="392" t="s">
        <v>24</v>
      </c>
      <c r="D129" s="392" t="s">
        <v>270</v>
      </c>
      <c r="E129" s="392" t="s">
        <v>6</v>
      </c>
      <c r="F129" s="471"/>
      <c r="G129" s="462">
        <f>G130+G132</f>
        <v>0</v>
      </c>
      <c r="H129" s="460"/>
      <c r="I129" s="462">
        <f>I130+I132</f>
        <v>0</v>
      </c>
      <c r="J129" s="462">
        <f>J130+J132</f>
        <v>0</v>
      </c>
      <c r="K129" s="462" t="e">
        <f t="shared" si="26"/>
        <v>#DIV/0!</v>
      </c>
      <c r="L129" s="462">
        <f t="shared" si="27"/>
        <v>0</v>
      </c>
      <c r="M129" s="462">
        <f>M130+M132</f>
        <v>0</v>
      </c>
      <c r="N129" s="178">
        <f t="shared" si="25"/>
        <v>0</v>
      </c>
    </row>
    <row r="130" spans="1:14" ht="101.9" outlineLevel="3" x14ac:dyDescent="0.3">
      <c r="A130" s="189" t="s">
        <v>11</v>
      </c>
      <c r="B130" s="392" t="s">
        <v>455</v>
      </c>
      <c r="C130" s="392" t="s">
        <v>24</v>
      </c>
      <c r="D130" s="392" t="s">
        <v>270</v>
      </c>
      <c r="E130" s="392" t="s">
        <v>12</v>
      </c>
      <c r="F130" s="471"/>
      <c r="G130" s="462">
        <f>G131</f>
        <v>0</v>
      </c>
      <c r="H130" s="460"/>
      <c r="I130" s="462">
        <f>I131</f>
        <v>0</v>
      </c>
      <c r="J130" s="462">
        <f>J131</f>
        <v>0</v>
      </c>
      <c r="K130" s="462" t="e">
        <f t="shared" si="26"/>
        <v>#DIV/0!</v>
      </c>
      <c r="L130" s="462">
        <f t="shared" si="27"/>
        <v>0</v>
      </c>
      <c r="M130" s="462">
        <f>M131</f>
        <v>0</v>
      </c>
      <c r="N130" s="178">
        <f t="shared" si="25"/>
        <v>0</v>
      </c>
    </row>
    <row r="131" spans="1:14" ht="34" outlineLevel="3" x14ac:dyDescent="0.3">
      <c r="A131" s="189" t="s">
        <v>13</v>
      </c>
      <c r="B131" s="392" t="s">
        <v>455</v>
      </c>
      <c r="C131" s="392" t="s">
        <v>24</v>
      </c>
      <c r="D131" s="392" t="s">
        <v>270</v>
      </c>
      <c r="E131" s="392" t="s">
        <v>14</v>
      </c>
      <c r="F131" s="475"/>
      <c r="G131" s="462">
        <v>0</v>
      </c>
      <c r="H131" s="460"/>
      <c r="I131" s="462">
        <v>0</v>
      </c>
      <c r="J131" s="449"/>
      <c r="K131" s="462" t="e">
        <f t="shared" si="26"/>
        <v>#DIV/0!</v>
      </c>
      <c r="L131" s="462">
        <f t="shared" si="27"/>
        <v>0</v>
      </c>
      <c r="M131" s="449"/>
      <c r="N131" s="178">
        <f t="shared" si="25"/>
        <v>0</v>
      </c>
    </row>
    <row r="132" spans="1:14" ht="41.3" customHeight="1" outlineLevel="7" x14ac:dyDescent="0.3">
      <c r="A132" s="189" t="s">
        <v>15</v>
      </c>
      <c r="B132" s="392" t="s">
        <v>455</v>
      </c>
      <c r="C132" s="392" t="s">
        <v>24</v>
      </c>
      <c r="D132" s="392" t="s">
        <v>270</v>
      </c>
      <c r="E132" s="392" t="s">
        <v>16</v>
      </c>
      <c r="F132" s="475"/>
      <c r="G132" s="462">
        <f>G133</f>
        <v>0</v>
      </c>
      <c r="H132" s="460"/>
      <c r="I132" s="462">
        <f>I133</f>
        <v>0</v>
      </c>
      <c r="J132" s="462">
        <f>J133</f>
        <v>0</v>
      </c>
      <c r="K132" s="462" t="e">
        <f t="shared" si="26"/>
        <v>#DIV/0!</v>
      </c>
      <c r="L132" s="462">
        <f t="shared" si="27"/>
        <v>0</v>
      </c>
      <c r="M132" s="462">
        <f>M133</f>
        <v>0</v>
      </c>
      <c r="N132" s="178">
        <f t="shared" si="25"/>
        <v>0</v>
      </c>
    </row>
    <row r="133" spans="1:14" ht="50.95" outlineLevel="7" x14ac:dyDescent="0.3">
      <c r="A133" s="189" t="s">
        <v>17</v>
      </c>
      <c r="B133" s="392" t="s">
        <v>455</v>
      </c>
      <c r="C133" s="392" t="s">
        <v>24</v>
      </c>
      <c r="D133" s="392" t="s">
        <v>270</v>
      </c>
      <c r="E133" s="392" t="s">
        <v>18</v>
      </c>
      <c r="F133" s="475">
        <v>0</v>
      </c>
      <c r="G133" s="462">
        <v>0</v>
      </c>
      <c r="H133" s="460"/>
      <c r="I133" s="462">
        <v>0</v>
      </c>
      <c r="J133" s="449"/>
      <c r="K133" s="462" t="e">
        <f t="shared" si="26"/>
        <v>#DIV/0!</v>
      </c>
      <c r="L133" s="462">
        <f t="shared" si="27"/>
        <v>0</v>
      </c>
      <c r="M133" s="449"/>
      <c r="N133" s="178">
        <f t="shared" si="25"/>
        <v>0</v>
      </c>
    </row>
    <row r="134" spans="1:14" ht="67.75" customHeight="1" outlineLevel="7" x14ac:dyDescent="0.3">
      <c r="A134" s="202" t="s">
        <v>944</v>
      </c>
      <c r="B134" s="392" t="s">
        <v>455</v>
      </c>
      <c r="C134" s="392" t="s">
        <v>24</v>
      </c>
      <c r="D134" s="392" t="s">
        <v>652</v>
      </c>
      <c r="E134" s="392" t="s">
        <v>6</v>
      </c>
      <c r="F134" s="471"/>
      <c r="G134" s="462"/>
      <c r="H134" s="460"/>
      <c r="I134" s="462"/>
      <c r="J134" s="462">
        <f t="shared" ref="J134:J135" si="40">J135</f>
        <v>0</v>
      </c>
      <c r="K134" s="462" t="e">
        <f t="shared" si="26"/>
        <v>#DIV/0!</v>
      </c>
      <c r="L134" s="462">
        <f t="shared" si="27"/>
        <v>0</v>
      </c>
      <c r="M134" s="462">
        <f t="shared" ref="M134:M135" si="41">M135</f>
        <v>0</v>
      </c>
      <c r="N134" s="178">
        <f t="shared" si="25"/>
        <v>0</v>
      </c>
    </row>
    <row r="135" spans="1:14" ht="34" outlineLevel="7" x14ac:dyDescent="0.3">
      <c r="A135" s="189" t="s">
        <v>13</v>
      </c>
      <c r="B135" s="392" t="s">
        <v>455</v>
      </c>
      <c r="C135" s="392" t="s">
        <v>24</v>
      </c>
      <c r="D135" s="392" t="s">
        <v>652</v>
      </c>
      <c r="E135" s="392" t="s">
        <v>12</v>
      </c>
      <c r="F135" s="471"/>
      <c r="G135" s="462"/>
      <c r="H135" s="460"/>
      <c r="I135" s="462"/>
      <c r="J135" s="462">
        <f t="shared" si="40"/>
        <v>0</v>
      </c>
      <c r="K135" s="462" t="e">
        <f t="shared" si="26"/>
        <v>#DIV/0!</v>
      </c>
      <c r="L135" s="462">
        <f t="shared" si="27"/>
        <v>0</v>
      </c>
      <c r="M135" s="462">
        <f t="shared" si="41"/>
        <v>0</v>
      </c>
      <c r="N135" s="178">
        <f t="shared" si="25"/>
        <v>0</v>
      </c>
    </row>
    <row r="136" spans="1:14" ht="41.45" customHeight="1" outlineLevel="7" x14ac:dyDescent="0.3">
      <c r="A136" s="189" t="s">
        <v>13</v>
      </c>
      <c r="B136" s="392" t="s">
        <v>455</v>
      </c>
      <c r="C136" s="392" t="s">
        <v>24</v>
      </c>
      <c r="D136" s="392" t="s">
        <v>652</v>
      </c>
      <c r="E136" s="392" t="s">
        <v>14</v>
      </c>
      <c r="F136" s="475"/>
      <c r="G136" s="462"/>
      <c r="H136" s="460"/>
      <c r="I136" s="462"/>
      <c r="J136" s="449"/>
      <c r="K136" s="462" t="e">
        <f t="shared" si="26"/>
        <v>#DIV/0!</v>
      </c>
      <c r="L136" s="462">
        <f t="shared" si="27"/>
        <v>0</v>
      </c>
      <c r="M136" s="449"/>
      <c r="N136" s="178">
        <f t="shared" ref="N136:N199" si="42">M136-J136</f>
        <v>0</v>
      </c>
    </row>
    <row r="137" spans="1:14" ht="59.8" customHeight="1" outlineLevel="7" x14ac:dyDescent="0.3">
      <c r="A137" s="202" t="s">
        <v>945</v>
      </c>
      <c r="B137" s="392" t="s">
        <v>455</v>
      </c>
      <c r="C137" s="392" t="s">
        <v>24</v>
      </c>
      <c r="D137" s="392" t="s">
        <v>947</v>
      </c>
      <c r="E137" s="392" t="s">
        <v>6</v>
      </c>
      <c r="F137" s="471"/>
      <c r="G137" s="462"/>
      <c r="H137" s="460"/>
      <c r="I137" s="462"/>
      <c r="J137" s="462">
        <f>J138+J140</f>
        <v>0</v>
      </c>
      <c r="K137" s="462" t="e">
        <f t="shared" ref="K137:K200" si="43">J137/G137*100</f>
        <v>#DIV/0!</v>
      </c>
      <c r="L137" s="462">
        <f t="shared" ref="L137:L200" si="44">J137-G137</f>
        <v>0</v>
      </c>
      <c r="M137" s="462">
        <f>M138+M140</f>
        <v>0</v>
      </c>
      <c r="N137" s="178">
        <f t="shared" si="42"/>
        <v>0</v>
      </c>
    </row>
    <row r="138" spans="1:14" ht="39.75" customHeight="1" outlineLevel="7" x14ac:dyDescent="0.3">
      <c r="A138" s="189" t="s">
        <v>11</v>
      </c>
      <c r="B138" s="392" t="s">
        <v>455</v>
      </c>
      <c r="C138" s="392" t="s">
        <v>24</v>
      </c>
      <c r="D138" s="392" t="s">
        <v>947</v>
      </c>
      <c r="E138" s="392" t="s">
        <v>12</v>
      </c>
      <c r="F138" s="471"/>
      <c r="G138" s="462"/>
      <c r="H138" s="460"/>
      <c r="I138" s="462"/>
      <c r="J138" s="462">
        <f>J139</f>
        <v>0</v>
      </c>
      <c r="K138" s="462" t="e">
        <f t="shared" si="43"/>
        <v>#DIV/0!</v>
      </c>
      <c r="L138" s="462">
        <f t="shared" si="44"/>
        <v>0</v>
      </c>
      <c r="M138" s="462">
        <f>M139</f>
        <v>0</v>
      </c>
      <c r="N138" s="178">
        <f t="shared" si="42"/>
        <v>0</v>
      </c>
    </row>
    <row r="139" spans="1:14" ht="39.75" customHeight="1" outlineLevel="7" x14ac:dyDescent="0.3">
      <c r="A139" s="189" t="s">
        <v>13</v>
      </c>
      <c r="B139" s="392" t="s">
        <v>455</v>
      </c>
      <c r="C139" s="392" t="s">
        <v>24</v>
      </c>
      <c r="D139" s="392" t="s">
        <v>947</v>
      </c>
      <c r="E139" s="392" t="s">
        <v>14</v>
      </c>
      <c r="F139" s="475"/>
      <c r="G139" s="462"/>
      <c r="H139" s="460"/>
      <c r="I139" s="462"/>
      <c r="J139" s="449"/>
      <c r="K139" s="462" t="e">
        <f t="shared" si="43"/>
        <v>#DIV/0!</v>
      </c>
      <c r="L139" s="462">
        <f t="shared" si="44"/>
        <v>0</v>
      </c>
      <c r="M139" s="449"/>
      <c r="N139" s="178">
        <f t="shared" si="42"/>
        <v>0</v>
      </c>
    </row>
    <row r="140" spans="1:14" ht="34" outlineLevel="7" x14ac:dyDescent="0.3">
      <c r="A140" s="189" t="s">
        <v>15</v>
      </c>
      <c r="B140" s="392" t="s">
        <v>455</v>
      </c>
      <c r="C140" s="392" t="s">
        <v>24</v>
      </c>
      <c r="D140" s="392" t="s">
        <v>947</v>
      </c>
      <c r="E140" s="392" t="s">
        <v>16</v>
      </c>
      <c r="F140" s="471"/>
      <c r="G140" s="462"/>
      <c r="H140" s="460"/>
      <c r="I140" s="462"/>
      <c r="J140" s="462">
        <f>J141</f>
        <v>0</v>
      </c>
      <c r="K140" s="462" t="e">
        <f t="shared" si="43"/>
        <v>#DIV/0!</v>
      </c>
      <c r="L140" s="462">
        <f t="shared" si="44"/>
        <v>0</v>
      </c>
      <c r="M140" s="462">
        <f>M141</f>
        <v>0</v>
      </c>
      <c r="N140" s="178">
        <f t="shared" si="42"/>
        <v>0</v>
      </c>
    </row>
    <row r="141" spans="1:14" ht="50.95" outlineLevel="7" x14ac:dyDescent="0.3">
      <c r="A141" s="189" t="s">
        <v>17</v>
      </c>
      <c r="B141" s="392" t="s">
        <v>455</v>
      </c>
      <c r="C141" s="392" t="s">
        <v>24</v>
      </c>
      <c r="D141" s="392" t="s">
        <v>947</v>
      </c>
      <c r="E141" s="392" t="s">
        <v>18</v>
      </c>
      <c r="F141" s="475"/>
      <c r="G141" s="462"/>
      <c r="H141" s="460"/>
      <c r="I141" s="462"/>
      <c r="J141" s="449"/>
      <c r="K141" s="462" t="e">
        <f t="shared" si="43"/>
        <v>#DIV/0!</v>
      </c>
      <c r="L141" s="462">
        <f t="shared" si="44"/>
        <v>0</v>
      </c>
      <c r="M141" s="449"/>
      <c r="N141" s="178">
        <f t="shared" si="42"/>
        <v>0</v>
      </c>
    </row>
    <row r="142" spans="1:14" ht="50.95" outlineLevel="7" x14ac:dyDescent="0.3">
      <c r="A142" s="469" t="s">
        <v>946</v>
      </c>
      <c r="B142" s="392" t="s">
        <v>455</v>
      </c>
      <c r="C142" s="392" t="s">
        <v>24</v>
      </c>
      <c r="D142" s="392" t="s">
        <v>948</v>
      </c>
      <c r="E142" s="392" t="s">
        <v>6</v>
      </c>
      <c r="F142" s="462"/>
      <c r="G142" s="462"/>
      <c r="H142" s="460"/>
      <c r="I142" s="462"/>
      <c r="J142" s="462">
        <f t="shared" ref="J142:J143" si="45">J143</f>
        <v>0</v>
      </c>
      <c r="K142" s="462" t="e">
        <f t="shared" si="43"/>
        <v>#DIV/0!</v>
      </c>
      <c r="L142" s="462">
        <f t="shared" si="44"/>
        <v>0</v>
      </c>
      <c r="M142" s="462">
        <f t="shared" ref="M142:M143" si="46">M143</f>
        <v>0</v>
      </c>
      <c r="N142" s="178">
        <f t="shared" si="42"/>
        <v>0</v>
      </c>
    </row>
    <row r="143" spans="1:14" ht="101.9" outlineLevel="7" x14ac:dyDescent="0.3">
      <c r="A143" s="189" t="s">
        <v>11</v>
      </c>
      <c r="B143" s="392" t="s">
        <v>455</v>
      </c>
      <c r="C143" s="392" t="s">
        <v>24</v>
      </c>
      <c r="D143" s="392" t="s">
        <v>948</v>
      </c>
      <c r="E143" s="392" t="s">
        <v>12</v>
      </c>
      <c r="F143" s="462"/>
      <c r="G143" s="462"/>
      <c r="H143" s="460"/>
      <c r="I143" s="462"/>
      <c r="J143" s="462">
        <f t="shared" si="45"/>
        <v>0</v>
      </c>
      <c r="K143" s="462" t="e">
        <f t="shared" si="43"/>
        <v>#DIV/0!</v>
      </c>
      <c r="L143" s="462">
        <f t="shared" si="44"/>
        <v>0</v>
      </c>
      <c r="M143" s="462">
        <f t="shared" si="46"/>
        <v>0</v>
      </c>
      <c r="N143" s="178">
        <f t="shared" si="42"/>
        <v>0</v>
      </c>
    </row>
    <row r="144" spans="1:14" ht="34" outlineLevel="7" x14ac:dyDescent="0.3">
      <c r="A144" s="189" t="s">
        <v>13</v>
      </c>
      <c r="B144" s="392" t="s">
        <v>455</v>
      </c>
      <c r="C144" s="392" t="s">
        <v>24</v>
      </c>
      <c r="D144" s="392" t="s">
        <v>948</v>
      </c>
      <c r="E144" s="392" t="s">
        <v>14</v>
      </c>
      <c r="F144" s="462"/>
      <c r="G144" s="462"/>
      <c r="H144" s="460"/>
      <c r="I144" s="462"/>
      <c r="J144" s="449"/>
      <c r="K144" s="462" t="e">
        <f t="shared" si="43"/>
        <v>#DIV/0!</v>
      </c>
      <c r="L144" s="462">
        <f t="shared" si="44"/>
        <v>0</v>
      </c>
      <c r="M144" s="449"/>
      <c r="N144" s="178">
        <f t="shared" si="42"/>
        <v>0</v>
      </c>
    </row>
    <row r="145" spans="1:14" ht="38.9" customHeight="1" outlineLevel="7" x14ac:dyDescent="0.3">
      <c r="A145" s="185" t="s">
        <v>939</v>
      </c>
      <c r="B145" s="392" t="s">
        <v>455</v>
      </c>
      <c r="C145" s="392" t="s">
        <v>24</v>
      </c>
      <c r="D145" s="392" t="s">
        <v>271</v>
      </c>
      <c r="E145" s="392" t="s">
        <v>6</v>
      </c>
      <c r="F145" s="471"/>
      <c r="G145" s="462"/>
      <c r="H145" s="460"/>
      <c r="I145" s="462"/>
      <c r="J145" s="462">
        <f>J146+J148</f>
        <v>0</v>
      </c>
      <c r="K145" s="462" t="e">
        <f t="shared" si="43"/>
        <v>#DIV/0!</v>
      </c>
      <c r="L145" s="462">
        <f t="shared" si="44"/>
        <v>0</v>
      </c>
      <c r="M145" s="462">
        <f>M146+M148</f>
        <v>0</v>
      </c>
      <c r="N145" s="178">
        <f t="shared" si="42"/>
        <v>0</v>
      </c>
    </row>
    <row r="146" spans="1:14" ht="101.9" outlineLevel="7" x14ac:dyDescent="0.3">
      <c r="A146" s="189" t="s">
        <v>11</v>
      </c>
      <c r="B146" s="392" t="s">
        <v>455</v>
      </c>
      <c r="C146" s="392" t="s">
        <v>24</v>
      </c>
      <c r="D146" s="392" t="s">
        <v>271</v>
      </c>
      <c r="E146" s="392" t="s">
        <v>12</v>
      </c>
      <c r="F146" s="471"/>
      <c r="G146" s="462"/>
      <c r="H146" s="460"/>
      <c r="I146" s="462"/>
      <c r="J146" s="462">
        <f>J147</f>
        <v>0</v>
      </c>
      <c r="K146" s="462" t="e">
        <f t="shared" si="43"/>
        <v>#DIV/0!</v>
      </c>
      <c r="L146" s="462">
        <f t="shared" si="44"/>
        <v>0</v>
      </c>
      <c r="M146" s="462">
        <f>M147</f>
        <v>0</v>
      </c>
      <c r="N146" s="178">
        <f t="shared" si="42"/>
        <v>0</v>
      </c>
    </row>
    <row r="147" spans="1:14" ht="32.6" customHeight="1" outlineLevel="7" x14ac:dyDescent="0.3">
      <c r="A147" s="189" t="s">
        <v>13</v>
      </c>
      <c r="B147" s="392" t="s">
        <v>455</v>
      </c>
      <c r="C147" s="392" t="s">
        <v>24</v>
      </c>
      <c r="D147" s="392" t="s">
        <v>271</v>
      </c>
      <c r="E147" s="392" t="s">
        <v>14</v>
      </c>
      <c r="F147" s="475"/>
      <c r="G147" s="449"/>
      <c r="H147" s="460"/>
      <c r="I147" s="449"/>
      <c r="J147" s="449"/>
      <c r="K147" s="462" t="e">
        <f t="shared" si="43"/>
        <v>#DIV/0!</v>
      </c>
      <c r="L147" s="462">
        <f t="shared" si="44"/>
        <v>0</v>
      </c>
      <c r="M147" s="449"/>
      <c r="N147" s="178">
        <f t="shared" si="42"/>
        <v>0</v>
      </c>
    </row>
    <row r="148" spans="1:14" ht="45" customHeight="1" outlineLevel="7" x14ac:dyDescent="0.3">
      <c r="A148" s="189" t="s">
        <v>15</v>
      </c>
      <c r="B148" s="392" t="s">
        <v>455</v>
      </c>
      <c r="C148" s="392" t="s">
        <v>24</v>
      </c>
      <c r="D148" s="392" t="s">
        <v>271</v>
      </c>
      <c r="E148" s="392" t="s">
        <v>16</v>
      </c>
      <c r="F148" s="475"/>
      <c r="G148" s="462"/>
      <c r="H148" s="460"/>
      <c r="I148" s="462"/>
      <c r="J148" s="462">
        <f>J149</f>
        <v>0</v>
      </c>
      <c r="K148" s="462" t="e">
        <f t="shared" si="43"/>
        <v>#DIV/0!</v>
      </c>
      <c r="L148" s="462">
        <f t="shared" si="44"/>
        <v>0</v>
      </c>
      <c r="M148" s="462">
        <f>M149</f>
        <v>0</v>
      </c>
      <c r="N148" s="178">
        <f t="shared" si="42"/>
        <v>0</v>
      </c>
    </row>
    <row r="149" spans="1:14" ht="50.95" outlineLevel="7" x14ac:dyDescent="0.3">
      <c r="A149" s="189" t="s">
        <v>17</v>
      </c>
      <c r="B149" s="392" t="s">
        <v>455</v>
      </c>
      <c r="C149" s="392" t="s">
        <v>24</v>
      </c>
      <c r="D149" s="392" t="s">
        <v>271</v>
      </c>
      <c r="E149" s="392" t="s">
        <v>18</v>
      </c>
      <c r="F149" s="475"/>
      <c r="G149" s="462"/>
      <c r="H149" s="460"/>
      <c r="I149" s="462"/>
      <c r="J149" s="449"/>
      <c r="K149" s="462" t="e">
        <f t="shared" si="43"/>
        <v>#DIV/0!</v>
      </c>
      <c r="L149" s="462">
        <f t="shared" si="44"/>
        <v>0</v>
      </c>
      <c r="M149" s="449"/>
      <c r="N149" s="178">
        <f t="shared" si="42"/>
        <v>0</v>
      </c>
    </row>
    <row r="150" spans="1:14" ht="46.55" customHeight="1" outlineLevel="7" x14ac:dyDescent="0.3">
      <c r="A150" s="202" t="s">
        <v>943</v>
      </c>
      <c r="B150" s="392" t="s">
        <v>455</v>
      </c>
      <c r="C150" s="392" t="s">
        <v>24</v>
      </c>
      <c r="D150" s="392" t="s">
        <v>381</v>
      </c>
      <c r="E150" s="392" t="s">
        <v>6</v>
      </c>
      <c r="F150" s="471"/>
      <c r="G150" s="462"/>
      <c r="H150" s="460"/>
      <c r="I150" s="462"/>
      <c r="J150" s="462">
        <f>J151+J153</f>
        <v>0</v>
      </c>
      <c r="K150" s="462" t="e">
        <f t="shared" si="43"/>
        <v>#DIV/0!</v>
      </c>
      <c r="L150" s="462">
        <f t="shared" si="44"/>
        <v>0</v>
      </c>
      <c r="M150" s="462">
        <f>M151+M153</f>
        <v>0</v>
      </c>
      <c r="N150" s="178">
        <f t="shared" si="42"/>
        <v>0</v>
      </c>
    </row>
    <row r="151" spans="1:14" ht="101.9" outlineLevel="7" x14ac:dyDescent="0.3">
      <c r="A151" s="189" t="s">
        <v>11</v>
      </c>
      <c r="B151" s="392" t="s">
        <v>455</v>
      </c>
      <c r="C151" s="392" t="s">
        <v>24</v>
      </c>
      <c r="D151" s="392" t="s">
        <v>381</v>
      </c>
      <c r="E151" s="392" t="s">
        <v>12</v>
      </c>
      <c r="F151" s="471"/>
      <c r="G151" s="462"/>
      <c r="H151" s="460"/>
      <c r="I151" s="462"/>
      <c r="J151" s="462">
        <f>J152</f>
        <v>0</v>
      </c>
      <c r="K151" s="462" t="e">
        <f t="shared" si="43"/>
        <v>#DIV/0!</v>
      </c>
      <c r="L151" s="462">
        <f t="shared" si="44"/>
        <v>0</v>
      </c>
      <c r="M151" s="462">
        <f>M152</f>
        <v>0</v>
      </c>
      <c r="N151" s="178">
        <f t="shared" si="42"/>
        <v>0</v>
      </c>
    </row>
    <row r="152" spans="1:14" ht="21.25" customHeight="1" outlineLevel="7" x14ac:dyDescent="0.3">
      <c r="A152" s="189" t="s">
        <v>13</v>
      </c>
      <c r="B152" s="392" t="s">
        <v>455</v>
      </c>
      <c r="C152" s="392" t="s">
        <v>24</v>
      </c>
      <c r="D152" s="392" t="s">
        <v>381</v>
      </c>
      <c r="E152" s="392" t="s">
        <v>14</v>
      </c>
      <c r="F152" s="475"/>
      <c r="G152" s="462"/>
      <c r="H152" s="460"/>
      <c r="I152" s="462"/>
      <c r="J152" s="449"/>
      <c r="K152" s="462" t="e">
        <f t="shared" si="43"/>
        <v>#DIV/0!</v>
      </c>
      <c r="L152" s="462">
        <f t="shared" si="44"/>
        <v>0</v>
      </c>
      <c r="M152" s="449"/>
      <c r="N152" s="178">
        <f t="shared" si="42"/>
        <v>0</v>
      </c>
    </row>
    <row r="153" spans="1:14" ht="38.25" customHeight="1" outlineLevel="7" x14ac:dyDescent="0.3">
      <c r="A153" s="189" t="s">
        <v>15</v>
      </c>
      <c r="B153" s="392" t="s">
        <v>455</v>
      </c>
      <c r="C153" s="392" t="s">
        <v>24</v>
      </c>
      <c r="D153" s="392" t="s">
        <v>381</v>
      </c>
      <c r="E153" s="392" t="s">
        <v>16</v>
      </c>
      <c r="F153" s="475"/>
      <c r="G153" s="462"/>
      <c r="H153" s="460"/>
      <c r="I153" s="462"/>
      <c r="J153" s="462">
        <f>J154</f>
        <v>0</v>
      </c>
      <c r="K153" s="462" t="e">
        <f t="shared" si="43"/>
        <v>#DIV/0!</v>
      </c>
      <c r="L153" s="462">
        <f t="shared" si="44"/>
        <v>0</v>
      </c>
      <c r="M153" s="462">
        <f>M154</f>
        <v>0</v>
      </c>
      <c r="N153" s="178">
        <f t="shared" si="42"/>
        <v>0</v>
      </c>
    </row>
    <row r="154" spans="1:14" ht="50.95" outlineLevel="7" x14ac:dyDescent="0.3">
      <c r="A154" s="189" t="s">
        <v>17</v>
      </c>
      <c r="B154" s="392" t="s">
        <v>455</v>
      </c>
      <c r="C154" s="392" t="s">
        <v>24</v>
      </c>
      <c r="D154" s="392" t="s">
        <v>381</v>
      </c>
      <c r="E154" s="392" t="s">
        <v>18</v>
      </c>
      <c r="F154" s="475"/>
      <c r="G154" s="462"/>
      <c r="H154" s="460"/>
      <c r="I154" s="462"/>
      <c r="J154" s="449"/>
      <c r="K154" s="462" t="e">
        <f t="shared" si="43"/>
        <v>#DIV/0!</v>
      </c>
      <c r="L154" s="462">
        <f t="shared" si="44"/>
        <v>0</v>
      </c>
      <c r="M154" s="449"/>
      <c r="N154" s="178">
        <f t="shared" si="42"/>
        <v>0</v>
      </c>
    </row>
    <row r="155" spans="1:14" ht="101.25" customHeight="1" outlineLevel="7" x14ac:dyDescent="0.3">
      <c r="A155" s="202" t="s">
        <v>959</v>
      </c>
      <c r="B155" s="392" t="s">
        <v>455</v>
      </c>
      <c r="C155" s="392" t="s">
        <v>24</v>
      </c>
      <c r="D155" s="470" t="s">
        <v>287</v>
      </c>
      <c r="E155" s="392" t="s">
        <v>6</v>
      </c>
      <c r="F155" s="471"/>
      <c r="G155" s="462"/>
      <c r="H155" s="460"/>
      <c r="I155" s="462"/>
      <c r="J155" s="462">
        <f>J156+J158</f>
        <v>0</v>
      </c>
      <c r="K155" s="462" t="e">
        <f t="shared" si="43"/>
        <v>#DIV/0!</v>
      </c>
      <c r="L155" s="462">
        <f t="shared" si="44"/>
        <v>0</v>
      </c>
      <c r="M155" s="462">
        <f>M156+M158</f>
        <v>0</v>
      </c>
      <c r="N155" s="178">
        <f t="shared" si="42"/>
        <v>0</v>
      </c>
    </row>
    <row r="156" spans="1:14" ht="101.9" outlineLevel="7" x14ac:dyDescent="0.3">
      <c r="A156" s="189" t="s">
        <v>11</v>
      </c>
      <c r="B156" s="392" t="s">
        <v>455</v>
      </c>
      <c r="C156" s="392" t="s">
        <v>24</v>
      </c>
      <c r="D156" s="470" t="s">
        <v>287</v>
      </c>
      <c r="E156" s="392" t="s">
        <v>12</v>
      </c>
      <c r="F156" s="471"/>
      <c r="G156" s="462"/>
      <c r="H156" s="460"/>
      <c r="I156" s="462"/>
      <c r="J156" s="462">
        <f>J157</f>
        <v>0</v>
      </c>
      <c r="K156" s="462" t="e">
        <f t="shared" si="43"/>
        <v>#DIV/0!</v>
      </c>
      <c r="L156" s="462">
        <f t="shared" si="44"/>
        <v>0</v>
      </c>
      <c r="M156" s="462">
        <f>M157</f>
        <v>0</v>
      </c>
      <c r="N156" s="178">
        <f t="shared" si="42"/>
        <v>0</v>
      </c>
    </row>
    <row r="157" spans="1:14" ht="19.55" customHeight="1" outlineLevel="7" x14ac:dyDescent="0.3">
      <c r="A157" s="189" t="s">
        <v>13</v>
      </c>
      <c r="B157" s="392" t="s">
        <v>455</v>
      </c>
      <c r="C157" s="392" t="s">
        <v>24</v>
      </c>
      <c r="D157" s="470" t="s">
        <v>287</v>
      </c>
      <c r="E157" s="392" t="s">
        <v>14</v>
      </c>
      <c r="F157" s="475"/>
      <c r="G157" s="462"/>
      <c r="H157" s="460"/>
      <c r="I157" s="462"/>
      <c r="J157" s="449"/>
      <c r="K157" s="462" t="e">
        <f t="shared" si="43"/>
        <v>#DIV/0!</v>
      </c>
      <c r="L157" s="462">
        <f t="shared" si="44"/>
        <v>0</v>
      </c>
      <c r="M157" s="449"/>
      <c r="N157" s="178">
        <f t="shared" si="42"/>
        <v>0</v>
      </c>
    </row>
    <row r="158" spans="1:14" ht="46.55" customHeight="1" outlineLevel="3" x14ac:dyDescent="0.3">
      <c r="A158" s="189" t="s">
        <v>15</v>
      </c>
      <c r="B158" s="392" t="s">
        <v>455</v>
      </c>
      <c r="C158" s="392" t="s">
        <v>24</v>
      </c>
      <c r="D158" s="470" t="s">
        <v>287</v>
      </c>
      <c r="E158" s="392" t="s">
        <v>16</v>
      </c>
      <c r="F158" s="475"/>
      <c r="G158" s="462"/>
      <c r="H158" s="460"/>
      <c r="I158" s="462"/>
      <c r="J158" s="462">
        <f>J159</f>
        <v>0</v>
      </c>
      <c r="K158" s="462" t="e">
        <f t="shared" si="43"/>
        <v>#DIV/0!</v>
      </c>
      <c r="L158" s="462">
        <f t="shared" si="44"/>
        <v>0</v>
      </c>
      <c r="M158" s="462">
        <f>M159</f>
        <v>0</v>
      </c>
      <c r="N158" s="178">
        <f t="shared" si="42"/>
        <v>0</v>
      </c>
    </row>
    <row r="159" spans="1:14" ht="50.95" outlineLevel="3" x14ac:dyDescent="0.3">
      <c r="A159" s="189" t="s">
        <v>17</v>
      </c>
      <c r="B159" s="392" t="s">
        <v>455</v>
      </c>
      <c r="C159" s="392" t="s">
        <v>24</v>
      </c>
      <c r="D159" s="470" t="s">
        <v>287</v>
      </c>
      <c r="E159" s="392" t="s">
        <v>18</v>
      </c>
      <c r="F159" s="475"/>
      <c r="G159" s="462"/>
      <c r="H159" s="460"/>
      <c r="I159" s="462"/>
      <c r="J159" s="449"/>
      <c r="K159" s="462" t="e">
        <f t="shared" si="43"/>
        <v>#DIV/0!</v>
      </c>
      <c r="L159" s="462">
        <f t="shared" si="44"/>
        <v>0</v>
      </c>
      <c r="M159" s="449"/>
      <c r="N159" s="178">
        <f t="shared" si="42"/>
        <v>0</v>
      </c>
    </row>
    <row r="160" spans="1:14" ht="23.1" customHeight="1" outlineLevel="3" x14ac:dyDescent="0.3">
      <c r="A160" s="233" t="s">
        <v>525</v>
      </c>
      <c r="B160" s="397" t="s">
        <v>455</v>
      </c>
      <c r="C160" s="397" t="s">
        <v>26</v>
      </c>
      <c r="D160" s="397" t="s">
        <v>126</v>
      </c>
      <c r="E160" s="397" t="s">
        <v>6</v>
      </c>
      <c r="F160" s="471">
        <f t="shared" ref="F160:J165" si="47">F161</f>
        <v>221108.82</v>
      </c>
      <c r="G160" s="462">
        <f t="shared" si="47"/>
        <v>270000</v>
      </c>
      <c r="H160" s="460">
        <v>1265582.6100000001</v>
      </c>
      <c r="I160" s="462">
        <f t="shared" si="47"/>
        <v>280000</v>
      </c>
      <c r="J160" s="462">
        <f t="shared" si="47"/>
        <v>270000</v>
      </c>
      <c r="K160" s="462">
        <f t="shared" si="43"/>
        <v>100</v>
      </c>
      <c r="L160" s="462">
        <f t="shared" si="44"/>
        <v>0</v>
      </c>
      <c r="M160" s="462">
        <f t="shared" ref="M160:M165" si="48">M161</f>
        <v>270000</v>
      </c>
      <c r="N160" s="178">
        <f t="shared" si="42"/>
        <v>0</v>
      </c>
    </row>
    <row r="161" spans="1:14" ht="23.8" customHeight="1" outlineLevel="3" x14ac:dyDescent="0.3">
      <c r="A161" s="189" t="s">
        <v>526</v>
      </c>
      <c r="B161" s="392" t="s">
        <v>455</v>
      </c>
      <c r="C161" s="392" t="s">
        <v>527</v>
      </c>
      <c r="D161" s="392" t="s">
        <v>126</v>
      </c>
      <c r="E161" s="392" t="s">
        <v>6</v>
      </c>
      <c r="F161" s="471">
        <f t="shared" si="47"/>
        <v>221108.82</v>
      </c>
      <c r="G161" s="462">
        <f t="shared" si="47"/>
        <v>270000</v>
      </c>
      <c r="H161" s="460">
        <v>1265582.6100000001</v>
      </c>
      <c r="I161" s="462">
        <f t="shared" si="47"/>
        <v>280000</v>
      </c>
      <c r="J161" s="462">
        <f t="shared" si="47"/>
        <v>270000</v>
      </c>
      <c r="K161" s="462">
        <f t="shared" si="43"/>
        <v>100</v>
      </c>
      <c r="L161" s="462">
        <f t="shared" si="44"/>
        <v>0</v>
      </c>
      <c r="M161" s="462">
        <f t="shared" si="48"/>
        <v>270000</v>
      </c>
      <c r="N161" s="178">
        <f t="shared" si="42"/>
        <v>0</v>
      </c>
    </row>
    <row r="162" spans="1:14" ht="38.9" customHeight="1" outlineLevel="3" x14ac:dyDescent="0.3">
      <c r="A162" s="189" t="s">
        <v>132</v>
      </c>
      <c r="B162" s="392" t="s">
        <v>455</v>
      </c>
      <c r="C162" s="392" t="s">
        <v>527</v>
      </c>
      <c r="D162" s="392" t="s">
        <v>127</v>
      </c>
      <c r="E162" s="392" t="s">
        <v>6</v>
      </c>
      <c r="F162" s="471">
        <f>F163+F169</f>
        <v>221108.82</v>
      </c>
      <c r="G162" s="462">
        <f>G163+G167</f>
        <v>270000</v>
      </c>
      <c r="H162" s="460">
        <v>1265582.6100000001</v>
      </c>
      <c r="I162" s="462">
        <f>I163+I167</f>
        <v>280000</v>
      </c>
      <c r="J162" s="462">
        <f>J163+J167</f>
        <v>270000</v>
      </c>
      <c r="K162" s="462">
        <f t="shared" si="43"/>
        <v>100</v>
      </c>
      <c r="L162" s="462">
        <f t="shared" si="44"/>
        <v>0</v>
      </c>
      <c r="M162" s="462">
        <f>M163+M167</f>
        <v>270000</v>
      </c>
      <c r="N162" s="178">
        <f t="shared" si="42"/>
        <v>0</v>
      </c>
    </row>
    <row r="163" spans="1:14" ht="19.55" customHeight="1" outlineLevel="3" x14ac:dyDescent="0.3">
      <c r="A163" s="189" t="s">
        <v>269</v>
      </c>
      <c r="B163" s="392" t="s">
        <v>455</v>
      </c>
      <c r="C163" s="392" t="s">
        <v>527</v>
      </c>
      <c r="D163" s="392" t="s">
        <v>268</v>
      </c>
      <c r="E163" s="392" t="s">
        <v>6</v>
      </c>
      <c r="F163" s="471">
        <f t="shared" si="47"/>
        <v>0</v>
      </c>
      <c r="G163" s="462">
        <f t="shared" si="47"/>
        <v>0</v>
      </c>
      <c r="H163" s="460"/>
      <c r="I163" s="462">
        <f t="shared" si="47"/>
        <v>0</v>
      </c>
      <c r="J163" s="462">
        <f t="shared" si="47"/>
        <v>0</v>
      </c>
      <c r="K163" s="462" t="e">
        <f t="shared" si="43"/>
        <v>#DIV/0!</v>
      </c>
      <c r="L163" s="462">
        <f t="shared" si="44"/>
        <v>0</v>
      </c>
      <c r="M163" s="462">
        <f t="shared" si="48"/>
        <v>0</v>
      </c>
      <c r="N163" s="178">
        <f t="shared" si="42"/>
        <v>0</v>
      </c>
    </row>
    <row r="164" spans="1:14" ht="55.2" customHeight="1" outlineLevel="3" x14ac:dyDescent="0.3">
      <c r="A164" s="189" t="s">
        <v>960</v>
      </c>
      <c r="B164" s="392" t="s">
        <v>455</v>
      </c>
      <c r="C164" s="392" t="s">
        <v>527</v>
      </c>
      <c r="D164" s="392" t="s">
        <v>529</v>
      </c>
      <c r="E164" s="392" t="s">
        <v>6</v>
      </c>
      <c r="F164" s="471">
        <v>0</v>
      </c>
      <c r="G164" s="462">
        <f t="shared" si="47"/>
        <v>0</v>
      </c>
      <c r="H164" s="460"/>
      <c r="I164" s="462">
        <f t="shared" si="47"/>
        <v>0</v>
      </c>
      <c r="J164" s="462">
        <f t="shared" si="47"/>
        <v>0</v>
      </c>
      <c r="K164" s="462" t="e">
        <f t="shared" si="43"/>
        <v>#DIV/0!</v>
      </c>
      <c r="L164" s="462">
        <f t="shared" si="44"/>
        <v>0</v>
      </c>
      <c r="M164" s="462">
        <f t="shared" si="48"/>
        <v>0</v>
      </c>
      <c r="N164" s="178">
        <f t="shared" si="42"/>
        <v>0</v>
      </c>
    </row>
    <row r="165" spans="1:14" ht="101.9" outlineLevel="3" x14ac:dyDescent="0.3">
      <c r="A165" s="189" t="s">
        <v>11</v>
      </c>
      <c r="B165" s="392" t="s">
        <v>455</v>
      </c>
      <c r="C165" s="392" t="s">
        <v>527</v>
      </c>
      <c r="D165" s="392" t="s">
        <v>529</v>
      </c>
      <c r="E165" s="392" t="s">
        <v>12</v>
      </c>
      <c r="F165" s="471">
        <f t="shared" si="47"/>
        <v>0</v>
      </c>
      <c r="G165" s="462">
        <f t="shared" si="47"/>
        <v>0</v>
      </c>
      <c r="H165" s="460"/>
      <c r="I165" s="462">
        <f t="shared" si="47"/>
        <v>0</v>
      </c>
      <c r="J165" s="462">
        <f t="shared" si="47"/>
        <v>0</v>
      </c>
      <c r="K165" s="462" t="e">
        <f t="shared" si="43"/>
        <v>#DIV/0!</v>
      </c>
      <c r="L165" s="462">
        <f t="shared" si="44"/>
        <v>0</v>
      </c>
      <c r="M165" s="462">
        <f t="shared" si="48"/>
        <v>0</v>
      </c>
      <c r="N165" s="178">
        <f t="shared" si="42"/>
        <v>0</v>
      </c>
    </row>
    <row r="166" spans="1:14" ht="34" outlineLevel="3" x14ac:dyDescent="0.3">
      <c r="A166" s="189" t="s">
        <v>13</v>
      </c>
      <c r="B166" s="392" t="s">
        <v>455</v>
      </c>
      <c r="C166" s="392" t="s">
        <v>527</v>
      </c>
      <c r="D166" s="392" t="s">
        <v>529</v>
      </c>
      <c r="E166" s="392" t="s">
        <v>14</v>
      </c>
      <c r="F166" s="471">
        <v>0</v>
      </c>
      <c r="G166" s="462">
        <v>0</v>
      </c>
      <c r="H166" s="460"/>
      <c r="I166" s="462"/>
      <c r="J166" s="449"/>
      <c r="K166" s="462" t="e">
        <f t="shared" si="43"/>
        <v>#DIV/0!</v>
      </c>
      <c r="L166" s="462">
        <f t="shared" si="44"/>
        <v>0</v>
      </c>
      <c r="M166" s="449"/>
      <c r="N166" s="178">
        <f t="shared" si="42"/>
        <v>0</v>
      </c>
    </row>
    <row r="167" spans="1:14" ht="67.95" outlineLevel="3" x14ac:dyDescent="0.3">
      <c r="A167" s="189" t="s">
        <v>654</v>
      </c>
      <c r="B167" s="392" t="s">
        <v>455</v>
      </c>
      <c r="C167" s="392" t="s">
        <v>527</v>
      </c>
      <c r="D167" s="392" t="s">
        <v>659</v>
      </c>
      <c r="E167" s="392" t="s">
        <v>6</v>
      </c>
      <c r="F167" s="471">
        <f>F168</f>
        <v>221108.82</v>
      </c>
      <c r="G167" s="462">
        <f t="shared" ref="G167:J168" si="49">G168</f>
        <v>270000</v>
      </c>
      <c r="H167" s="460"/>
      <c r="I167" s="462">
        <f t="shared" si="49"/>
        <v>280000</v>
      </c>
      <c r="J167" s="462">
        <f t="shared" si="49"/>
        <v>270000</v>
      </c>
      <c r="K167" s="462">
        <f t="shared" si="43"/>
        <v>100</v>
      </c>
      <c r="L167" s="462">
        <f t="shared" si="44"/>
        <v>0</v>
      </c>
      <c r="M167" s="462">
        <f t="shared" ref="M167:M168" si="50">M168</f>
        <v>270000</v>
      </c>
      <c r="N167" s="178">
        <f t="shared" si="42"/>
        <v>0</v>
      </c>
    </row>
    <row r="168" spans="1:14" ht="101.9" outlineLevel="3" x14ac:dyDescent="0.3">
      <c r="A168" s="189" t="s">
        <v>11</v>
      </c>
      <c r="B168" s="392" t="s">
        <v>455</v>
      </c>
      <c r="C168" s="392" t="s">
        <v>527</v>
      </c>
      <c r="D168" s="392" t="s">
        <v>659</v>
      </c>
      <c r="E168" s="392" t="s">
        <v>12</v>
      </c>
      <c r="F168" s="471">
        <f>F169</f>
        <v>221108.82</v>
      </c>
      <c r="G168" s="462">
        <f t="shared" si="49"/>
        <v>270000</v>
      </c>
      <c r="H168" s="460"/>
      <c r="I168" s="462">
        <f t="shared" si="49"/>
        <v>280000</v>
      </c>
      <c r="J168" s="462">
        <f t="shared" si="49"/>
        <v>270000</v>
      </c>
      <c r="K168" s="462">
        <f t="shared" si="43"/>
        <v>100</v>
      </c>
      <c r="L168" s="462">
        <f t="shared" si="44"/>
        <v>0</v>
      </c>
      <c r="M168" s="462">
        <f t="shared" si="50"/>
        <v>270000</v>
      </c>
      <c r="N168" s="178">
        <f t="shared" si="42"/>
        <v>0</v>
      </c>
    </row>
    <row r="169" spans="1:14" ht="34" outlineLevel="3" x14ac:dyDescent="0.3">
      <c r="A169" s="189" t="s">
        <v>13</v>
      </c>
      <c r="B169" s="392" t="s">
        <v>455</v>
      </c>
      <c r="C169" s="392" t="s">
        <v>527</v>
      </c>
      <c r="D169" s="392" t="s">
        <v>659</v>
      </c>
      <c r="E169" s="392" t="s">
        <v>14</v>
      </c>
      <c r="F169" s="471">
        <v>221108.82</v>
      </c>
      <c r="G169" s="462">
        <f>'потребность 2023 (5)'!K171</f>
        <v>270000</v>
      </c>
      <c r="H169" s="460"/>
      <c r="I169" s="462">
        <v>280000</v>
      </c>
      <c r="J169" s="449">
        <v>270000</v>
      </c>
      <c r="K169" s="462">
        <f t="shared" si="43"/>
        <v>100</v>
      </c>
      <c r="L169" s="462">
        <f t="shared" si="44"/>
        <v>0</v>
      </c>
      <c r="M169" s="449">
        <v>270000</v>
      </c>
      <c r="N169" s="178">
        <f t="shared" si="42"/>
        <v>0</v>
      </c>
    </row>
    <row r="170" spans="1:14" ht="34" outlineLevel="3" x14ac:dyDescent="0.3">
      <c r="A170" s="233" t="s">
        <v>41</v>
      </c>
      <c r="B170" s="397" t="s">
        <v>455</v>
      </c>
      <c r="C170" s="397" t="s">
        <v>42</v>
      </c>
      <c r="D170" s="397" t="s">
        <v>126</v>
      </c>
      <c r="E170" s="397" t="s">
        <v>6</v>
      </c>
      <c r="F170" s="473">
        <f>F171+F176</f>
        <v>585000</v>
      </c>
      <c r="G170" s="465">
        <f>G171+G176</f>
        <v>805000</v>
      </c>
      <c r="H170" s="460"/>
      <c r="I170" s="465">
        <f>I171+I176</f>
        <v>805000</v>
      </c>
      <c r="J170" s="465">
        <f>J171+J176</f>
        <v>3612945</v>
      </c>
      <c r="K170" s="462">
        <f t="shared" si="43"/>
        <v>448.81304347826091</v>
      </c>
      <c r="L170" s="462">
        <f t="shared" si="44"/>
        <v>2807945</v>
      </c>
      <c r="M170" s="465">
        <f>M171+M176</f>
        <v>2612945</v>
      </c>
      <c r="N170" s="178">
        <f t="shared" si="42"/>
        <v>-1000000</v>
      </c>
    </row>
    <row r="171" spans="1:14" ht="50.95" outlineLevel="3" x14ac:dyDescent="0.3">
      <c r="A171" s="189" t="s">
        <v>43</v>
      </c>
      <c r="B171" s="392" t="s">
        <v>455</v>
      </c>
      <c r="C171" s="392" t="s">
        <v>44</v>
      </c>
      <c r="D171" s="392" t="s">
        <v>126</v>
      </c>
      <c r="E171" s="392" t="s">
        <v>6</v>
      </c>
      <c r="F171" s="471">
        <f t="shared" ref="F171:J174" si="51">F172</f>
        <v>0</v>
      </c>
      <c r="G171" s="462">
        <f t="shared" si="51"/>
        <v>200000</v>
      </c>
      <c r="H171" s="460">
        <v>0</v>
      </c>
      <c r="I171" s="462">
        <f t="shared" si="51"/>
        <v>200000</v>
      </c>
      <c r="J171" s="462">
        <f t="shared" si="51"/>
        <v>200000</v>
      </c>
      <c r="K171" s="462">
        <f t="shared" si="43"/>
        <v>100</v>
      </c>
      <c r="L171" s="462">
        <f t="shared" si="44"/>
        <v>0</v>
      </c>
      <c r="M171" s="462">
        <f t="shared" ref="M171:M174" si="52">M172</f>
        <v>200000</v>
      </c>
      <c r="N171" s="178">
        <f t="shared" si="42"/>
        <v>0</v>
      </c>
    </row>
    <row r="172" spans="1:14" ht="34" outlineLevel="3" x14ac:dyDescent="0.3">
      <c r="A172" s="189" t="s">
        <v>132</v>
      </c>
      <c r="B172" s="392" t="s">
        <v>455</v>
      </c>
      <c r="C172" s="392" t="s">
        <v>44</v>
      </c>
      <c r="D172" s="392" t="s">
        <v>127</v>
      </c>
      <c r="E172" s="392" t="s">
        <v>6</v>
      </c>
      <c r="F172" s="471">
        <f t="shared" si="51"/>
        <v>0</v>
      </c>
      <c r="G172" s="462">
        <f t="shared" si="51"/>
        <v>200000</v>
      </c>
      <c r="H172" s="460">
        <v>0</v>
      </c>
      <c r="I172" s="462">
        <f t="shared" si="51"/>
        <v>200000</v>
      </c>
      <c r="J172" s="462">
        <f t="shared" si="51"/>
        <v>200000</v>
      </c>
      <c r="K172" s="462">
        <f t="shared" si="43"/>
        <v>100</v>
      </c>
      <c r="L172" s="462">
        <f t="shared" si="44"/>
        <v>0</v>
      </c>
      <c r="M172" s="462">
        <f t="shared" si="52"/>
        <v>200000</v>
      </c>
      <c r="N172" s="178">
        <f t="shared" si="42"/>
        <v>0</v>
      </c>
    </row>
    <row r="173" spans="1:14" s="224" customFormat="1" ht="50.95" outlineLevel="1" x14ac:dyDescent="0.3">
      <c r="A173" s="189" t="s">
        <v>45</v>
      </c>
      <c r="B173" s="392" t="s">
        <v>455</v>
      </c>
      <c r="C173" s="392" t="s">
        <v>44</v>
      </c>
      <c r="D173" s="392" t="s">
        <v>133</v>
      </c>
      <c r="E173" s="392" t="s">
        <v>6</v>
      </c>
      <c r="F173" s="471">
        <f t="shared" si="51"/>
        <v>0</v>
      </c>
      <c r="G173" s="462">
        <f t="shared" si="51"/>
        <v>200000</v>
      </c>
      <c r="H173" s="460">
        <v>0</v>
      </c>
      <c r="I173" s="462">
        <f t="shared" si="51"/>
        <v>200000</v>
      </c>
      <c r="J173" s="462">
        <f t="shared" si="51"/>
        <v>200000</v>
      </c>
      <c r="K173" s="462">
        <f t="shared" si="43"/>
        <v>100</v>
      </c>
      <c r="L173" s="462">
        <f t="shared" si="44"/>
        <v>0</v>
      </c>
      <c r="M173" s="462">
        <f t="shared" si="52"/>
        <v>200000</v>
      </c>
      <c r="N173" s="178">
        <f t="shared" si="42"/>
        <v>0</v>
      </c>
    </row>
    <row r="174" spans="1:14" ht="34" outlineLevel="2" x14ac:dyDescent="0.3">
      <c r="A174" s="189" t="s">
        <v>15</v>
      </c>
      <c r="B174" s="392" t="s">
        <v>455</v>
      </c>
      <c r="C174" s="392" t="s">
        <v>44</v>
      </c>
      <c r="D174" s="392" t="s">
        <v>133</v>
      </c>
      <c r="E174" s="392" t="s">
        <v>16</v>
      </c>
      <c r="F174" s="471">
        <f t="shared" si="51"/>
        <v>0</v>
      </c>
      <c r="G174" s="462">
        <f t="shared" si="51"/>
        <v>200000</v>
      </c>
      <c r="H174" s="460">
        <v>0</v>
      </c>
      <c r="I174" s="462">
        <f t="shared" si="51"/>
        <v>200000</v>
      </c>
      <c r="J174" s="462">
        <f t="shared" si="51"/>
        <v>200000</v>
      </c>
      <c r="K174" s="462">
        <f t="shared" si="43"/>
        <v>100</v>
      </c>
      <c r="L174" s="462">
        <f t="shared" si="44"/>
        <v>0</v>
      </c>
      <c r="M174" s="462">
        <f t="shared" si="52"/>
        <v>200000</v>
      </c>
      <c r="N174" s="178">
        <f t="shared" si="42"/>
        <v>0</v>
      </c>
    </row>
    <row r="175" spans="1:14" ht="50.95" outlineLevel="4" x14ac:dyDescent="0.3">
      <c r="A175" s="189" t="s">
        <v>17</v>
      </c>
      <c r="B175" s="392" t="s">
        <v>455</v>
      </c>
      <c r="C175" s="392" t="s">
        <v>44</v>
      </c>
      <c r="D175" s="392" t="s">
        <v>133</v>
      </c>
      <c r="E175" s="392" t="s">
        <v>18</v>
      </c>
      <c r="F175" s="471">
        <v>0</v>
      </c>
      <c r="G175" s="462">
        <f>'потребность 2023 (5)'!K177</f>
        <v>200000</v>
      </c>
      <c r="H175" s="460">
        <v>0</v>
      </c>
      <c r="I175" s="462">
        <v>200000</v>
      </c>
      <c r="J175" s="449">
        <v>200000</v>
      </c>
      <c r="K175" s="462">
        <f t="shared" si="43"/>
        <v>100</v>
      </c>
      <c r="L175" s="462">
        <f t="shared" si="44"/>
        <v>0</v>
      </c>
      <c r="M175" s="449">
        <v>200000</v>
      </c>
      <c r="N175" s="178">
        <f t="shared" si="42"/>
        <v>0</v>
      </c>
    </row>
    <row r="176" spans="1:14" outlineLevel="5" x14ac:dyDescent="0.3">
      <c r="A176" s="189" t="s">
        <v>459</v>
      </c>
      <c r="B176" s="392" t="s">
        <v>455</v>
      </c>
      <c r="C176" s="392" t="s">
        <v>460</v>
      </c>
      <c r="D176" s="392" t="s">
        <v>126</v>
      </c>
      <c r="E176" s="392" t="s">
        <v>6</v>
      </c>
      <c r="F176" s="471">
        <f t="shared" ref="F176:J179" si="53">F177</f>
        <v>585000</v>
      </c>
      <c r="G176" s="462">
        <f t="shared" si="53"/>
        <v>605000</v>
      </c>
      <c r="H176" s="460">
        <v>8776.2000000000007</v>
      </c>
      <c r="I176" s="462">
        <f t="shared" si="53"/>
        <v>605000</v>
      </c>
      <c r="J176" s="462">
        <f t="shared" si="53"/>
        <v>3412945</v>
      </c>
      <c r="K176" s="462">
        <f t="shared" si="43"/>
        <v>564.1231404958678</v>
      </c>
      <c r="L176" s="462">
        <f t="shared" si="44"/>
        <v>2807945</v>
      </c>
      <c r="M176" s="462">
        <f t="shared" ref="M176:M179" si="54">M177</f>
        <v>2412945</v>
      </c>
      <c r="N176" s="178">
        <f t="shared" si="42"/>
        <v>-1000000</v>
      </c>
    </row>
    <row r="177" spans="1:14" ht="34" outlineLevel="6" x14ac:dyDescent="0.3">
      <c r="A177" s="189" t="s">
        <v>132</v>
      </c>
      <c r="B177" s="392" t="s">
        <v>455</v>
      </c>
      <c r="C177" s="392" t="s">
        <v>460</v>
      </c>
      <c r="D177" s="392" t="s">
        <v>127</v>
      </c>
      <c r="E177" s="392" t="s">
        <v>6</v>
      </c>
      <c r="F177" s="471">
        <f t="shared" si="53"/>
        <v>585000</v>
      </c>
      <c r="G177" s="462">
        <f t="shared" si="53"/>
        <v>605000</v>
      </c>
      <c r="H177" s="460">
        <v>8776.2000000000007</v>
      </c>
      <c r="I177" s="462">
        <f t="shared" si="53"/>
        <v>605000</v>
      </c>
      <c r="J177" s="462">
        <f t="shared" si="53"/>
        <v>3412945</v>
      </c>
      <c r="K177" s="462">
        <f t="shared" si="43"/>
        <v>564.1231404958678</v>
      </c>
      <c r="L177" s="462">
        <f t="shared" si="44"/>
        <v>2807945</v>
      </c>
      <c r="M177" s="462">
        <f t="shared" si="54"/>
        <v>2412945</v>
      </c>
      <c r="N177" s="178">
        <f t="shared" si="42"/>
        <v>-1000000</v>
      </c>
    </row>
    <row r="178" spans="1:14" ht="38.049999999999997" customHeight="1" outlineLevel="7" x14ac:dyDescent="0.3">
      <c r="A178" s="189" t="s">
        <v>461</v>
      </c>
      <c r="B178" s="392" t="s">
        <v>455</v>
      </c>
      <c r="C178" s="392" t="s">
        <v>460</v>
      </c>
      <c r="D178" s="392" t="s">
        <v>617</v>
      </c>
      <c r="E178" s="392" t="s">
        <v>6</v>
      </c>
      <c r="F178" s="471">
        <f t="shared" si="53"/>
        <v>585000</v>
      </c>
      <c r="G178" s="462">
        <f t="shared" si="53"/>
        <v>605000</v>
      </c>
      <c r="H178" s="460">
        <v>8776.2000000000007</v>
      </c>
      <c r="I178" s="462">
        <f t="shared" si="53"/>
        <v>605000</v>
      </c>
      <c r="J178" s="462">
        <f t="shared" si="53"/>
        <v>3412945</v>
      </c>
      <c r="K178" s="462">
        <f t="shared" si="43"/>
        <v>564.1231404958678</v>
      </c>
      <c r="L178" s="462">
        <f t="shared" si="44"/>
        <v>2807945</v>
      </c>
      <c r="M178" s="462">
        <f t="shared" si="54"/>
        <v>2412945</v>
      </c>
      <c r="N178" s="178">
        <f t="shared" si="42"/>
        <v>-1000000</v>
      </c>
    </row>
    <row r="179" spans="1:14" ht="20.25" customHeight="1" outlineLevel="7" x14ac:dyDescent="0.3">
      <c r="A179" s="189" t="s">
        <v>15</v>
      </c>
      <c r="B179" s="392" t="s">
        <v>455</v>
      </c>
      <c r="C179" s="392" t="s">
        <v>460</v>
      </c>
      <c r="D179" s="392" t="s">
        <v>617</v>
      </c>
      <c r="E179" s="392" t="s">
        <v>16</v>
      </c>
      <c r="F179" s="471">
        <f t="shared" si="53"/>
        <v>585000</v>
      </c>
      <c r="G179" s="462">
        <f t="shared" si="53"/>
        <v>605000</v>
      </c>
      <c r="H179" s="460">
        <v>8776.2000000000007</v>
      </c>
      <c r="I179" s="462">
        <f t="shared" si="53"/>
        <v>605000</v>
      </c>
      <c r="J179" s="462">
        <f t="shared" si="53"/>
        <v>3412945</v>
      </c>
      <c r="K179" s="462">
        <f t="shared" si="43"/>
        <v>564.1231404958678</v>
      </c>
      <c r="L179" s="462">
        <f t="shared" si="44"/>
        <v>2807945</v>
      </c>
      <c r="M179" s="462">
        <f t="shared" si="54"/>
        <v>2412945</v>
      </c>
      <c r="N179" s="178">
        <f t="shared" si="42"/>
        <v>-1000000</v>
      </c>
    </row>
    <row r="180" spans="1:14" ht="50.95" outlineLevel="7" x14ac:dyDescent="0.3">
      <c r="A180" s="189" t="s">
        <v>17</v>
      </c>
      <c r="B180" s="392" t="s">
        <v>455</v>
      </c>
      <c r="C180" s="392" t="s">
        <v>460</v>
      </c>
      <c r="D180" s="392" t="s">
        <v>617</v>
      </c>
      <c r="E180" s="392" t="s">
        <v>18</v>
      </c>
      <c r="F180" s="471">
        <v>585000</v>
      </c>
      <c r="G180" s="462">
        <f>'потребность 2023 (5)'!K182</f>
        <v>605000</v>
      </c>
      <c r="H180" s="460">
        <v>8776.2000000000007</v>
      </c>
      <c r="I180" s="462">
        <f>1605000-1000000</f>
        <v>605000</v>
      </c>
      <c r="J180" s="449">
        <v>3412945</v>
      </c>
      <c r="K180" s="462">
        <f t="shared" si="43"/>
        <v>564.1231404958678</v>
      </c>
      <c r="L180" s="462">
        <f t="shared" si="44"/>
        <v>2807945</v>
      </c>
      <c r="M180" s="449">
        <f>3412945-1000000</f>
        <v>2412945</v>
      </c>
      <c r="N180" s="178">
        <f t="shared" si="42"/>
        <v>-1000000</v>
      </c>
    </row>
    <row r="181" spans="1:14" ht="20.25" customHeight="1" outlineLevel="7" x14ac:dyDescent="0.3">
      <c r="A181" s="233" t="s">
        <v>119</v>
      </c>
      <c r="B181" s="397" t="s">
        <v>455</v>
      </c>
      <c r="C181" s="397" t="s">
        <v>46</v>
      </c>
      <c r="D181" s="397" t="s">
        <v>126</v>
      </c>
      <c r="E181" s="397" t="s">
        <v>6</v>
      </c>
      <c r="F181" s="465">
        <f>F202+F188+F214+F182</f>
        <v>24449397.420000002</v>
      </c>
      <c r="G181" s="465">
        <f>G202+G188+G214+G182</f>
        <v>23536279.5</v>
      </c>
      <c r="H181" s="460">
        <v>10391993.369999999</v>
      </c>
      <c r="I181" s="465">
        <f>I202+I188+I214+I182</f>
        <v>14696000</v>
      </c>
      <c r="J181" s="465">
        <f>J202+J188+J214+J182</f>
        <v>19284000</v>
      </c>
      <c r="K181" s="462">
        <f t="shared" si="43"/>
        <v>81.933085473428363</v>
      </c>
      <c r="L181" s="462">
        <f t="shared" si="44"/>
        <v>-4252279.5</v>
      </c>
      <c r="M181" s="465">
        <f>M202+M188+M214+M182</f>
        <v>16625000</v>
      </c>
      <c r="N181" s="178">
        <f t="shared" si="42"/>
        <v>-2659000</v>
      </c>
    </row>
    <row r="182" spans="1:14" outlineLevel="7" x14ac:dyDescent="0.3">
      <c r="A182" s="189" t="s">
        <v>121</v>
      </c>
      <c r="B182" s="392" t="s">
        <v>455</v>
      </c>
      <c r="C182" s="392" t="s">
        <v>122</v>
      </c>
      <c r="D182" s="392" t="s">
        <v>126</v>
      </c>
      <c r="E182" s="392" t="s">
        <v>6</v>
      </c>
      <c r="F182" s="471">
        <f>F183</f>
        <v>0</v>
      </c>
      <c r="G182" s="462">
        <f>G183</f>
        <v>0</v>
      </c>
      <c r="H182" s="460">
        <v>0</v>
      </c>
      <c r="I182" s="462">
        <f>I183</f>
        <v>0</v>
      </c>
      <c r="J182" s="462">
        <f>J183</f>
        <v>0</v>
      </c>
      <c r="K182" s="462" t="e">
        <f t="shared" si="43"/>
        <v>#DIV/0!</v>
      </c>
      <c r="L182" s="462">
        <f t="shared" si="44"/>
        <v>0</v>
      </c>
      <c r="M182" s="462">
        <f>M183</f>
        <v>0</v>
      </c>
      <c r="N182" s="178">
        <f t="shared" si="42"/>
        <v>0</v>
      </c>
    </row>
    <row r="183" spans="1:14" ht="34" outlineLevel="7" x14ac:dyDescent="0.3">
      <c r="A183" s="233" t="s">
        <v>132</v>
      </c>
      <c r="B183" s="392" t="s">
        <v>455</v>
      </c>
      <c r="C183" s="397" t="s">
        <v>122</v>
      </c>
      <c r="D183" s="397" t="s">
        <v>127</v>
      </c>
      <c r="E183" s="397" t="s">
        <v>6</v>
      </c>
      <c r="F183" s="473">
        <f>F185</f>
        <v>0</v>
      </c>
      <c r="G183" s="465">
        <f>G185</f>
        <v>0</v>
      </c>
      <c r="H183" s="460">
        <v>0</v>
      </c>
      <c r="I183" s="465">
        <f>I185</f>
        <v>0</v>
      </c>
      <c r="J183" s="465">
        <f>J185</f>
        <v>0</v>
      </c>
      <c r="K183" s="462" t="e">
        <f t="shared" si="43"/>
        <v>#DIV/0!</v>
      </c>
      <c r="L183" s="462">
        <f t="shared" si="44"/>
        <v>0</v>
      </c>
      <c r="M183" s="465">
        <f>M185</f>
        <v>0</v>
      </c>
      <c r="N183" s="178">
        <f t="shared" si="42"/>
        <v>0</v>
      </c>
    </row>
    <row r="184" spans="1:14" s="224" customFormat="1" ht="34" outlineLevel="7" x14ac:dyDescent="0.3">
      <c r="A184" s="189" t="s">
        <v>269</v>
      </c>
      <c r="B184" s="392" t="s">
        <v>455</v>
      </c>
      <c r="C184" s="392" t="s">
        <v>122</v>
      </c>
      <c r="D184" s="392" t="s">
        <v>268</v>
      </c>
      <c r="E184" s="392" t="s">
        <v>6</v>
      </c>
      <c r="F184" s="471">
        <f t="shared" ref="F184:J186" si="55">F185</f>
        <v>0</v>
      </c>
      <c r="G184" s="462">
        <f t="shared" si="55"/>
        <v>0</v>
      </c>
      <c r="H184" s="460">
        <v>0</v>
      </c>
      <c r="I184" s="462">
        <f t="shared" si="55"/>
        <v>0</v>
      </c>
      <c r="J184" s="462">
        <f t="shared" si="55"/>
        <v>0</v>
      </c>
      <c r="K184" s="462" t="e">
        <f t="shared" si="43"/>
        <v>#DIV/0!</v>
      </c>
      <c r="L184" s="462">
        <f t="shared" si="44"/>
        <v>0</v>
      </c>
      <c r="M184" s="462">
        <f t="shared" ref="M184:M186" si="56">M185</f>
        <v>0</v>
      </c>
      <c r="N184" s="178">
        <f t="shared" si="42"/>
        <v>0</v>
      </c>
    </row>
    <row r="185" spans="1:14" ht="64.2" customHeight="1" outlineLevel="7" x14ac:dyDescent="0.3">
      <c r="A185" s="202" t="s">
        <v>933</v>
      </c>
      <c r="B185" s="392" t="s">
        <v>455</v>
      </c>
      <c r="C185" s="392" t="s">
        <v>122</v>
      </c>
      <c r="D185" s="392" t="s">
        <v>278</v>
      </c>
      <c r="E185" s="392" t="s">
        <v>6</v>
      </c>
      <c r="F185" s="471">
        <f t="shared" si="55"/>
        <v>0</v>
      </c>
      <c r="G185" s="462">
        <f t="shared" si="55"/>
        <v>0</v>
      </c>
      <c r="H185" s="460">
        <v>0</v>
      </c>
      <c r="I185" s="462">
        <f t="shared" si="55"/>
        <v>0</v>
      </c>
      <c r="J185" s="462">
        <f t="shared" si="55"/>
        <v>0</v>
      </c>
      <c r="K185" s="462" t="e">
        <f t="shared" si="43"/>
        <v>#DIV/0!</v>
      </c>
      <c r="L185" s="462">
        <f t="shared" si="44"/>
        <v>0</v>
      </c>
      <c r="M185" s="462">
        <f t="shared" si="56"/>
        <v>0</v>
      </c>
      <c r="N185" s="178">
        <f t="shared" si="42"/>
        <v>0</v>
      </c>
    </row>
    <row r="186" spans="1:14" ht="34" outlineLevel="7" x14ac:dyDescent="0.3">
      <c r="A186" s="189" t="s">
        <v>15</v>
      </c>
      <c r="B186" s="392" t="s">
        <v>455</v>
      </c>
      <c r="C186" s="392" t="s">
        <v>122</v>
      </c>
      <c r="D186" s="392" t="s">
        <v>278</v>
      </c>
      <c r="E186" s="392" t="s">
        <v>16</v>
      </c>
      <c r="F186" s="471">
        <f t="shared" si="55"/>
        <v>0</v>
      </c>
      <c r="G186" s="462">
        <f t="shared" si="55"/>
        <v>0</v>
      </c>
      <c r="H186" s="460">
        <v>0</v>
      </c>
      <c r="I186" s="462">
        <f t="shared" si="55"/>
        <v>0</v>
      </c>
      <c r="J186" s="462">
        <f t="shared" si="55"/>
        <v>0</v>
      </c>
      <c r="K186" s="462" t="e">
        <f t="shared" si="43"/>
        <v>#DIV/0!</v>
      </c>
      <c r="L186" s="462">
        <f t="shared" si="44"/>
        <v>0</v>
      </c>
      <c r="M186" s="462">
        <f t="shared" si="56"/>
        <v>0</v>
      </c>
      <c r="N186" s="178">
        <f t="shared" si="42"/>
        <v>0</v>
      </c>
    </row>
    <row r="187" spans="1:14" ht="50.95" outlineLevel="7" x14ac:dyDescent="0.3">
      <c r="A187" s="189" t="s">
        <v>17</v>
      </c>
      <c r="B187" s="392" t="s">
        <v>455</v>
      </c>
      <c r="C187" s="392" t="s">
        <v>122</v>
      </c>
      <c r="D187" s="392" t="s">
        <v>278</v>
      </c>
      <c r="E187" s="392" t="s">
        <v>18</v>
      </c>
      <c r="F187" s="475">
        <v>0</v>
      </c>
      <c r="G187" s="462">
        <v>0</v>
      </c>
      <c r="H187" s="460">
        <v>0</v>
      </c>
      <c r="I187" s="462">
        <v>0</v>
      </c>
      <c r="J187" s="449"/>
      <c r="K187" s="462" t="e">
        <f t="shared" si="43"/>
        <v>#DIV/0!</v>
      </c>
      <c r="L187" s="462">
        <f t="shared" si="44"/>
        <v>0</v>
      </c>
      <c r="M187" s="449"/>
      <c r="N187" s="178">
        <f t="shared" si="42"/>
        <v>0</v>
      </c>
    </row>
    <row r="188" spans="1:14" outlineLevel="7" x14ac:dyDescent="0.3">
      <c r="A188" s="189" t="s">
        <v>282</v>
      </c>
      <c r="B188" s="392" t="s">
        <v>455</v>
      </c>
      <c r="C188" s="392" t="s">
        <v>283</v>
      </c>
      <c r="D188" s="392" t="s">
        <v>126</v>
      </c>
      <c r="E188" s="392" t="s">
        <v>6</v>
      </c>
      <c r="F188" s="462">
        <f>F189+F194</f>
        <v>0</v>
      </c>
      <c r="G188" s="462">
        <f>G189+G194</f>
        <v>1485000</v>
      </c>
      <c r="H188" s="460">
        <v>530832.76</v>
      </c>
      <c r="I188" s="462">
        <f>I189+I194</f>
        <v>100000</v>
      </c>
      <c r="J188" s="462">
        <f>J189+J194</f>
        <v>3784000</v>
      </c>
      <c r="K188" s="462">
        <f t="shared" si="43"/>
        <v>254.81481481481484</v>
      </c>
      <c r="L188" s="462">
        <f t="shared" si="44"/>
        <v>2299000</v>
      </c>
      <c r="M188" s="462">
        <f>M189+M194</f>
        <v>1400000</v>
      </c>
      <c r="N188" s="178">
        <f t="shared" si="42"/>
        <v>-2384000</v>
      </c>
    </row>
    <row r="189" spans="1:14" ht="34" outlineLevel="7" x14ac:dyDescent="0.3">
      <c r="A189" s="189" t="s">
        <v>132</v>
      </c>
      <c r="B189" s="392" t="s">
        <v>455</v>
      </c>
      <c r="C189" s="392" t="s">
        <v>283</v>
      </c>
      <c r="D189" s="392" t="s">
        <v>127</v>
      </c>
      <c r="E189" s="392" t="s">
        <v>6</v>
      </c>
      <c r="F189" s="471">
        <f>F190</f>
        <v>0</v>
      </c>
      <c r="G189" s="462">
        <f>G191</f>
        <v>0</v>
      </c>
      <c r="H189" s="460">
        <v>530832.76</v>
      </c>
      <c r="I189" s="462">
        <f>I191</f>
        <v>0</v>
      </c>
      <c r="J189" s="462">
        <f>J191</f>
        <v>0</v>
      </c>
      <c r="K189" s="462" t="e">
        <f t="shared" si="43"/>
        <v>#DIV/0!</v>
      </c>
      <c r="L189" s="462">
        <f t="shared" si="44"/>
        <v>0</v>
      </c>
      <c r="M189" s="462">
        <f>M191</f>
        <v>0</v>
      </c>
      <c r="N189" s="178">
        <f t="shared" si="42"/>
        <v>0</v>
      </c>
    </row>
    <row r="190" spans="1:14" ht="20.25" customHeight="1" outlineLevel="7" x14ac:dyDescent="0.3">
      <c r="A190" s="189" t="s">
        <v>269</v>
      </c>
      <c r="B190" s="392" t="s">
        <v>455</v>
      </c>
      <c r="C190" s="392" t="s">
        <v>283</v>
      </c>
      <c r="D190" s="392" t="s">
        <v>268</v>
      </c>
      <c r="E190" s="392" t="s">
        <v>6</v>
      </c>
      <c r="F190" s="471">
        <f>F192</f>
        <v>0</v>
      </c>
      <c r="G190" s="462">
        <f t="shared" ref="G190:J192" si="57">G191</f>
        <v>0</v>
      </c>
      <c r="H190" s="460">
        <v>530832.76</v>
      </c>
      <c r="I190" s="462">
        <f t="shared" si="57"/>
        <v>0</v>
      </c>
      <c r="J190" s="462">
        <f t="shared" si="57"/>
        <v>0</v>
      </c>
      <c r="K190" s="462" t="e">
        <f t="shared" si="43"/>
        <v>#DIV/0!</v>
      </c>
      <c r="L190" s="462">
        <f t="shared" si="44"/>
        <v>0</v>
      </c>
      <c r="M190" s="462">
        <f t="shared" ref="M190:M192" si="58">M191</f>
        <v>0</v>
      </c>
      <c r="N190" s="178">
        <f t="shared" si="42"/>
        <v>0</v>
      </c>
    </row>
    <row r="191" spans="1:14" ht="62.5" customHeight="1" outlineLevel="7" x14ac:dyDescent="0.3">
      <c r="A191" s="185" t="s">
        <v>940</v>
      </c>
      <c r="B191" s="392" t="s">
        <v>455</v>
      </c>
      <c r="C191" s="392" t="s">
        <v>283</v>
      </c>
      <c r="D191" s="392" t="s">
        <v>364</v>
      </c>
      <c r="E191" s="392" t="s">
        <v>6</v>
      </c>
      <c r="F191" s="471">
        <f t="shared" ref="F191:F193" si="59">F192</f>
        <v>0</v>
      </c>
      <c r="G191" s="462">
        <f t="shared" si="57"/>
        <v>0</v>
      </c>
      <c r="H191" s="460">
        <v>0</v>
      </c>
      <c r="I191" s="462">
        <f t="shared" si="57"/>
        <v>0</v>
      </c>
      <c r="J191" s="462">
        <f t="shared" si="57"/>
        <v>0</v>
      </c>
      <c r="K191" s="462" t="e">
        <f t="shared" si="43"/>
        <v>#DIV/0!</v>
      </c>
      <c r="L191" s="462">
        <f t="shared" si="44"/>
        <v>0</v>
      </c>
      <c r="M191" s="462">
        <f t="shared" si="58"/>
        <v>0</v>
      </c>
      <c r="N191" s="178">
        <f t="shared" si="42"/>
        <v>0</v>
      </c>
    </row>
    <row r="192" spans="1:14" ht="34" outlineLevel="7" x14ac:dyDescent="0.3">
      <c r="A192" s="189" t="s">
        <v>15</v>
      </c>
      <c r="B192" s="392" t="s">
        <v>455</v>
      </c>
      <c r="C192" s="392" t="s">
        <v>283</v>
      </c>
      <c r="D192" s="392" t="s">
        <v>364</v>
      </c>
      <c r="E192" s="392" t="s">
        <v>16</v>
      </c>
      <c r="F192" s="471">
        <f t="shared" si="59"/>
        <v>0</v>
      </c>
      <c r="G192" s="462">
        <f t="shared" si="57"/>
        <v>0</v>
      </c>
      <c r="H192" s="460">
        <v>0</v>
      </c>
      <c r="I192" s="462">
        <f t="shared" si="57"/>
        <v>0</v>
      </c>
      <c r="J192" s="462">
        <f t="shared" si="57"/>
        <v>0</v>
      </c>
      <c r="K192" s="462" t="e">
        <f t="shared" si="43"/>
        <v>#DIV/0!</v>
      </c>
      <c r="L192" s="462">
        <f t="shared" si="44"/>
        <v>0</v>
      </c>
      <c r="M192" s="462">
        <f t="shared" si="58"/>
        <v>0</v>
      </c>
      <c r="N192" s="178">
        <f t="shared" si="42"/>
        <v>0</v>
      </c>
    </row>
    <row r="193" spans="1:14" s="224" customFormat="1" ht="50.95" outlineLevel="7" x14ac:dyDescent="0.3">
      <c r="A193" s="189" t="s">
        <v>17</v>
      </c>
      <c r="B193" s="392" t="s">
        <v>455</v>
      </c>
      <c r="C193" s="392" t="s">
        <v>283</v>
      </c>
      <c r="D193" s="392" t="s">
        <v>364</v>
      </c>
      <c r="E193" s="392" t="s">
        <v>18</v>
      </c>
      <c r="F193" s="471">
        <f t="shared" si="59"/>
        <v>0</v>
      </c>
      <c r="G193" s="449"/>
      <c r="H193" s="460">
        <v>0</v>
      </c>
      <c r="I193" s="449">
        <v>0</v>
      </c>
      <c r="J193" s="467"/>
      <c r="K193" s="462" t="e">
        <f t="shared" si="43"/>
        <v>#DIV/0!</v>
      </c>
      <c r="L193" s="462">
        <f t="shared" si="44"/>
        <v>0</v>
      </c>
      <c r="M193" s="467"/>
      <c r="N193" s="178">
        <f t="shared" si="42"/>
        <v>0</v>
      </c>
    </row>
    <row r="194" spans="1:14" s="224" customFormat="1" ht="67.95" outlineLevel="7" x14ac:dyDescent="0.3">
      <c r="A194" s="472" t="s">
        <v>716</v>
      </c>
      <c r="B194" s="392" t="s">
        <v>455</v>
      </c>
      <c r="C194" s="392" t="s">
        <v>283</v>
      </c>
      <c r="D194" s="392" t="s">
        <v>308</v>
      </c>
      <c r="E194" s="392" t="s">
        <v>6</v>
      </c>
      <c r="F194" s="475">
        <v>0</v>
      </c>
      <c r="G194" s="449">
        <f>G195</f>
        <v>1485000</v>
      </c>
      <c r="H194" s="460">
        <v>530832.76</v>
      </c>
      <c r="I194" s="449">
        <f>I195</f>
        <v>100000</v>
      </c>
      <c r="J194" s="449">
        <f>J195</f>
        <v>3784000</v>
      </c>
      <c r="K194" s="462">
        <f t="shared" si="43"/>
        <v>254.81481481481484</v>
      </c>
      <c r="L194" s="462">
        <f t="shared" si="44"/>
        <v>2299000</v>
      </c>
      <c r="M194" s="449">
        <f>M195</f>
        <v>1400000</v>
      </c>
      <c r="N194" s="178">
        <f t="shared" si="42"/>
        <v>-2384000</v>
      </c>
    </row>
    <row r="195" spans="1:14" s="224" customFormat="1" ht="38.9" customHeight="1" outlineLevel="7" x14ac:dyDescent="0.3">
      <c r="A195" s="312" t="s">
        <v>711</v>
      </c>
      <c r="B195" s="392" t="s">
        <v>455</v>
      </c>
      <c r="C195" s="392" t="s">
        <v>283</v>
      </c>
      <c r="D195" s="392" t="s">
        <v>712</v>
      </c>
      <c r="E195" s="392" t="s">
        <v>6</v>
      </c>
      <c r="F195" s="462" t="s">
        <v>838</v>
      </c>
      <c r="G195" s="449">
        <f>G196+G199</f>
        <v>1485000</v>
      </c>
      <c r="H195" s="460">
        <v>530832.76</v>
      </c>
      <c r="I195" s="449">
        <f>I196+I199</f>
        <v>100000</v>
      </c>
      <c r="J195" s="449">
        <f>J196+J199</f>
        <v>3784000</v>
      </c>
      <c r="K195" s="462">
        <f t="shared" si="43"/>
        <v>254.81481481481484</v>
      </c>
      <c r="L195" s="462">
        <f t="shared" si="44"/>
        <v>2299000</v>
      </c>
      <c r="M195" s="449">
        <f>M196+M199</f>
        <v>1400000</v>
      </c>
      <c r="N195" s="178">
        <f t="shared" si="42"/>
        <v>-2384000</v>
      </c>
    </row>
    <row r="196" spans="1:14" s="224" customFormat="1" ht="37.4" customHeight="1" outlineLevel="7" x14ac:dyDescent="0.3">
      <c r="A196" s="312" t="s">
        <v>688</v>
      </c>
      <c r="B196" s="392" t="s">
        <v>455</v>
      </c>
      <c r="C196" s="392" t="s">
        <v>283</v>
      </c>
      <c r="D196" s="392" t="s">
        <v>713</v>
      </c>
      <c r="E196" s="392" t="s">
        <v>6</v>
      </c>
      <c r="F196" s="462" t="s">
        <v>838</v>
      </c>
      <c r="G196" s="449">
        <f t="shared" ref="G196:J197" si="60">G197</f>
        <v>0</v>
      </c>
      <c r="H196" s="224">
        <v>0</v>
      </c>
      <c r="I196" s="449">
        <f t="shared" si="60"/>
        <v>100000</v>
      </c>
      <c r="J196" s="449">
        <f t="shared" si="60"/>
        <v>0</v>
      </c>
      <c r="K196" s="462" t="e">
        <f t="shared" si="43"/>
        <v>#DIV/0!</v>
      </c>
      <c r="L196" s="462">
        <f t="shared" si="44"/>
        <v>0</v>
      </c>
      <c r="M196" s="449">
        <f t="shared" ref="M196:M197" si="61">M197</f>
        <v>0</v>
      </c>
      <c r="N196" s="178">
        <f t="shared" si="42"/>
        <v>0</v>
      </c>
    </row>
    <row r="197" spans="1:14" s="224" customFormat="1" ht="42.8" customHeight="1" outlineLevel="7" x14ac:dyDescent="0.3">
      <c r="A197" s="312" t="s">
        <v>19</v>
      </c>
      <c r="B197" s="392" t="s">
        <v>455</v>
      </c>
      <c r="C197" s="392" t="s">
        <v>283</v>
      </c>
      <c r="D197" s="392" t="s">
        <v>713</v>
      </c>
      <c r="E197" s="392" t="s">
        <v>20</v>
      </c>
      <c r="F197" s="462" t="s">
        <v>838</v>
      </c>
      <c r="G197" s="449">
        <f t="shared" si="60"/>
        <v>0</v>
      </c>
      <c r="H197" s="460">
        <v>0</v>
      </c>
      <c r="I197" s="449">
        <f t="shared" si="60"/>
        <v>100000</v>
      </c>
      <c r="J197" s="449">
        <f t="shared" si="60"/>
        <v>0</v>
      </c>
      <c r="K197" s="462" t="e">
        <f t="shared" si="43"/>
        <v>#DIV/0!</v>
      </c>
      <c r="L197" s="462">
        <f t="shared" si="44"/>
        <v>0</v>
      </c>
      <c r="M197" s="449">
        <f t="shared" si="61"/>
        <v>0</v>
      </c>
      <c r="N197" s="178">
        <f t="shared" si="42"/>
        <v>0</v>
      </c>
    </row>
    <row r="198" spans="1:14" s="224" customFormat="1" ht="67.75" customHeight="1" outlineLevel="7" x14ac:dyDescent="0.3">
      <c r="A198" s="189" t="s">
        <v>963</v>
      </c>
      <c r="B198" s="392" t="s">
        <v>455</v>
      </c>
      <c r="C198" s="392" t="s">
        <v>283</v>
      </c>
      <c r="D198" s="392" t="s">
        <v>713</v>
      </c>
      <c r="E198" s="392" t="s">
        <v>48</v>
      </c>
      <c r="F198" s="462" t="s">
        <v>838</v>
      </c>
      <c r="G198" s="449">
        <f>'потребность 2023 (5)'!K200+1385000-1485000</f>
        <v>0</v>
      </c>
      <c r="H198" s="460">
        <v>0</v>
      </c>
      <c r="I198" s="449">
        <v>100000</v>
      </c>
      <c r="J198" s="467"/>
      <c r="K198" s="462" t="e">
        <f t="shared" si="43"/>
        <v>#DIV/0!</v>
      </c>
      <c r="L198" s="462">
        <f t="shared" si="44"/>
        <v>0</v>
      </c>
      <c r="M198" s="467"/>
      <c r="N198" s="178">
        <f t="shared" si="42"/>
        <v>0</v>
      </c>
    </row>
    <row r="199" spans="1:14" s="224" customFormat="1" ht="33.450000000000003" customHeight="1" outlineLevel="7" x14ac:dyDescent="0.3">
      <c r="A199" s="189" t="s">
        <v>1085</v>
      </c>
      <c r="B199" s="392" t="s">
        <v>455</v>
      </c>
      <c r="C199" s="392" t="s">
        <v>283</v>
      </c>
      <c r="D199" s="392" t="s">
        <v>1086</v>
      </c>
      <c r="E199" s="392" t="s">
        <v>6</v>
      </c>
      <c r="F199" s="462" t="s">
        <v>838</v>
      </c>
      <c r="G199" s="449">
        <f t="shared" ref="G199:J200" si="62">G200</f>
        <v>1485000</v>
      </c>
      <c r="H199" s="460">
        <f>H200</f>
        <v>530832.76</v>
      </c>
      <c r="I199" s="449">
        <f t="shared" si="62"/>
        <v>0</v>
      </c>
      <c r="J199" s="449">
        <f t="shared" si="62"/>
        <v>3784000</v>
      </c>
      <c r="K199" s="462">
        <f t="shared" si="43"/>
        <v>254.81481481481484</v>
      </c>
      <c r="L199" s="462">
        <f t="shared" si="44"/>
        <v>2299000</v>
      </c>
      <c r="M199" s="449">
        <f t="shared" ref="M199:M200" si="63">M200</f>
        <v>1400000</v>
      </c>
      <c r="N199" s="178">
        <f t="shared" si="42"/>
        <v>-2384000</v>
      </c>
    </row>
    <row r="200" spans="1:14" s="224" customFormat="1" ht="33.450000000000003" customHeight="1" outlineLevel="7" x14ac:dyDescent="0.3">
      <c r="A200" s="189" t="s">
        <v>15</v>
      </c>
      <c r="B200" s="392" t="s">
        <v>455</v>
      </c>
      <c r="C200" s="392" t="s">
        <v>283</v>
      </c>
      <c r="D200" s="392" t="s">
        <v>1086</v>
      </c>
      <c r="E200" s="392" t="s">
        <v>16</v>
      </c>
      <c r="F200" s="462" t="s">
        <v>838</v>
      </c>
      <c r="G200" s="449">
        <f t="shared" si="62"/>
        <v>1485000</v>
      </c>
      <c r="H200" s="460">
        <f>H201</f>
        <v>530832.76</v>
      </c>
      <c r="I200" s="449">
        <f t="shared" si="62"/>
        <v>0</v>
      </c>
      <c r="J200" s="449">
        <f t="shared" si="62"/>
        <v>3784000</v>
      </c>
      <c r="K200" s="462">
        <f t="shared" si="43"/>
        <v>254.81481481481484</v>
      </c>
      <c r="L200" s="462">
        <f t="shared" si="44"/>
        <v>2299000</v>
      </c>
      <c r="M200" s="449">
        <f t="shared" si="63"/>
        <v>1400000</v>
      </c>
      <c r="N200" s="178">
        <f t="shared" ref="N200:N263" si="64">M200-J200</f>
        <v>-2384000</v>
      </c>
    </row>
    <row r="201" spans="1:14" s="224" customFormat="1" ht="34" customHeight="1" outlineLevel="7" x14ac:dyDescent="0.3">
      <c r="A201" s="189" t="s">
        <v>17</v>
      </c>
      <c r="B201" s="392" t="s">
        <v>455</v>
      </c>
      <c r="C201" s="392" t="s">
        <v>283</v>
      </c>
      <c r="D201" s="392" t="s">
        <v>1086</v>
      </c>
      <c r="E201" s="392" t="s">
        <v>18</v>
      </c>
      <c r="F201" s="462" t="s">
        <v>838</v>
      </c>
      <c r="G201" s="449">
        <v>1485000</v>
      </c>
      <c r="H201" s="460">
        <v>530832.76</v>
      </c>
      <c r="I201" s="449"/>
      <c r="J201" s="467">
        <v>3784000</v>
      </c>
      <c r="K201" s="462">
        <f t="shared" ref="K201:K264" si="65">J201/G201*100</f>
        <v>254.81481481481484</v>
      </c>
      <c r="L201" s="462">
        <f t="shared" ref="L201:L264" si="66">J201-G201</f>
        <v>2299000</v>
      </c>
      <c r="M201" s="467">
        <f>3784000-2384000</f>
        <v>1400000</v>
      </c>
      <c r="N201" s="178">
        <f t="shared" si="64"/>
        <v>-2384000</v>
      </c>
    </row>
    <row r="202" spans="1:14" ht="27.7" customHeight="1" outlineLevel="7" x14ac:dyDescent="0.3">
      <c r="A202" s="189" t="s">
        <v>49</v>
      </c>
      <c r="B202" s="392" t="s">
        <v>455</v>
      </c>
      <c r="C202" s="392" t="s">
        <v>50</v>
      </c>
      <c r="D202" s="392" t="s">
        <v>126</v>
      </c>
      <c r="E202" s="392" t="s">
        <v>6</v>
      </c>
      <c r="F202" s="462">
        <f t="shared" ref="F202:J203" si="67">F203</f>
        <v>20668216.140000001</v>
      </c>
      <c r="G202" s="462">
        <f t="shared" si="67"/>
        <v>21116279.5</v>
      </c>
      <c r="H202" s="460">
        <v>9700153.5099999998</v>
      </c>
      <c r="I202" s="462">
        <f t="shared" si="67"/>
        <v>14066000</v>
      </c>
      <c r="J202" s="462">
        <f t="shared" si="67"/>
        <v>14000000</v>
      </c>
      <c r="K202" s="462">
        <f t="shared" si="65"/>
        <v>66.299558120548653</v>
      </c>
      <c r="L202" s="462">
        <f t="shared" si="66"/>
        <v>-7116279.5</v>
      </c>
      <c r="M202" s="462">
        <f t="shared" ref="M202:M203" si="68">M203</f>
        <v>14000000</v>
      </c>
      <c r="N202" s="178">
        <f t="shared" si="64"/>
        <v>0</v>
      </c>
    </row>
    <row r="203" spans="1:14" ht="84.9" outlineLevel="7" x14ac:dyDescent="0.3">
      <c r="A203" s="233" t="s">
        <v>1023</v>
      </c>
      <c r="B203" s="397" t="s">
        <v>455</v>
      </c>
      <c r="C203" s="397" t="s">
        <v>50</v>
      </c>
      <c r="D203" s="397" t="s">
        <v>322</v>
      </c>
      <c r="E203" s="397" t="s">
        <v>6</v>
      </c>
      <c r="F203" s="465">
        <f t="shared" si="67"/>
        <v>20668216.140000001</v>
      </c>
      <c r="G203" s="465">
        <f t="shared" si="67"/>
        <v>21116279.5</v>
      </c>
      <c r="H203" s="460">
        <v>9700153.5099999998</v>
      </c>
      <c r="I203" s="465">
        <f t="shared" si="67"/>
        <v>14066000</v>
      </c>
      <c r="J203" s="465">
        <f t="shared" si="67"/>
        <v>14000000</v>
      </c>
      <c r="K203" s="462">
        <f t="shared" si="65"/>
        <v>66.299558120548653</v>
      </c>
      <c r="L203" s="462">
        <f t="shared" si="66"/>
        <v>-7116279.5</v>
      </c>
      <c r="M203" s="465">
        <f t="shared" si="68"/>
        <v>14000000</v>
      </c>
      <c r="N203" s="178">
        <f t="shared" si="64"/>
        <v>0</v>
      </c>
    </row>
    <row r="204" spans="1:14" ht="40.75" customHeight="1" outlineLevel="7" x14ac:dyDescent="0.3">
      <c r="A204" s="189" t="s">
        <v>323</v>
      </c>
      <c r="B204" s="392" t="s">
        <v>455</v>
      </c>
      <c r="C204" s="392" t="s">
        <v>50</v>
      </c>
      <c r="D204" s="392" t="s">
        <v>324</v>
      </c>
      <c r="E204" s="392" t="s">
        <v>6</v>
      </c>
      <c r="F204" s="462">
        <f>F205+F211+F208</f>
        <v>20668216.140000001</v>
      </c>
      <c r="G204" s="462">
        <f>G205+G211+G208</f>
        <v>21116279.5</v>
      </c>
      <c r="H204" s="460">
        <v>9700153.5099999998</v>
      </c>
      <c r="I204" s="462">
        <f>I205+I211+I208</f>
        <v>14066000</v>
      </c>
      <c r="J204" s="462">
        <f>J205+J211+J208</f>
        <v>14000000</v>
      </c>
      <c r="K204" s="462">
        <f t="shared" si="65"/>
        <v>66.299558120548653</v>
      </c>
      <c r="L204" s="462">
        <f t="shared" si="66"/>
        <v>-7116279.5</v>
      </c>
      <c r="M204" s="462">
        <f>M205+M211+M208</f>
        <v>14000000</v>
      </c>
      <c r="N204" s="178">
        <f t="shared" si="64"/>
        <v>0</v>
      </c>
    </row>
    <row r="205" spans="1:14" ht="67.95" outlineLevel="7" x14ac:dyDescent="0.3">
      <c r="A205" s="189" t="s">
        <v>717</v>
      </c>
      <c r="B205" s="392" t="s">
        <v>455</v>
      </c>
      <c r="C205" s="392" t="s">
        <v>50</v>
      </c>
      <c r="D205" s="392" t="s">
        <v>326</v>
      </c>
      <c r="E205" s="392" t="s">
        <v>6</v>
      </c>
      <c r="F205" s="462">
        <f t="shared" ref="F205:J206" si="69">F206</f>
        <v>20668216.140000001</v>
      </c>
      <c r="G205" s="462">
        <f t="shared" si="69"/>
        <v>20807001.149999999</v>
      </c>
      <c r="H205" s="460">
        <v>9700153.5099999998</v>
      </c>
      <c r="I205" s="462">
        <f t="shared" si="69"/>
        <v>14066000</v>
      </c>
      <c r="J205" s="462">
        <f t="shared" si="69"/>
        <v>14000000</v>
      </c>
      <c r="K205" s="462">
        <f t="shared" si="65"/>
        <v>67.285044582217466</v>
      </c>
      <c r="L205" s="462">
        <f t="shared" si="66"/>
        <v>-6807001.1499999985</v>
      </c>
      <c r="M205" s="462">
        <f t="shared" ref="M205:M206" si="70">M206</f>
        <v>14000000</v>
      </c>
      <c r="N205" s="178">
        <f t="shared" si="64"/>
        <v>0</v>
      </c>
    </row>
    <row r="206" spans="1:14" s="224" customFormat="1" ht="34" outlineLevel="7" x14ac:dyDescent="0.3">
      <c r="A206" s="189" t="s">
        <v>15</v>
      </c>
      <c r="B206" s="392" t="s">
        <v>455</v>
      </c>
      <c r="C206" s="392" t="s">
        <v>50</v>
      </c>
      <c r="D206" s="392" t="s">
        <v>326</v>
      </c>
      <c r="E206" s="392" t="s">
        <v>16</v>
      </c>
      <c r="F206" s="462">
        <f t="shared" si="69"/>
        <v>20668216.140000001</v>
      </c>
      <c r="G206" s="462">
        <f t="shared" si="69"/>
        <v>20807001.149999999</v>
      </c>
      <c r="H206" s="460">
        <v>9700153.5099999998</v>
      </c>
      <c r="I206" s="462">
        <f t="shared" si="69"/>
        <v>14066000</v>
      </c>
      <c r="J206" s="462">
        <f t="shared" si="69"/>
        <v>14000000</v>
      </c>
      <c r="K206" s="462">
        <f t="shared" si="65"/>
        <v>67.285044582217466</v>
      </c>
      <c r="L206" s="462">
        <f t="shared" si="66"/>
        <v>-6807001.1499999985</v>
      </c>
      <c r="M206" s="462">
        <f t="shared" si="70"/>
        <v>14000000</v>
      </c>
      <c r="N206" s="178">
        <f t="shared" si="64"/>
        <v>0</v>
      </c>
    </row>
    <row r="207" spans="1:14" ht="67.95" customHeight="1" outlineLevel="7" x14ac:dyDescent="0.3">
      <c r="A207" s="189" t="s">
        <v>17</v>
      </c>
      <c r="B207" s="392" t="s">
        <v>455</v>
      </c>
      <c r="C207" s="392" t="s">
        <v>50</v>
      </c>
      <c r="D207" s="392" t="s">
        <v>326</v>
      </c>
      <c r="E207" s="392" t="s">
        <v>18</v>
      </c>
      <c r="F207" s="475">
        <v>20668216.140000001</v>
      </c>
      <c r="G207" s="462">
        <f>'потребность 2023 (5)'!K206+1400000+6350001.15</f>
        <v>20807001.149999999</v>
      </c>
      <c r="H207" s="460">
        <v>9700153.5099999998</v>
      </c>
      <c r="I207" s="462">
        <v>14066000</v>
      </c>
      <c r="J207" s="449">
        <v>14000000</v>
      </c>
      <c r="K207" s="462">
        <f t="shared" si="65"/>
        <v>67.285044582217466</v>
      </c>
      <c r="L207" s="462">
        <f t="shared" si="66"/>
        <v>-6807001.1499999985</v>
      </c>
      <c r="M207" s="449">
        <v>14000000</v>
      </c>
      <c r="N207" s="178">
        <f t="shared" si="64"/>
        <v>0</v>
      </c>
    </row>
    <row r="208" spans="1:14" ht="37.4" customHeight="1" outlineLevel="7" x14ac:dyDescent="0.3">
      <c r="A208" s="202" t="s">
        <v>954</v>
      </c>
      <c r="B208" s="392" t="s">
        <v>455</v>
      </c>
      <c r="C208" s="392" t="s">
        <v>50</v>
      </c>
      <c r="D208" s="392" t="s">
        <v>530</v>
      </c>
      <c r="E208" s="392" t="s">
        <v>6</v>
      </c>
      <c r="F208" s="462" t="s">
        <v>838</v>
      </c>
      <c r="G208" s="462">
        <f t="shared" ref="G208:J209" si="71">G209</f>
        <v>0</v>
      </c>
      <c r="H208" s="460">
        <v>0</v>
      </c>
      <c r="I208" s="462">
        <f t="shared" si="71"/>
        <v>0</v>
      </c>
      <c r="J208" s="462">
        <f t="shared" si="71"/>
        <v>0</v>
      </c>
      <c r="K208" s="462" t="e">
        <f t="shared" si="65"/>
        <v>#DIV/0!</v>
      </c>
      <c r="L208" s="462">
        <f t="shared" si="66"/>
        <v>0</v>
      </c>
      <c r="M208" s="462">
        <f t="shared" ref="M208:M209" si="72">M209</f>
        <v>0</v>
      </c>
      <c r="N208" s="178">
        <f t="shared" si="64"/>
        <v>0</v>
      </c>
    </row>
    <row r="209" spans="1:14" ht="48.9" customHeight="1" outlineLevel="7" x14ac:dyDescent="0.3">
      <c r="A209" s="189" t="s">
        <v>15</v>
      </c>
      <c r="B209" s="392" t="s">
        <v>455</v>
      </c>
      <c r="C209" s="392" t="s">
        <v>50</v>
      </c>
      <c r="D209" s="392" t="s">
        <v>530</v>
      </c>
      <c r="E209" s="392" t="s">
        <v>16</v>
      </c>
      <c r="F209" s="462" t="s">
        <v>838</v>
      </c>
      <c r="G209" s="462">
        <f t="shared" si="71"/>
        <v>0</v>
      </c>
      <c r="H209" s="460">
        <v>0</v>
      </c>
      <c r="I209" s="462">
        <f t="shared" si="71"/>
        <v>0</v>
      </c>
      <c r="J209" s="462">
        <f t="shared" si="71"/>
        <v>0</v>
      </c>
      <c r="K209" s="462" t="e">
        <f t="shared" si="65"/>
        <v>#DIV/0!</v>
      </c>
      <c r="L209" s="462">
        <f t="shared" si="66"/>
        <v>0</v>
      </c>
      <c r="M209" s="462">
        <f t="shared" si="72"/>
        <v>0</v>
      </c>
      <c r="N209" s="178">
        <f t="shared" si="64"/>
        <v>0</v>
      </c>
    </row>
    <row r="210" spans="1:14" ht="40.75" customHeight="1" outlineLevel="7" x14ac:dyDescent="0.3">
      <c r="A210" s="189" t="s">
        <v>17</v>
      </c>
      <c r="B210" s="392" t="s">
        <v>455</v>
      </c>
      <c r="C210" s="392" t="s">
        <v>50</v>
      </c>
      <c r="D210" s="392" t="s">
        <v>530</v>
      </c>
      <c r="E210" s="392" t="s">
        <v>18</v>
      </c>
      <c r="F210" s="462" t="s">
        <v>838</v>
      </c>
      <c r="G210" s="462">
        <v>0</v>
      </c>
      <c r="H210" s="460">
        <v>0</v>
      </c>
      <c r="I210" s="462">
        <v>0</v>
      </c>
      <c r="J210" s="449"/>
      <c r="K210" s="462" t="e">
        <f t="shared" si="65"/>
        <v>#DIV/0!</v>
      </c>
      <c r="L210" s="462">
        <f t="shared" si="66"/>
        <v>0</v>
      </c>
      <c r="M210" s="449"/>
      <c r="N210" s="178">
        <f t="shared" si="64"/>
        <v>0</v>
      </c>
    </row>
    <row r="211" spans="1:14" ht="43.5" customHeight="1" outlineLevel="7" x14ac:dyDescent="0.3">
      <c r="A211" s="189" t="s">
        <v>272</v>
      </c>
      <c r="B211" s="392" t="s">
        <v>455</v>
      </c>
      <c r="C211" s="392" t="s">
        <v>50</v>
      </c>
      <c r="D211" s="392" t="s">
        <v>383</v>
      </c>
      <c r="E211" s="392" t="s">
        <v>6</v>
      </c>
      <c r="F211" s="462" t="s">
        <v>838</v>
      </c>
      <c r="G211" s="449">
        <f t="shared" ref="G211:J212" si="73">G212</f>
        <v>309278.34999999998</v>
      </c>
      <c r="H211" s="460">
        <v>0</v>
      </c>
      <c r="I211" s="449">
        <f t="shared" si="73"/>
        <v>0</v>
      </c>
      <c r="J211" s="449">
        <f t="shared" si="73"/>
        <v>0</v>
      </c>
      <c r="K211" s="462">
        <f t="shared" si="65"/>
        <v>0</v>
      </c>
      <c r="L211" s="462">
        <f t="shared" si="66"/>
        <v>-309278.34999999998</v>
      </c>
      <c r="M211" s="449">
        <f t="shared" ref="M211:M212" si="74">M212</f>
        <v>0</v>
      </c>
      <c r="N211" s="178">
        <f t="shared" si="64"/>
        <v>0</v>
      </c>
    </row>
    <row r="212" spans="1:14" ht="34" outlineLevel="7" x14ac:dyDescent="0.3">
      <c r="A212" s="189" t="s">
        <v>15</v>
      </c>
      <c r="B212" s="392" t="s">
        <v>455</v>
      </c>
      <c r="C212" s="392" t="s">
        <v>50</v>
      </c>
      <c r="D212" s="392" t="s">
        <v>383</v>
      </c>
      <c r="E212" s="392" t="s">
        <v>16</v>
      </c>
      <c r="F212" s="462" t="s">
        <v>838</v>
      </c>
      <c r="G212" s="449">
        <f t="shared" si="73"/>
        <v>309278.34999999998</v>
      </c>
      <c r="H212" s="460">
        <v>0</v>
      </c>
      <c r="I212" s="449">
        <f t="shared" si="73"/>
        <v>0</v>
      </c>
      <c r="J212" s="449">
        <f t="shared" si="73"/>
        <v>0</v>
      </c>
      <c r="K212" s="462">
        <f t="shared" si="65"/>
        <v>0</v>
      </c>
      <c r="L212" s="462">
        <f t="shared" si="66"/>
        <v>-309278.34999999998</v>
      </c>
      <c r="M212" s="449">
        <f t="shared" si="74"/>
        <v>0</v>
      </c>
      <c r="N212" s="178">
        <f t="shared" si="64"/>
        <v>0</v>
      </c>
    </row>
    <row r="213" spans="1:14" ht="50.95" outlineLevel="7" x14ac:dyDescent="0.3">
      <c r="A213" s="189" t="s">
        <v>17</v>
      </c>
      <c r="B213" s="392" t="s">
        <v>455</v>
      </c>
      <c r="C213" s="392" t="s">
        <v>50</v>
      </c>
      <c r="D213" s="392" t="s">
        <v>383</v>
      </c>
      <c r="E213" s="392" t="s">
        <v>18</v>
      </c>
      <c r="F213" s="462" t="s">
        <v>838</v>
      </c>
      <c r="G213" s="462">
        <v>309278.34999999998</v>
      </c>
      <c r="H213" s="460">
        <v>0</v>
      </c>
      <c r="I213" s="462">
        <v>0</v>
      </c>
      <c r="J213" s="449"/>
      <c r="K213" s="462">
        <f t="shared" si="65"/>
        <v>0</v>
      </c>
      <c r="L213" s="462">
        <f t="shared" si="66"/>
        <v>-309278.34999999998</v>
      </c>
      <c r="M213" s="449"/>
      <c r="N213" s="178">
        <f t="shared" si="64"/>
        <v>0</v>
      </c>
    </row>
    <row r="214" spans="1:14" ht="31.95" customHeight="1" outlineLevel="7" x14ac:dyDescent="0.3">
      <c r="A214" s="189" t="s">
        <v>52</v>
      </c>
      <c r="B214" s="392" t="s">
        <v>455</v>
      </c>
      <c r="C214" s="392" t="s">
        <v>53</v>
      </c>
      <c r="D214" s="392" t="s">
        <v>126</v>
      </c>
      <c r="E214" s="392" t="s">
        <v>6</v>
      </c>
      <c r="F214" s="462">
        <f>F215+F220</f>
        <v>3781181.28</v>
      </c>
      <c r="G214" s="462">
        <f>G215+G220</f>
        <v>935000</v>
      </c>
      <c r="H214" s="460">
        <v>161007.1</v>
      </c>
      <c r="I214" s="462">
        <f>I215+I220</f>
        <v>530000</v>
      </c>
      <c r="J214" s="462">
        <f>J215+J220</f>
        <v>1500000</v>
      </c>
      <c r="K214" s="462">
        <f t="shared" si="65"/>
        <v>160.42780748663102</v>
      </c>
      <c r="L214" s="462">
        <f t="shared" si="66"/>
        <v>565000</v>
      </c>
      <c r="M214" s="462">
        <f>M215+M220</f>
        <v>1225000</v>
      </c>
      <c r="N214" s="178">
        <f t="shared" si="64"/>
        <v>-275000</v>
      </c>
    </row>
    <row r="215" spans="1:14" ht="39.25" customHeight="1" outlineLevel="7" x14ac:dyDescent="0.3">
      <c r="A215" s="233" t="s">
        <v>1027</v>
      </c>
      <c r="B215" s="397" t="s">
        <v>455</v>
      </c>
      <c r="C215" s="397" t="s">
        <v>53</v>
      </c>
      <c r="D215" s="397" t="s">
        <v>385</v>
      </c>
      <c r="E215" s="397" t="s">
        <v>6</v>
      </c>
      <c r="F215" s="471">
        <f t="shared" ref="F215:J218" si="75">F216</f>
        <v>100000</v>
      </c>
      <c r="G215" s="462">
        <f t="shared" si="75"/>
        <v>100000</v>
      </c>
      <c r="H215" s="460">
        <v>0</v>
      </c>
      <c r="I215" s="462">
        <f t="shared" si="75"/>
        <v>100000</v>
      </c>
      <c r="J215" s="462">
        <f t="shared" si="75"/>
        <v>100000</v>
      </c>
      <c r="K215" s="462">
        <f t="shared" si="65"/>
        <v>100</v>
      </c>
      <c r="L215" s="462">
        <f t="shared" si="66"/>
        <v>0</v>
      </c>
      <c r="M215" s="462">
        <f t="shared" ref="M215:M218" si="76">M216</f>
        <v>100000</v>
      </c>
      <c r="N215" s="178">
        <f t="shared" si="64"/>
        <v>0</v>
      </c>
    </row>
    <row r="216" spans="1:14" ht="50.95" outlineLevel="7" x14ac:dyDescent="0.3">
      <c r="A216" s="189" t="s">
        <v>692</v>
      </c>
      <c r="B216" s="392" t="s">
        <v>455</v>
      </c>
      <c r="C216" s="392" t="s">
        <v>53</v>
      </c>
      <c r="D216" s="392" t="s">
        <v>387</v>
      </c>
      <c r="E216" s="392" t="s">
        <v>6</v>
      </c>
      <c r="F216" s="471">
        <f t="shared" si="75"/>
        <v>100000</v>
      </c>
      <c r="G216" s="462">
        <f t="shared" si="75"/>
        <v>100000</v>
      </c>
      <c r="H216" s="460">
        <v>0</v>
      </c>
      <c r="I216" s="462">
        <f t="shared" si="75"/>
        <v>100000</v>
      </c>
      <c r="J216" s="462">
        <f t="shared" si="75"/>
        <v>100000</v>
      </c>
      <c r="K216" s="462">
        <f t="shared" si="65"/>
        <v>100</v>
      </c>
      <c r="L216" s="462">
        <f t="shared" si="66"/>
        <v>0</v>
      </c>
      <c r="M216" s="462">
        <f t="shared" si="76"/>
        <v>100000</v>
      </c>
      <c r="N216" s="178">
        <f t="shared" si="64"/>
        <v>0</v>
      </c>
    </row>
    <row r="217" spans="1:14" ht="66.599999999999994" customHeight="1" outlineLevel="7" x14ac:dyDescent="0.3">
      <c r="A217" s="189" t="s">
        <v>693</v>
      </c>
      <c r="B217" s="392" t="s">
        <v>455</v>
      </c>
      <c r="C217" s="392" t="s">
        <v>53</v>
      </c>
      <c r="D217" s="392" t="s">
        <v>694</v>
      </c>
      <c r="E217" s="392" t="s">
        <v>6</v>
      </c>
      <c r="F217" s="471">
        <f t="shared" si="75"/>
        <v>100000</v>
      </c>
      <c r="G217" s="462">
        <f t="shared" si="75"/>
        <v>100000</v>
      </c>
      <c r="H217" s="460">
        <v>0</v>
      </c>
      <c r="I217" s="462">
        <f t="shared" si="75"/>
        <v>100000</v>
      </c>
      <c r="J217" s="462">
        <f t="shared" si="75"/>
        <v>100000</v>
      </c>
      <c r="K217" s="462">
        <f t="shared" si="65"/>
        <v>100</v>
      </c>
      <c r="L217" s="462">
        <f t="shared" si="66"/>
        <v>0</v>
      </c>
      <c r="M217" s="462">
        <f t="shared" si="76"/>
        <v>100000</v>
      </c>
      <c r="N217" s="178">
        <f t="shared" si="64"/>
        <v>0</v>
      </c>
    </row>
    <row r="218" spans="1:14" outlineLevel="2" x14ac:dyDescent="0.3">
      <c r="A218" s="189" t="s">
        <v>19</v>
      </c>
      <c r="B218" s="392" t="s">
        <v>455</v>
      </c>
      <c r="C218" s="392" t="s">
        <v>53</v>
      </c>
      <c r="D218" s="392" t="s">
        <v>694</v>
      </c>
      <c r="E218" s="392" t="s">
        <v>20</v>
      </c>
      <c r="F218" s="471">
        <f t="shared" si="75"/>
        <v>100000</v>
      </c>
      <c r="G218" s="462">
        <f t="shared" si="75"/>
        <v>100000</v>
      </c>
      <c r="H218" s="460">
        <v>0</v>
      </c>
      <c r="I218" s="462">
        <f t="shared" si="75"/>
        <v>100000</v>
      </c>
      <c r="J218" s="462">
        <f t="shared" si="75"/>
        <v>100000</v>
      </c>
      <c r="K218" s="462">
        <f t="shared" si="65"/>
        <v>100</v>
      </c>
      <c r="L218" s="462">
        <f t="shared" si="66"/>
        <v>0</v>
      </c>
      <c r="M218" s="462">
        <f t="shared" si="76"/>
        <v>100000</v>
      </c>
      <c r="N218" s="178">
        <f t="shared" si="64"/>
        <v>0</v>
      </c>
    </row>
    <row r="219" spans="1:14" ht="62.15" customHeight="1" outlineLevel="2" x14ac:dyDescent="0.3">
      <c r="A219" s="189" t="s">
        <v>963</v>
      </c>
      <c r="B219" s="392" t="s">
        <v>455</v>
      </c>
      <c r="C219" s="392" t="s">
        <v>53</v>
      </c>
      <c r="D219" s="392" t="s">
        <v>694</v>
      </c>
      <c r="E219" s="392" t="s">
        <v>48</v>
      </c>
      <c r="F219" s="475">
        <v>100000</v>
      </c>
      <c r="G219" s="462">
        <f>'потребность 2023 (5)'!K218</f>
        <v>100000</v>
      </c>
      <c r="H219" s="460">
        <v>0</v>
      </c>
      <c r="I219" s="462">
        <v>100000</v>
      </c>
      <c r="J219" s="449">
        <v>100000</v>
      </c>
      <c r="K219" s="462">
        <f t="shared" si="65"/>
        <v>100</v>
      </c>
      <c r="L219" s="462">
        <f t="shared" si="66"/>
        <v>0</v>
      </c>
      <c r="M219" s="449">
        <v>100000</v>
      </c>
      <c r="N219" s="178">
        <f t="shared" si="64"/>
        <v>0</v>
      </c>
    </row>
    <row r="220" spans="1:14" ht="55.2" customHeight="1" outlineLevel="2" x14ac:dyDescent="0.3">
      <c r="A220" s="233" t="s">
        <v>1030</v>
      </c>
      <c r="B220" s="397" t="s">
        <v>455</v>
      </c>
      <c r="C220" s="397" t="s">
        <v>53</v>
      </c>
      <c r="D220" s="397" t="s">
        <v>327</v>
      </c>
      <c r="E220" s="397" t="s">
        <v>6</v>
      </c>
      <c r="F220" s="473">
        <f>F221+F225</f>
        <v>3681181.28</v>
      </c>
      <c r="G220" s="465">
        <f>G221+G225</f>
        <v>835000</v>
      </c>
      <c r="H220" s="460">
        <v>161007.1</v>
      </c>
      <c r="I220" s="465">
        <f>I221+I225</f>
        <v>430000</v>
      </c>
      <c r="J220" s="465">
        <f>J221+J225</f>
        <v>1400000</v>
      </c>
      <c r="K220" s="462">
        <f t="shared" si="65"/>
        <v>167.66467065868261</v>
      </c>
      <c r="L220" s="462">
        <f t="shared" si="66"/>
        <v>565000</v>
      </c>
      <c r="M220" s="465">
        <f>M221+M225</f>
        <v>1125000</v>
      </c>
      <c r="N220" s="178">
        <f t="shared" si="64"/>
        <v>-275000</v>
      </c>
    </row>
    <row r="221" spans="1:14" ht="34" outlineLevel="2" x14ac:dyDescent="0.3">
      <c r="A221" s="189" t="s">
        <v>366</v>
      </c>
      <c r="B221" s="392" t="s">
        <v>455</v>
      </c>
      <c r="C221" s="392" t="s">
        <v>53</v>
      </c>
      <c r="D221" s="392" t="s">
        <v>328</v>
      </c>
      <c r="E221" s="392" t="s">
        <v>6</v>
      </c>
      <c r="F221" s="476">
        <f t="shared" ref="F221:J223" si="77">F222</f>
        <v>3422100</v>
      </c>
      <c r="G221" s="449">
        <f t="shared" si="77"/>
        <v>235000</v>
      </c>
      <c r="H221" s="460">
        <v>120800</v>
      </c>
      <c r="I221" s="449">
        <f t="shared" si="77"/>
        <v>300000</v>
      </c>
      <c r="J221" s="449">
        <f t="shared" si="77"/>
        <v>270000</v>
      </c>
      <c r="K221" s="462">
        <f t="shared" si="65"/>
        <v>114.89361702127661</v>
      </c>
      <c r="L221" s="462">
        <f t="shared" si="66"/>
        <v>35000</v>
      </c>
      <c r="M221" s="449">
        <f t="shared" ref="M221:M223" si="78">M222</f>
        <v>270000</v>
      </c>
      <c r="N221" s="178">
        <f t="shared" si="64"/>
        <v>0</v>
      </c>
    </row>
    <row r="222" spans="1:14" ht="34" outlineLevel="2" x14ac:dyDescent="0.3">
      <c r="A222" s="189" t="s">
        <v>329</v>
      </c>
      <c r="B222" s="392" t="s">
        <v>455</v>
      </c>
      <c r="C222" s="392" t="s">
        <v>53</v>
      </c>
      <c r="D222" s="392" t="s">
        <v>330</v>
      </c>
      <c r="E222" s="392" t="s">
        <v>6</v>
      </c>
      <c r="F222" s="476">
        <f t="shared" si="77"/>
        <v>3422100</v>
      </c>
      <c r="G222" s="449">
        <f t="shared" si="77"/>
        <v>235000</v>
      </c>
      <c r="H222" s="460">
        <v>120800</v>
      </c>
      <c r="I222" s="449">
        <f t="shared" si="77"/>
        <v>300000</v>
      </c>
      <c r="J222" s="449">
        <f t="shared" si="77"/>
        <v>270000</v>
      </c>
      <c r="K222" s="462">
        <f t="shared" si="65"/>
        <v>114.89361702127661</v>
      </c>
      <c r="L222" s="462">
        <f t="shared" si="66"/>
        <v>35000</v>
      </c>
      <c r="M222" s="449">
        <f t="shared" si="78"/>
        <v>270000</v>
      </c>
      <c r="N222" s="178">
        <f t="shared" si="64"/>
        <v>0</v>
      </c>
    </row>
    <row r="223" spans="1:14" s="224" customFormat="1" ht="34" outlineLevel="3" x14ac:dyDescent="0.3">
      <c r="A223" s="189" t="s">
        <v>15</v>
      </c>
      <c r="B223" s="392" t="s">
        <v>455</v>
      </c>
      <c r="C223" s="392" t="s">
        <v>53</v>
      </c>
      <c r="D223" s="392" t="s">
        <v>330</v>
      </c>
      <c r="E223" s="392" t="s">
        <v>16</v>
      </c>
      <c r="F223" s="476">
        <f t="shared" si="77"/>
        <v>3422100</v>
      </c>
      <c r="G223" s="449">
        <f t="shared" si="77"/>
        <v>235000</v>
      </c>
      <c r="H223" s="460">
        <v>120800</v>
      </c>
      <c r="I223" s="449">
        <f t="shared" si="77"/>
        <v>300000</v>
      </c>
      <c r="J223" s="449">
        <f t="shared" si="77"/>
        <v>270000</v>
      </c>
      <c r="K223" s="462">
        <f t="shared" si="65"/>
        <v>114.89361702127661</v>
      </c>
      <c r="L223" s="462">
        <f t="shared" si="66"/>
        <v>35000</v>
      </c>
      <c r="M223" s="449">
        <f t="shared" si="78"/>
        <v>270000</v>
      </c>
      <c r="N223" s="178">
        <f t="shared" si="64"/>
        <v>0</v>
      </c>
    </row>
    <row r="224" spans="1:14" ht="50.95" outlineLevel="3" x14ac:dyDescent="0.3">
      <c r="A224" s="189" t="s">
        <v>17</v>
      </c>
      <c r="B224" s="392" t="s">
        <v>455</v>
      </c>
      <c r="C224" s="392" t="s">
        <v>53</v>
      </c>
      <c r="D224" s="392" t="s">
        <v>330</v>
      </c>
      <c r="E224" s="392" t="s">
        <v>18</v>
      </c>
      <c r="F224" s="475">
        <v>3422100</v>
      </c>
      <c r="G224" s="462">
        <f>'потребность 2023 (5)'!K223</f>
        <v>235000</v>
      </c>
      <c r="H224" s="460">
        <v>120800</v>
      </c>
      <c r="I224" s="462">
        <v>300000</v>
      </c>
      <c r="J224" s="449">
        <v>270000</v>
      </c>
      <c r="K224" s="462">
        <f t="shared" si="65"/>
        <v>114.89361702127661</v>
      </c>
      <c r="L224" s="462">
        <f t="shared" si="66"/>
        <v>35000</v>
      </c>
      <c r="M224" s="449">
        <v>270000</v>
      </c>
      <c r="N224" s="178">
        <f t="shared" si="64"/>
        <v>0</v>
      </c>
    </row>
    <row r="225" spans="1:14" ht="34" outlineLevel="3" x14ac:dyDescent="0.3">
      <c r="A225" s="189" t="s">
        <v>368</v>
      </c>
      <c r="B225" s="392" t="s">
        <v>455</v>
      </c>
      <c r="C225" s="392" t="s">
        <v>53</v>
      </c>
      <c r="D225" s="392" t="s">
        <v>367</v>
      </c>
      <c r="E225" s="392" t="s">
        <v>6</v>
      </c>
      <c r="F225" s="471">
        <f t="shared" ref="F225:J227" si="79">F226</f>
        <v>259081.28</v>
      </c>
      <c r="G225" s="462">
        <f t="shared" si="79"/>
        <v>600000</v>
      </c>
      <c r="H225" s="460">
        <v>40207.1</v>
      </c>
      <c r="I225" s="462">
        <f t="shared" si="79"/>
        <v>130000</v>
      </c>
      <c r="J225" s="462">
        <f t="shared" si="79"/>
        <v>1130000</v>
      </c>
      <c r="K225" s="462">
        <f t="shared" si="65"/>
        <v>188.33333333333334</v>
      </c>
      <c r="L225" s="462">
        <f t="shared" si="66"/>
        <v>530000</v>
      </c>
      <c r="M225" s="462">
        <f t="shared" ref="M225:M227" si="80">M226</f>
        <v>855000</v>
      </c>
      <c r="N225" s="178">
        <f t="shared" si="64"/>
        <v>-275000</v>
      </c>
    </row>
    <row r="226" spans="1:14" ht="34" outlineLevel="3" x14ac:dyDescent="0.3">
      <c r="A226" s="189" t="s">
        <v>331</v>
      </c>
      <c r="B226" s="392" t="s">
        <v>455</v>
      </c>
      <c r="C226" s="392" t="s">
        <v>53</v>
      </c>
      <c r="D226" s="392" t="s">
        <v>389</v>
      </c>
      <c r="E226" s="392" t="s">
        <v>6</v>
      </c>
      <c r="F226" s="471">
        <f t="shared" si="79"/>
        <v>259081.28</v>
      </c>
      <c r="G226" s="462">
        <f t="shared" si="79"/>
        <v>600000</v>
      </c>
      <c r="H226" s="460">
        <v>40207.1</v>
      </c>
      <c r="I226" s="462">
        <f t="shared" si="79"/>
        <v>130000</v>
      </c>
      <c r="J226" s="462">
        <f t="shared" si="79"/>
        <v>1130000</v>
      </c>
      <c r="K226" s="462">
        <f t="shared" si="65"/>
        <v>188.33333333333334</v>
      </c>
      <c r="L226" s="462">
        <f t="shared" si="66"/>
        <v>530000</v>
      </c>
      <c r="M226" s="462">
        <f t="shared" si="80"/>
        <v>855000</v>
      </c>
      <c r="N226" s="178">
        <f t="shared" si="64"/>
        <v>-275000</v>
      </c>
    </row>
    <row r="227" spans="1:14" ht="18.7" customHeight="1" outlineLevel="3" x14ac:dyDescent="0.3">
      <c r="A227" s="189" t="s">
        <v>15</v>
      </c>
      <c r="B227" s="392" t="s">
        <v>455</v>
      </c>
      <c r="C227" s="392" t="s">
        <v>53</v>
      </c>
      <c r="D227" s="392" t="s">
        <v>389</v>
      </c>
      <c r="E227" s="392" t="s">
        <v>16</v>
      </c>
      <c r="F227" s="471">
        <f t="shared" si="79"/>
        <v>259081.28</v>
      </c>
      <c r="G227" s="462">
        <f t="shared" si="79"/>
        <v>600000</v>
      </c>
      <c r="H227" s="460">
        <v>40207.1</v>
      </c>
      <c r="I227" s="462">
        <f t="shared" si="79"/>
        <v>130000</v>
      </c>
      <c r="J227" s="462">
        <f t="shared" si="79"/>
        <v>1130000</v>
      </c>
      <c r="K227" s="462">
        <f t="shared" si="65"/>
        <v>188.33333333333334</v>
      </c>
      <c r="L227" s="462">
        <f t="shared" si="66"/>
        <v>530000</v>
      </c>
      <c r="M227" s="462">
        <f t="shared" si="80"/>
        <v>855000</v>
      </c>
      <c r="N227" s="178">
        <f t="shared" si="64"/>
        <v>-275000</v>
      </c>
    </row>
    <row r="228" spans="1:14" ht="19.55" customHeight="1" outlineLevel="3" x14ac:dyDescent="0.3">
      <c r="A228" s="189" t="s">
        <v>17</v>
      </c>
      <c r="B228" s="392" t="s">
        <v>455</v>
      </c>
      <c r="C228" s="392" t="s">
        <v>53</v>
      </c>
      <c r="D228" s="392" t="s">
        <v>389</v>
      </c>
      <c r="E228" s="392" t="s">
        <v>18</v>
      </c>
      <c r="F228" s="475">
        <v>259081.28</v>
      </c>
      <c r="G228" s="462">
        <f>'потребность 2023 (5)'!K227</f>
        <v>600000</v>
      </c>
      <c r="H228" s="460">
        <v>40207.1</v>
      </c>
      <c r="I228" s="462">
        <v>130000</v>
      </c>
      <c r="J228" s="449">
        <v>1130000</v>
      </c>
      <c r="K228" s="462">
        <f t="shared" si="65"/>
        <v>188.33333333333334</v>
      </c>
      <c r="L228" s="462">
        <f t="shared" si="66"/>
        <v>530000</v>
      </c>
      <c r="M228" s="449">
        <f>1130000-275000</f>
        <v>855000</v>
      </c>
      <c r="N228" s="178">
        <f t="shared" si="64"/>
        <v>-275000</v>
      </c>
    </row>
    <row r="229" spans="1:14" ht="34" outlineLevel="5" x14ac:dyDescent="0.3">
      <c r="A229" s="233" t="s">
        <v>54</v>
      </c>
      <c r="B229" s="397" t="s">
        <v>455</v>
      </c>
      <c r="C229" s="397" t="s">
        <v>55</v>
      </c>
      <c r="D229" s="397" t="s">
        <v>126</v>
      </c>
      <c r="E229" s="397" t="s">
        <v>6</v>
      </c>
      <c r="F229" s="465">
        <f>F230+F236+F267+F316</f>
        <v>77730576.179999992</v>
      </c>
      <c r="G229" s="465">
        <f>G230+G236+G267+G316</f>
        <v>50687804.199999996</v>
      </c>
      <c r="H229" s="460">
        <v>59680408.060000002</v>
      </c>
      <c r="I229" s="465">
        <f>I230+I236+I267+I316</f>
        <v>9614185.9800000004</v>
      </c>
      <c r="J229" s="465">
        <f>J230+J236+J267+J316</f>
        <v>68227342.040000007</v>
      </c>
      <c r="K229" s="462">
        <f t="shared" si="65"/>
        <v>134.60307290249517</v>
      </c>
      <c r="L229" s="462">
        <f t="shared" si="66"/>
        <v>17539537.840000011</v>
      </c>
      <c r="M229" s="465">
        <f>M230+M236+M267+M316</f>
        <v>18397017.060000002</v>
      </c>
      <c r="N229" s="178">
        <f t="shared" si="64"/>
        <v>-49830324.980000004</v>
      </c>
    </row>
    <row r="230" spans="1:14" outlineLevel="6" x14ac:dyDescent="0.3">
      <c r="A230" s="189" t="s">
        <v>56</v>
      </c>
      <c r="B230" s="392" t="s">
        <v>455</v>
      </c>
      <c r="C230" s="392" t="s">
        <v>57</v>
      </c>
      <c r="D230" s="392" t="s">
        <v>126</v>
      </c>
      <c r="E230" s="392" t="s">
        <v>6</v>
      </c>
      <c r="F230" s="471">
        <f>F231</f>
        <v>4435521.75</v>
      </c>
      <c r="G230" s="462">
        <f t="shared" ref="G230:J234" si="81">G231</f>
        <v>3083113.73</v>
      </c>
      <c r="H230" s="460">
        <v>2066937.11</v>
      </c>
      <c r="I230" s="462">
        <f t="shared" si="81"/>
        <v>1000000</v>
      </c>
      <c r="J230" s="462">
        <f t="shared" si="81"/>
        <v>9037550</v>
      </c>
      <c r="K230" s="462">
        <f t="shared" si="65"/>
        <v>293.13060728382538</v>
      </c>
      <c r="L230" s="462">
        <f t="shared" si="66"/>
        <v>5954436.2699999996</v>
      </c>
      <c r="M230" s="462">
        <f t="shared" ref="M230:M234" si="82">M231</f>
        <v>3037550</v>
      </c>
      <c r="N230" s="178">
        <f t="shared" si="64"/>
        <v>-6000000</v>
      </c>
    </row>
    <row r="231" spans="1:14" ht="48.25" customHeight="1" outlineLevel="7" x14ac:dyDescent="0.3">
      <c r="A231" s="233" t="s">
        <v>1031</v>
      </c>
      <c r="B231" s="397" t="s">
        <v>455</v>
      </c>
      <c r="C231" s="397" t="s">
        <v>57</v>
      </c>
      <c r="D231" s="397" t="s">
        <v>319</v>
      </c>
      <c r="E231" s="397" t="s">
        <v>6</v>
      </c>
      <c r="F231" s="473">
        <f t="shared" ref="F231:F234" si="83">F232</f>
        <v>4435521.75</v>
      </c>
      <c r="G231" s="465">
        <f t="shared" si="81"/>
        <v>3083113.73</v>
      </c>
      <c r="H231" s="460">
        <v>2066937.11</v>
      </c>
      <c r="I231" s="465">
        <f t="shared" si="81"/>
        <v>1000000</v>
      </c>
      <c r="J231" s="465">
        <f t="shared" si="81"/>
        <v>9037550</v>
      </c>
      <c r="K231" s="462">
        <f t="shared" si="65"/>
        <v>293.13060728382538</v>
      </c>
      <c r="L231" s="462">
        <f t="shared" si="66"/>
        <v>5954436.2699999996</v>
      </c>
      <c r="M231" s="465">
        <f t="shared" si="82"/>
        <v>3037550</v>
      </c>
      <c r="N231" s="178">
        <f t="shared" si="64"/>
        <v>-6000000</v>
      </c>
    </row>
    <row r="232" spans="1:14" s="224" customFormat="1" ht="50.95" outlineLevel="1" x14ac:dyDescent="0.3">
      <c r="A232" s="189" t="s">
        <v>332</v>
      </c>
      <c r="B232" s="392" t="s">
        <v>455</v>
      </c>
      <c r="C232" s="392" t="s">
        <v>57</v>
      </c>
      <c r="D232" s="392" t="s">
        <v>320</v>
      </c>
      <c r="E232" s="392" t="s">
        <v>6</v>
      </c>
      <c r="F232" s="471">
        <f t="shared" si="83"/>
        <v>4435521.75</v>
      </c>
      <c r="G232" s="462">
        <f t="shared" si="81"/>
        <v>3083113.73</v>
      </c>
      <c r="H232" s="460">
        <v>2066937.11</v>
      </c>
      <c r="I232" s="462">
        <f t="shared" si="81"/>
        <v>1000000</v>
      </c>
      <c r="J232" s="462">
        <f t="shared" si="81"/>
        <v>9037550</v>
      </c>
      <c r="K232" s="462">
        <f t="shared" si="65"/>
        <v>293.13060728382538</v>
      </c>
      <c r="L232" s="462">
        <f t="shared" si="66"/>
        <v>5954436.2699999996</v>
      </c>
      <c r="M232" s="462">
        <f t="shared" si="82"/>
        <v>3037550</v>
      </c>
      <c r="N232" s="178">
        <f t="shared" si="64"/>
        <v>-6000000</v>
      </c>
    </row>
    <row r="233" spans="1:14" ht="34" outlineLevel="1" x14ac:dyDescent="0.3">
      <c r="A233" s="189" t="s">
        <v>333</v>
      </c>
      <c r="B233" s="392" t="s">
        <v>455</v>
      </c>
      <c r="C233" s="392" t="s">
        <v>57</v>
      </c>
      <c r="D233" s="392" t="s">
        <v>334</v>
      </c>
      <c r="E233" s="392" t="s">
        <v>6</v>
      </c>
      <c r="F233" s="471">
        <f t="shared" si="83"/>
        <v>4435521.75</v>
      </c>
      <c r="G233" s="462">
        <f t="shared" si="81"/>
        <v>3083113.73</v>
      </c>
      <c r="H233" s="460">
        <v>2066937.11</v>
      </c>
      <c r="I233" s="462">
        <f t="shared" si="81"/>
        <v>1000000</v>
      </c>
      <c r="J233" s="462">
        <f t="shared" si="81"/>
        <v>9037550</v>
      </c>
      <c r="K233" s="462">
        <f t="shared" si="65"/>
        <v>293.13060728382538</v>
      </c>
      <c r="L233" s="462">
        <f t="shared" si="66"/>
        <v>5954436.2699999996</v>
      </c>
      <c r="M233" s="462">
        <f t="shared" si="82"/>
        <v>3037550</v>
      </c>
      <c r="N233" s="178">
        <f t="shared" si="64"/>
        <v>-6000000</v>
      </c>
    </row>
    <row r="234" spans="1:14" s="224" customFormat="1" ht="34" outlineLevel="1" x14ac:dyDescent="0.3">
      <c r="A234" s="189" t="s">
        <v>15</v>
      </c>
      <c r="B234" s="392" t="s">
        <v>455</v>
      </c>
      <c r="C234" s="392" t="s">
        <v>57</v>
      </c>
      <c r="D234" s="392" t="s">
        <v>334</v>
      </c>
      <c r="E234" s="392" t="s">
        <v>16</v>
      </c>
      <c r="F234" s="471">
        <f t="shared" si="83"/>
        <v>4435521.75</v>
      </c>
      <c r="G234" s="462">
        <f t="shared" si="81"/>
        <v>3083113.73</v>
      </c>
      <c r="H234" s="460">
        <v>2066937.11</v>
      </c>
      <c r="I234" s="462">
        <f t="shared" si="81"/>
        <v>1000000</v>
      </c>
      <c r="J234" s="462">
        <f t="shared" si="81"/>
        <v>9037550</v>
      </c>
      <c r="K234" s="462">
        <f t="shared" si="65"/>
        <v>293.13060728382538</v>
      </c>
      <c r="L234" s="462">
        <f t="shared" si="66"/>
        <v>5954436.2699999996</v>
      </c>
      <c r="M234" s="462">
        <f t="shared" si="82"/>
        <v>3037550</v>
      </c>
      <c r="N234" s="178">
        <f t="shared" si="64"/>
        <v>-6000000</v>
      </c>
    </row>
    <row r="235" spans="1:14" ht="36.700000000000003" customHeight="1" outlineLevel="1" x14ac:dyDescent="0.3">
      <c r="A235" s="189" t="s">
        <v>17</v>
      </c>
      <c r="B235" s="392" t="s">
        <v>455</v>
      </c>
      <c r="C235" s="392" t="s">
        <v>57</v>
      </c>
      <c r="D235" s="392" t="s">
        <v>334</v>
      </c>
      <c r="E235" s="392" t="s">
        <v>18</v>
      </c>
      <c r="F235" s="475">
        <v>4435521.75</v>
      </c>
      <c r="G235" s="449">
        <f>'потребность 2023 (5)'!K234-16886.27+600000</f>
        <v>3083113.73</v>
      </c>
      <c r="H235" s="460">
        <v>2066937.11</v>
      </c>
      <c r="I235" s="449">
        <v>1000000</v>
      </c>
      <c r="J235" s="449">
        <f>3037550+6000000</f>
        <v>9037550</v>
      </c>
      <c r="K235" s="462">
        <f t="shared" si="65"/>
        <v>293.13060728382538</v>
      </c>
      <c r="L235" s="462">
        <f t="shared" si="66"/>
        <v>5954436.2699999996</v>
      </c>
      <c r="M235" s="449">
        <f>3037550+6000000-6000000</f>
        <v>3037550</v>
      </c>
      <c r="N235" s="178">
        <f t="shared" si="64"/>
        <v>-6000000</v>
      </c>
    </row>
    <row r="236" spans="1:14" ht="18.7" customHeight="1" outlineLevel="7" x14ac:dyDescent="0.3">
      <c r="A236" s="189" t="s">
        <v>58</v>
      </c>
      <c r="B236" s="392" t="s">
        <v>455</v>
      </c>
      <c r="C236" s="392" t="s">
        <v>59</v>
      </c>
      <c r="D236" s="392" t="s">
        <v>126</v>
      </c>
      <c r="E236" s="392" t="s">
        <v>6</v>
      </c>
      <c r="F236" s="462">
        <f t="shared" ref="F236:J237" si="84">F237</f>
        <v>39133013.280000001</v>
      </c>
      <c r="G236" s="462">
        <f t="shared" si="84"/>
        <v>32193687.460000001</v>
      </c>
      <c r="H236" s="460">
        <v>32467780.23</v>
      </c>
      <c r="I236" s="462">
        <f t="shared" si="84"/>
        <v>4000000</v>
      </c>
      <c r="J236" s="462">
        <f t="shared" si="84"/>
        <v>35060606.060000002</v>
      </c>
      <c r="K236" s="462">
        <f t="shared" si="65"/>
        <v>108.90521970669589</v>
      </c>
      <c r="L236" s="462">
        <f t="shared" si="66"/>
        <v>2866918.6000000015</v>
      </c>
      <c r="M236" s="462">
        <f t="shared" ref="M236:M237" si="85">M237</f>
        <v>3356592.69</v>
      </c>
      <c r="N236" s="178">
        <f t="shared" si="64"/>
        <v>-31704013.370000001</v>
      </c>
    </row>
    <row r="237" spans="1:14" ht="67.95" outlineLevel="7" x14ac:dyDescent="0.3">
      <c r="A237" s="233" t="s">
        <v>1032</v>
      </c>
      <c r="B237" s="397" t="s">
        <v>455</v>
      </c>
      <c r="C237" s="397" t="s">
        <v>59</v>
      </c>
      <c r="D237" s="397" t="s">
        <v>134</v>
      </c>
      <c r="E237" s="397" t="s">
        <v>6</v>
      </c>
      <c r="F237" s="473">
        <f>F238+F253</f>
        <v>39133013.280000001</v>
      </c>
      <c r="G237" s="465">
        <f t="shared" si="84"/>
        <v>32193687.460000001</v>
      </c>
      <c r="H237" s="460">
        <v>32467780.23</v>
      </c>
      <c r="I237" s="465">
        <f t="shared" si="84"/>
        <v>4000000</v>
      </c>
      <c r="J237" s="465">
        <f t="shared" si="84"/>
        <v>35060606.060000002</v>
      </c>
      <c r="K237" s="462">
        <f t="shared" si="65"/>
        <v>108.90521970669589</v>
      </c>
      <c r="L237" s="462">
        <f t="shared" si="66"/>
        <v>2866918.6000000015</v>
      </c>
      <c r="M237" s="465">
        <f t="shared" si="85"/>
        <v>3356592.69</v>
      </c>
      <c r="N237" s="178">
        <f t="shared" si="64"/>
        <v>-31704013.370000001</v>
      </c>
    </row>
    <row r="238" spans="1:14" ht="67.95" outlineLevel="7" x14ac:dyDescent="0.3">
      <c r="A238" s="189" t="s">
        <v>1033</v>
      </c>
      <c r="B238" s="392" t="s">
        <v>455</v>
      </c>
      <c r="C238" s="392" t="s">
        <v>59</v>
      </c>
      <c r="D238" s="392" t="s">
        <v>335</v>
      </c>
      <c r="E238" s="392" t="s">
        <v>6</v>
      </c>
      <c r="F238" s="471">
        <f>F239+F246+F249</f>
        <v>39133013.280000001</v>
      </c>
      <c r="G238" s="462">
        <f>G239+G246+G249+G255+G252+G258+G264+G261</f>
        <v>32193687.460000001</v>
      </c>
      <c r="H238" s="460">
        <v>32467780.23</v>
      </c>
      <c r="I238" s="462">
        <f>I239+I246+I249+I255+I252+I258+I264+I261</f>
        <v>4000000</v>
      </c>
      <c r="J238" s="462">
        <f>J239+J246+J249+J255+J252+J258+J264+J261</f>
        <v>35060606.060000002</v>
      </c>
      <c r="K238" s="462">
        <f t="shared" si="65"/>
        <v>108.90521970669589</v>
      </c>
      <c r="L238" s="462">
        <f t="shared" si="66"/>
        <v>2866918.6000000015</v>
      </c>
      <c r="M238" s="462">
        <f>M239+M246+M249+M255+M252+M258+M264+M261</f>
        <v>3356592.69</v>
      </c>
      <c r="N238" s="178">
        <f t="shared" si="64"/>
        <v>-31704013.370000001</v>
      </c>
    </row>
    <row r="239" spans="1:14" ht="101.9" outlineLevel="1" x14ac:dyDescent="0.3">
      <c r="A239" s="189" t="s">
        <v>60</v>
      </c>
      <c r="B239" s="392" t="s">
        <v>455</v>
      </c>
      <c r="C239" s="392" t="s">
        <v>59</v>
      </c>
      <c r="D239" s="392" t="s">
        <v>336</v>
      </c>
      <c r="E239" s="392" t="s">
        <v>6</v>
      </c>
      <c r="F239" s="471">
        <f>F240+F242+F244</f>
        <v>13643362.870000001</v>
      </c>
      <c r="G239" s="462">
        <f>G240+G242+G244</f>
        <v>11659292.050000001</v>
      </c>
      <c r="H239" s="460">
        <v>10719560.43</v>
      </c>
      <c r="I239" s="462">
        <f>I240+I242+I244</f>
        <v>500000</v>
      </c>
      <c r="J239" s="462">
        <f>J240+J242+J244</f>
        <v>10000000</v>
      </c>
      <c r="K239" s="462">
        <f t="shared" si="65"/>
        <v>85.768500841352534</v>
      </c>
      <c r="L239" s="462">
        <f t="shared" si="66"/>
        <v>-1659292.0500000007</v>
      </c>
      <c r="M239" s="462">
        <f>M240+M242+M244</f>
        <v>1000000</v>
      </c>
      <c r="N239" s="178">
        <f t="shared" si="64"/>
        <v>-9000000</v>
      </c>
    </row>
    <row r="240" spans="1:14" s="224" customFormat="1" ht="34" outlineLevel="1" x14ac:dyDescent="0.3">
      <c r="A240" s="189" t="s">
        <v>15</v>
      </c>
      <c r="B240" s="392" t="s">
        <v>455</v>
      </c>
      <c r="C240" s="392" t="s">
        <v>59</v>
      </c>
      <c r="D240" s="392" t="s">
        <v>336</v>
      </c>
      <c r="E240" s="392" t="s">
        <v>16</v>
      </c>
      <c r="F240" s="471">
        <f>F241</f>
        <v>2744102.88</v>
      </c>
      <c r="G240" s="462">
        <f>G241</f>
        <v>1180603.8700000001</v>
      </c>
      <c r="H240" s="460">
        <v>240872.25</v>
      </c>
      <c r="I240" s="462">
        <f>I241</f>
        <v>500000</v>
      </c>
      <c r="J240" s="462">
        <f>J241</f>
        <v>10000000</v>
      </c>
      <c r="K240" s="462">
        <f t="shared" si="65"/>
        <v>847.02415891623309</v>
      </c>
      <c r="L240" s="462">
        <f t="shared" si="66"/>
        <v>8819396.129999999</v>
      </c>
      <c r="M240" s="462">
        <f>M241</f>
        <v>1000000</v>
      </c>
      <c r="N240" s="178">
        <f t="shared" si="64"/>
        <v>-9000000</v>
      </c>
    </row>
    <row r="241" spans="1:14" ht="39.25" customHeight="1" outlineLevel="1" x14ac:dyDescent="0.3">
      <c r="A241" s="189" t="s">
        <v>17</v>
      </c>
      <c r="B241" s="392" t="s">
        <v>455</v>
      </c>
      <c r="C241" s="392" t="s">
        <v>59</v>
      </c>
      <c r="D241" s="392" t="s">
        <v>336</v>
      </c>
      <c r="E241" s="392" t="s">
        <v>18</v>
      </c>
      <c r="F241" s="475">
        <v>2744102.88</v>
      </c>
      <c r="G241" s="449">
        <f>'потребность 2023 (5)'!K245-1040707.95-178688.18+6200000-5300000</f>
        <v>1180603.8700000001</v>
      </c>
      <c r="H241" s="460">
        <v>240872.25</v>
      </c>
      <c r="I241" s="449">
        <v>500000</v>
      </c>
      <c r="J241" s="449">
        <v>10000000</v>
      </c>
      <c r="K241" s="462">
        <f t="shared" si="65"/>
        <v>847.02415891623309</v>
      </c>
      <c r="L241" s="462">
        <f t="shared" si="66"/>
        <v>8819396.129999999</v>
      </c>
      <c r="M241" s="449">
        <f>10000000-10000000+1000000</f>
        <v>1000000</v>
      </c>
      <c r="N241" s="178">
        <f t="shared" si="64"/>
        <v>-9000000</v>
      </c>
    </row>
    <row r="242" spans="1:14" ht="41.3" customHeight="1" outlineLevel="1" x14ac:dyDescent="0.3">
      <c r="A242" s="189" t="s">
        <v>258</v>
      </c>
      <c r="B242" s="392" t="s">
        <v>455</v>
      </c>
      <c r="C242" s="392" t="s">
        <v>59</v>
      </c>
      <c r="D242" s="392" t="s">
        <v>336</v>
      </c>
      <c r="E242" s="392" t="s">
        <v>259</v>
      </c>
      <c r="F242" s="476">
        <f>F243</f>
        <v>899259.99</v>
      </c>
      <c r="G242" s="449">
        <f>G243</f>
        <v>478688.18</v>
      </c>
      <c r="H242" s="460">
        <v>478688.18</v>
      </c>
      <c r="I242" s="449">
        <f>I243</f>
        <v>0</v>
      </c>
      <c r="J242" s="449">
        <f>J243</f>
        <v>0</v>
      </c>
      <c r="K242" s="462">
        <f t="shared" si="65"/>
        <v>0</v>
      </c>
      <c r="L242" s="462">
        <f t="shared" si="66"/>
        <v>-478688.18</v>
      </c>
      <c r="M242" s="449">
        <f>M243</f>
        <v>0</v>
      </c>
      <c r="N242" s="178">
        <f t="shared" si="64"/>
        <v>0</v>
      </c>
    </row>
    <row r="243" spans="1:14" ht="24.8" customHeight="1" outlineLevel="1" x14ac:dyDescent="0.3">
      <c r="A243" s="189" t="s">
        <v>260</v>
      </c>
      <c r="B243" s="392" t="s">
        <v>455</v>
      </c>
      <c r="C243" s="392" t="s">
        <v>59</v>
      </c>
      <c r="D243" s="392" t="s">
        <v>336</v>
      </c>
      <c r="E243" s="392" t="s">
        <v>261</v>
      </c>
      <c r="F243" s="475">
        <v>899259.99</v>
      </c>
      <c r="G243" s="449">
        <f>178688.18+300000</f>
        <v>478688.18</v>
      </c>
      <c r="H243" s="460">
        <v>478688.18</v>
      </c>
      <c r="I243" s="449">
        <v>0</v>
      </c>
      <c r="J243" s="449"/>
      <c r="K243" s="462">
        <f t="shared" si="65"/>
        <v>0</v>
      </c>
      <c r="L243" s="462">
        <f t="shared" si="66"/>
        <v>-478688.18</v>
      </c>
      <c r="M243" s="449"/>
      <c r="N243" s="178">
        <f t="shared" si="64"/>
        <v>0</v>
      </c>
    </row>
    <row r="244" spans="1:14" ht="27.7" customHeight="1" outlineLevel="1" x14ac:dyDescent="0.3">
      <c r="A244" s="189" t="s">
        <v>19</v>
      </c>
      <c r="B244" s="392" t="s">
        <v>455</v>
      </c>
      <c r="C244" s="392" t="s">
        <v>59</v>
      </c>
      <c r="D244" s="392" t="s">
        <v>336</v>
      </c>
      <c r="E244" s="392" t="s">
        <v>20</v>
      </c>
      <c r="F244" s="475">
        <v>10000000</v>
      </c>
      <c r="G244" s="449">
        <f>G245</f>
        <v>10000000</v>
      </c>
      <c r="H244" s="460">
        <v>10000000</v>
      </c>
      <c r="I244" s="449">
        <f>I245</f>
        <v>0</v>
      </c>
      <c r="J244" s="449">
        <f>J245</f>
        <v>0</v>
      </c>
      <c r="K244" s="462">
        <f t="shared" si="65"/>
        <v>0</v>
      </c>
      <c r="L244" s="462">
        <f t="shared" si="66"/>
        <v>-10000000</v>
      </c>
      <c r="M244" s="449">
        <f>M245</f>
        <v>0</v>
      </c>
      <c r="N244" s="178">
        <f t="shared" si="64"/>
        <v>0</v>
      </c>
    </row>
    <row r="245" spans="1:14" ht="57.75" customHeight="1" outlineLevel="1" x14ac:dyDescent="0.3">
      <c r="A245" s="189" t="s">
        <v>963</v>
      </c>
      <c r="B245" s="392" t="s">
        <v>455</v>
      </c>
      <c r="C245" s="392" t="s">
        <v>59</v>
      </c>
      <c r="D245" s="392" t="s">
        <v>336</v>
      </c>
      <c r="E245" s="392" t="s">
        <v>48</v>
      </c>
      <c r="F245" s="475">
        <v>10000000</v>
      </c>
      <c r="G245" s="449">
        <f>'потребность 2023 (5)'!K249</f>
        <v>10000000</v>
      </c>
      <c r="H245" s="460">
        <v>10000000</v>
      </c>
      <c r="I245" s="449">
        <v>0</v>
      </c>
      <c r="J245" s="449"/>
      <c r="K245" s="462">
        <f t="shared" si="65"/>
        <v>0</v>
      </c>
      <c r="L245" s="462">
        <f t="shared" si="66"/>
        <v>-10000000</v>
      </c>
      <c r="M245" s="449">
        <v>0</v>
      </c>
      <c r="N245" s="178">
        <f t="shared" si="64"/>
        <v>0</v>
      </c>
    </row>
    <row r="246" spans="1:14" ht="58.6" customHeight="1" outlineLevel="1" x14ac:dyDescent="0.3">
      <c r="A246" s="189" t="s">
        <v>246</v>
      </c>
      <c r="B246" s="392" t="s">
        <v>455</v>
      </c>
      <c r="C246" s="392" t="s">
        <v>59</v>
      </c>
      <c r="D246" s="392" t="s">
        <v>337</v>
      </c>
      <c r="E246" s="392" t="s">
        <v>6</v>
      </c>
      <c r="F246" s="475">
        <v>3838391.19</v>
      </c>
      <c r="G246" s="449">
        <f t="shared" ref="G246:J247" si="86">G247</f>
        <v>4400000</v>
      </c>
      <c r="H246" s="460">
        <v>2982177.06</v>
      </c>
      <c r="I246" s="449">
        <f t="shared" si="86"/>
        <v>3500000</v>
      </c>
      <c r="J246" s="449">
        <f t="shared" si="86"/>
        <v>4000000</v>
      </c>
      <c r="K246" s="462">
        <f t="shared" si="65"/>
        <v>90.909090909090907</v>
      </c>
      <c r="L246" s="462">
        <f t="shared" si="66"/>
        <v>-400000</v>
      </c>
      <c r="M246" s="449">
        <f t="shared" ref="M246:M247" si="87">M247</f>
        <v>2295986.63</v>
      </c>
      <c r="N246" s="178">
        <f t="shared" si="64"/>
        <v>-1704013.37</v>
      </c>
    </row>
    <row r="247" spans="1:14" ht="21.25" customHeight="1" outlineLevel="1" x14ac:dyDescent="0.3">
      <c r="A247" s="189" t="s">
        <v>19</v>
      </c>
      <c r="B247" s="392" t="s">
        <v>455</v>
      </c>
      <c r="C247" s="392" t="s">
        <v>59</v>
      </c>
      <c r="D247" s="392" t="s">
        <v>337</v>
      </c>
      <c r="E247" s="392" t="s">
        <v>20</v>
      </c>
      <c r="F247" s="475">
        <v>3838391.19</v>
      </c>
      <c r="G247" s="449">
        <f t="shared" si="86"/>
        <v>4400000</v>
      </c>
      <c r="H247" s="460">
        <v>2982177.06</v>
      </c>
      <c r="I247" s="449">
        <f t="shared" si="86"/>
        <v>3500000</v>
      </c>
      <c r="J247" s="449">
        <f t="shared" si="86"/>
        <v>4000000</v>
      </c>
      <c r="K247" s="462">
        <f t="shared" si="65"/>
        <v>90.909090909090907</v>
      </c>
      <c r="L247" s="462">
        <f t="shared" si="66"/>
        <v>-400000</v>
      </c>
      <c r="M247" s="449">
        <f t="shared" si="87"/>
        <v>2295986.63</v>
      </c>
      <c r="N247" s="178">
        <f t="shared" si="64"/>
        <v>-1704013.37</v>
      </c>
    </row>
    <row r="248" spans="1:14" ht="55.55" customHeight="1" outlineLevel="1" x14ac:dyDescent="0.3">
      <c r="A248" s="189" t="s">
        <v>963</v>
      </c>
      <c r="B248" s="392" t="s">
        <v>455</v>
      </c>
      <c r="C248" s="392" t="s">
        <v>59</v>
      </c>
      <c r="D248" s="392" t="s">
        <v>337</v>
      </c>
      <c r="E248" s="392" t="s">
        <v>48</v>
      </c>
      <c r="F248" s="475">
        <v>3838391.19</v>
      </c>
      <c r="G248" s="462">
        <f>'потребность 2023 (5)'!K252</f>
        <v>4400000</v>
      </c>
      <c r="H248" s="460">
        <v>2982177.06</v>
      </c>
      <c r="I248" s="462">
        <v>3500000</v>
      </c>
      <c r="J248" s="449">
        <v>4000000</v>
      </c>
      <c r="K248" s="462">
        <f t="shared" si="65"/>
        <v>90.909090909090907</v>
      </c>
      <c r="L248" s="462">
        <f t="shared" si="66"/>
        <v>-400000</v>
      </c>
      <c r="M248" s="449">
        <f>4000000-1704013.37</f>
        <v>2295986.63</v>
      </c>
      <c r="N248" s="178">
        <f t="shared" si="64"/>
        <v>-1704013.37</v>
      </c>
    </row>
    <row r="249" spans="1:14" ht="36.700000000000003" customHeight="1" outlineLevel="1" x14ac:dyDescent="0.3">
      <c r="A249" s="189" t="s">
        <v>256</v>
      </c>
      <c r="B249" s="392" t="s">
        <v>455</v>
      </c>
      <c r="C249" s="392" t="s">
        <v>59</v>
      </c>
      <c r="D249" s="392" t="s">
        <v>338</v>
      </c>
      <c r="E249" s="392" t="s">
        <v>6</v>
      </c>
      <c r="F249" s="475">
        <v>21651259.219999999</v>
      </c>
      <c r="G249" s="449">
        <f t="shared" ref="G249:J250" si="88">G250</f>
        <v>15999000</v>
      </c>
      <c r="H249" s="460">
        <v>15234254.439999999</v>
      </c>
      <c r="I249" s="449">
        <f t="shared" si="88"/>
        <v>0</v>
      </c>
      <c r="J249" s="449">
        <f t="shared" si="88"/>
        <v>21000000</v>
      </c>
      <c r="K249" s="462">
        <f t="shared" si="65"/>
        <v>131.25820363772735</v>
      </c>
      <c r="L249" s="462">
        <f t="shared" si="66"/>
        <v>5001000</v>
      </c>
      <c r="M249" s="449">
        <f t="shared" ref="M249:M250" si="89">M250</f>
        <v>0</v>
      </c>
      <c r="N249" s="178">
        <f t="shared" si="64"/>
        <v>-21000000</v>
      </c>
    </row>
    <row r="250" spans="1:14" outlineLevel="1" x14ac:dyDescent="0.3">
      <c r="A250" s="189" t="s">
        <v>19</v>
      </c>
      <c r="B250" s="392" t="s">
        <v>455</v>
      </c>
      <c r="C250" s="392" t="s">
        <v>59</v>
      </c>
      <c r="D250" s="392" t="s">
        <v>338</v>
      </c>
      <c r="E250" s="392" t="s">
        <v>20</v>
      </c>
      <c r="F250" s="475">
        <v>21651259.219999999</v>
      </c>
      <c r="G250" s="449">
        <f t="shared" si="88"/>
        <v>15999000</v>
      </c>
      <c r="H250" s="460">
        <v>15234254.439999999</v>
      </c>
      <c r="I250" s="449">
        <f t="shared" si="88"/>
        <v>0</v>
      </c>
      <c r="J250" s="449">
        <f t="shared" si="88"/>
        <v>21000000</v>
      </c>
      <c r="K250" s="462">
        <f t="shared" si="65"/>
        <v>131.25820363772735</v>
      </c>
      <c r="L250" s="462">
        <f t="shared" si="66"/>
        <v>5001000</v>
      </c>
      <c r="M250" s="449">
        <f t="shared" si="89"/>
        <v>0</v>
      </c>
      <c r="N250" s="178">
        <f t="shared" si="64"/>
        <v>-21000000</v>
      </c>
    </row>
    <row r="251" spans="1:14" ht="60.45" customHeight="1" outlineLevel="1" x14ac:dyDescent="0.3">
      <c r="A251" s="189" t="s">
        <v>963</v>
      </c>
      <c r="B251" s="392" t="s">
        <v>455</v>
      </c>
      <c r="C251" s="392" t="s">
        <v>59</v>
      </c>
      <c r="D251" s="392" t="s">
        <v>338</v>
      </c>
      <c r="E251" s="392" t="s">
        <v>48</v>
      </c>
      <c r="F251" s="475">
        <v>21651259.219999999</v>
      </c>
      <c r="G251" s="462">
        <f>'потребность 2023 (5)'!K255+560000</f>
        <v>15999000</v>
      </c>
      <c r="H251" s="460">
        <v>15234254.439999999</v>
      </c>
      <c r="I251" s="462">
        <v>0</v>
      </c>
      <c r="J251" s="449">
        <v>21000000</v>
      </c>
      <c r="K251" s="462">
        <f t="shared" si="65"/>
        <v>131.25820363772735</v>
      </c>
      <c r="L251" s="462">
        <f t="shared" si="66"/>
        <v>5001000</v>
      </c>
      <c r="M251" s="449">
        <v>0</v>
      </c>
      <c r="N251" s="178">
        <f t="shared" si="64"/>
        <v>-21000000</v>
      </c>
    </row>
    <row r="252" spans="1:14" ht="50.95" customHeight="1" outlineLevel="1" x14ac:dyDescent="0.3">
      <c r="A252" s="189" t="s">
        <v>289</v>
      </c>
      <c r="B252" s="392" t="s">
        <v>455</v>
      </c>
      <c r="C252" s="392" t="s">
        <v>59</v>
      </c>
      <c r="D252" s="392" t="s">
        <v>369</v>
      </c>
      <c r="E252" s="392" t="s">
        <v>6</v>
      </c>
      <c r="F252" s="462"/>
      <c r="G252" s="462">
        <f t="shared" ref="G252:J253" si="90">G253</f>
        <v>0</v>
      </c>
      <c r="H252" s="460">
        <v>0</v>
      </c>
      <c r="I252" s="462">
        <f t="shared" si="90"/>
        <v>0</v>
      </c>
      <c r="J252" s="462">
        <f t="shared" si="90"/>
        <v>0</v>
      </c>
      <c r="K252" s="462" t="e">
        <f t="shared" si="65"/>
        <v>#DIV/0!</v>
      </c>
      <c r="L252" s="462">
        <f t="shared" si="66"/>
        <v>0</v>
      </c>
      <c r="M252" s="462">
        <f t="shared" ref="M252:M253" si="91">M253</f>
        <v>0</v>
      </c>
      <c r="N252" s="178">
        <f t="shared" si="64"/>
        <v>0</v>
      </c>
    </row>
    <row r="253" spans="1:14" ht="34" customHeight="1" outlineLevel="1" x14ac:dyDescent="0.3">
      <c r="A253" s="189" t="s">
        <v>15</v>
      </c>
      <c r="B253" s="392" t="s">
        <v>455</v>
      </c>
      <c r="C253" s="392" t="s">
        <v>59</v>
      </c>
      <c r="D253" s="392" t="s">
        <v>369</v>
      </c>
      <c r="E253" s="392" t="s">
        <v>16</v>
      </c>
      <c r="F253" s="462"/>
      <c r="G253" s="462">
        <f t="shared" si="90"/>
        <v>0</v>
      </c>
      <c r="H253" s="460">
        <v>0</v>
      </c>
      <c r="I253" s="462">
        <f t="shared" si="90"/>
        <v>0</v>
      </c>
      <c r="J253" s="462">
        <f t="shared" si="90"/>
        <v>0</v>
      </c>
      <c r="K253" s="462" t="e">
        <f t="shared" si="65"/>
        <v>#DIV/0!</v>
      </c>
      <c r="L253" s="462">
        <f t="shared" si="66"/>
        <v>0</v>
      </c>
      <c r="M253" s="462">
        <f t="shared" si="91"/>
        <v>0</v>
      </c>
      <c r="N253" s="178">
        <f t="shared" si="64"/>
        <v>0</v>
      </c>
    </row>
    <row r="254" spans="1:14" ht="49.75" customHeight="1" outlineLevel="1" x14ac:dyDescent="0.3">
      <c r="A254" s="189" t="s">
        <v>17</v>
      </c>
      <c r="B254" s="392" t="s">
        <v>455</v>
      </c>
      <c r="C254" s="392" t="s">
        <v>59</v>
      </c>
      <c r="D254" s="392" t="s">
        <v>369</v>
      </c>
      <c r="E254" s="392" t="s">
        <v>18</v>
      </c>
      <c r="F254" s="462"/>
      <c r="G254" s="462">
        <f>'потребность 2023 (5)'!K258-151444.28</f>
        <v>0</v>
      </c>
      <c r="H254" s="468">
        <v>0</v>
      </c>
      <c r="I254" s="462">
        <v>0</v>
      </c>
      <c r="J254" s="449"/>
      <c r="K254" s="462" t="e">
        <f t="shared" si="65"/>
        <v>#DIV/0!</v>
      </c>
      <c r="L254" s="462">
        <f t="shared" si="66"/>
        <v>0</v>
      </c>
      <c r="M254" s="449"/>
      <c r="N254" s="178">
        <f t="shared" si="64"/>
        <v>0</v>
      </c>
    </row>
    <row r="255" spans="1:14" ht="56.25" customHeight="1" outlineLevel="1" x14ac:dyDescent="0.3">
      <c r="A255" s="189" t="s">
        <v>257</v>
      </c>
      <c r="B255" s="392" t="s">
        <v>455</v>
      </c>
      <c r="C255" s="392" t="s">
        <v>59</v>
      </c>
      <c r="D255" s="392" t="s">
        <v>370</v>
      </c>
      <c r="E255" s="392" t="s">
        <v>6</v>
      </c>
      <c r="F255" s="462"/>
      <c r="G255" s="462">
        <f t="shared" ref="G255:J256" si="92">G256</f>
        <v>0</v>
      </c>
      <c r="H255" s="449"/>
      <c r="I255" s="462">
        <f t="shared" si="92"/>
        <v>0</v>
      </c>
      <c r="J255" s="462">
        <f t="shared" si="92"/>
        <v>0</v>
      </c>
      <c r="K255" s="462" t="e">
        <f t="shared" si="65"/>
        <v>#DIV/0!</v>
      </c>
      <c r="L255" s="462">
        <f t="shared" si="66"/>
        <v>0</v>
      </c>
      <c r="M255" s="462">
        <f t="shared" ref="M255:M256" si="93">M256</f>
        <v>0</v>
      </c>
      <c r="N255" s="178">
        <f t="shared" si="64"/>
        <v>0</v>
      </c>
    </row>
    <row r="256" spans="1:14" ht="37.549999999999997" customHeight="1" outlineLevel="1" x14ac:dyDescent="0.3">
      <c r="A256" s="189" t="s">
        <v>15</v>
      </c>
      <c r="B256" s="392" t="s">
        <v>455</v>
      </c>
      <c r="C256" s="392" t="s">
        <v>59</v>
      </c>
      <c r="D256" s="392" t="s">
        <v>370</v>
      </c>
      <c r="E256" s="392" t="s">
        <v>16</v>
      </c>
      <c r="F256" s="462"/>
      <c r="G256" s="462">
        <f t="shared" si="92"/>
        <v>0</v>
      </c>
      <c r="H256" s="449"/>
      <c r="I256" s="462">
        <f t="shared" si="92"/>
        <v>0</v>
      </c>
      <c r="J256" s="462">
        <f t="shared" si="92"/>
        <v>0</v>
      </c>
      <c r="K256" s="462" t="e">
        <f t="shared" si="65"/>
        <v>#DIV/0!</v>
      </c>
      <c r="L256" s="462">
        <f t="shared" si="66"/>
        <v>0</v>
      </c>
      <c r="M256" s="462">
        <f t="shared" si="93"/>
        <v>0</v>
      </c>
      <c r="N256" s="178">
        <f t="shared" si="64"/>
        <v>0</v>
      </c>
    </row>
    <row r="257" spans="1:14" ht="37.549999999999997" customHeight="1" outlineLevel="1" x14ac:dyDescent="0.3">
      <c r="A257" s="189" t="s">
        <v>17</v>
      </c>
      <c r="B257" s="392" t="s">
        <v>455</v>
      </c>
      <c r="C257" s="392" t="s">
        <v>59</v>
      </c>
      <c r="D257" s="392" t="s">
        <v>370</v>
      </c>
      <c r="E257" s="392" t="s">
        <v>18</v>
      </c>
      <c r="F257" s="462"/>
      <c r="G257" s="462">
        <f>'потребность 2023 (5)'!K261-200000</f>
        <v>0</v>
      </c>
      <c r="H257" s="449"/>
      <c r="I257" s="462">
        <v>0</v>
      </c>
      <c r="J257" s="449"/>
      <c r="K257" s="462" t="e">
        <f t="shared" si="65"/>
        <v>#DIV/0!</v>
      </c>
      <c r="L257" s="462">
        <f t="shared" si="66"/>
        <v>0</v>
      </c>
      <c r="M257" s="449"/>
      <c r="N257" s="178">
        <f t="shared" si="64"/>
        <v>0</v>
      </c>
    </row>
    <row r="258" spans="1:14" ht="127.7" customHeight="1" outlineLevel="1" x14ac:dyDescent="0.3">
      <c r="A258" s="469" t="s">
        <v>981</v>
      </c>
      <c r="B258" s="392" t="s">
        <v>455</v>
      </c>
      <c r="C258" s="392" t="s">
        <v>59</v>
      </c>
      <c r="D258" s="392" t="s">
        <v>1007</v>
      </c>
      <c r="E258" s="392" t="s">
        <v>6</v>
      </c>
      <c r="F258" s="462"/>
      <c r="G258" s="462">
        <f t="shared" ref="G258:J259" si="94">G259</f>
        <v>105092.38</v>
      </c>
      <c r="H258" s="474"/>
      <c r="I258" s="462">
        <f t="shared" si="94"/>
        <v>0</v>
      </c>
      <c r="J258" s="462">
        <f t="shared" si="94"/>
        <v>0</v>
      </c>
      <c r="K258" s="462">
        <f t="shared" si="65"/>
        <v>0</v>
      </c>
      <c r="L258" s="462">
        <f t="shared" si="66"/>
        <v>-105092.38</v>
      </c>
      <c r="M258" s="462">
        <f t="shared" ref="M258:M259" si="95">M259</f>
        <v>0</v>
      </c>
      <c r="N258" s="178">
        <f t="shared" si="64"/>
        <v>0</v>
      </c>
    </row>
    <row r="259" spans="1:14" ht="37.549999999999997" customHeight="1" outlineLevel="1" x14ac:dyDescent="0.3">
      <c r="A259" s="189" t="s">
        <v>15</v>
      </c>
      <c r="B259" s="392" t="s">
        <v>455</v>
      </c>
      <c r="C259" s="392" t="s">
        <v>59</v>
      </c>
      <c r="D259" s="392" t="s">
        <v>1007</v>
      </c>
      <c r="E259" s="392" t="s">
        <v>16</v>
      </c>
      <c r="F259" s="462"/>
      <c r="G259" s="462">
        <f t="shared" si="94"/>
        <v>105092.38</v>
      </c>
      <c r="H259" s="460"/>
      <c r="I259" s="462">
        <f t="shared" si="94"/>
        <v>0</v>
      </c>
      <c r="J259" s="462">
        <f t="shared" si="94"/>
        <v>0</v>
      </c>
      <c r="K259" s="462">
        <f t="shared" si="65"/>
        <v>0</v>
      </c>
      <c r="L259" s="462">
        <f t="shared" si="66"/>
        <v>-105092.38</v>
      </c>
      <c r="M259" s="462">
        <f t="shared" si="95"/>
        <v>0</v>
      </c>
      <c r="N259" s="178">
        <f t="shared" si="64"/>
        <v>0</v>
      </c>
    </row>
    <row r="260" spans="1:14" ht="37.549999999999997" customHeight="1" outlineLevel="1" x14ac:dyDescent="0.3">
      <c r="A260" s="189" t="s">
        <v>17</v>
      </c>
      <c r="B260" s="392" t="s">
        <v>455</v>
      </c>
      <c r="C260" s="392" t="s">
        <v>59</v>
      </c>
      <c r="D260" s="392" t="s">
        <v>1007</v>
      </c>
      <c r="E260" s="392" t="s">
        <v>18</v>
      </c>
      <c r="F260" s="462"/>
      <c r="G260" s="462">
        <f>105092.38</f>
        <v>105092.38</v>
      </c>
      <c r="H260" s="460"/>
      <c r="I260" s="462">
        <v>0</v>
      </c>
      <c r="J260" s="449"/>
      <c r="K260" s="462">
        <f t="shared" si="65"/>
        <v>0</v>
      </c>
      <c r="L260" s="462">
        <f t="shared" si="66"/>
        <v>-105092.38</v>
      </c>
      <c r="M260" s="449"/>
      <c r="N260" s="178">
        <f t="shared" si="64"/>
        <v>0</v>
      </c>
    </row>
    <row r="261" spans="1:14" ht="42.8" customHeight="1" outlineLevel="1" x14ac:dyDescent="0.3">
      <c r="A261" s="189" t="s">
        <v>956</v>
      </c>
      <c r="B261" s="392" t="s">
        <v>455</v>
      </c>
      <c r="C261" s="392" t="s">
        <v>59</v>
      </c>
      <c r="D261" s="392" t="s">
        <v>639</v>
      </c>
      <c r="E261" s="392" t="s">
        <v>6</v>
      </c>
      <c r="F261" s="462"/>
      <c r="G261" s="462">
        <f t="shared" ref="G261:J262" si="96">G262</f>
        <v>0</v>
      </c>
      <c r="H261" s="460">
        <v>0</v>
      </c>
      <c r="I261" s="462">
        <f t="shared" si="96"/>
        <v>0</v>
      </c>
      <c r="J261" s="462">
        <f t="shared" si="96"/>
        <v>0</v>
      </c>
      <c r="K261" s="462" t="e">
        <f t="shared" si="65"/>
        <v>#DIV/0!</v>
      </c>
      <c r="L261" s="462">
        <f t="shared" si="66"/>
        <v>0</v>
      </c>
      <c r="M261" s="462">
        <f t="shared" ref="M261:M262" si="97">M262</f>
        <v>0</v>
      </c>
      <c r="N261" s="178">
        <f t="shared" si="64"/>
        <v>0</v>
      </c>
    </row>
    <row r="262" spans="1:14" ht="37.549999999999997" customHeight="1" outlineLevel="1" x14ac:dyDescent="0.3">
      <c r="A262" s="189" t="s">
        <v>15</v>
      </c>
      <c r="B262" s="392" t="s">
        <v>455</v>
      </c>
      <c r="C262" s="392" t="s">
        <v>59</v>
      </c>
      <c r="D262" s="392" t="s">
        <v>639</v>
      </c>
      <c r="E262" s="392" t="s">
        <v>16</v>
      </c>
      <c r="F262" s="462"/>
      <c r="G262" s="462">
        <f t="shared" si="96"/>
        <v>0</v>
      </c>
      <c r="H262" s="460">
        <v>0</v>
      </c>
      <c r="I262" s="462">
        <f t="shared" si="96"/>
        <v>0</v>
      </c>
      <c r="J262" s="462">
        <f t="shared" si="96"/>
        <v>0</v>
      </c>
      <c r="K262" s="462" t="e">
        <f t="shared" si="65"/>
        <v>#DIV/0!</v>
      </c>
      <c r="L262" s="462">
        <f t="shared" si="66"/>
        <v>0</v>
      </c>
      <c r="M262" s="462">
        <f t="shared" si="97"/>
        <v>0</v>
      </c>
      <c r="N262" s="178">
        <f t="shared" si="64"/>
        <v>0</v>
      </c>
    </row>
    <row r="263" spans="1:14" ht="37.549999999999997" customHeight="1" outlineLevel="1" x14ac:dyDescent="0.3">
      <c r="A263" s="189" t="s">
        <v>17</v>
      </c>
      <c r="B263" s="392" t="s">
        <v>455</v>
      </c>
      <c r="C263" s="392" t="s">
        <v>59</v>
      </c>
      <c r="D263" s="392" t="s">
        <v>639</v>
      </c>
      <c r="E263" s="392" t="s">
        <v>18</v>
      </c>
      <c r="F263" s="462"/>
      <c r="G263" s="462"/>
      <c r="H263" s="460">
        <v>0</v>
      </c>
      <c r="I263" s="462">
        <v>0</v>
      </c>
      <c r="J263" s="449"/>
      <c r="K263" s="462" t="e">
        <f t="shared" si="65"/>
        <v>#DIV/0!</v>
      </c>
      <c r="L263" s="462">
        <f t="shared" si="66"/>
        <v>0</v>
      </c>
      <c r="M263" s="449"/>
      <c r="N263" s="178">
        <f t="shared" si="64"/>
        <v>0</v>
      </c>
    </row>
    <row r="264" spans="1:14" ht="42.45" customHeight="1" outlineLevel="1" x14ac:dyDescent="0.3">
      <c r="A264" s="189" t="s">
        <v>616</v>
      </c>
      <c r="B264" s="392" t="s">
        <v>455</v>
      </c>
      <c r="C264" s="392" t="s">
        <v>59</v>
      </c>
      <c r="D264" s="392" t="s">
        <v>615</v>
      </c>
      <c r="E264" s="392" t="s">
        <v>6</v>
      </c>
      <c r="F264" s="462"/>
      <c r="G264" s="462">
        <f t="shared" ref="G264:J265" si="98">G265</f>
        <v>30303.03</v>
      </c>
      <c r="H264" s="460">
        <v>0</v>
      </c>
      <c r="I264" s="462">
        <f t="shared" si="98"/>
        <v>0</v>
      </c>
      <c r="J264" s="462">
        <f t="shared" si="98"/>
        <v>60606.06</v>
      </c>
      <c r="K264" s="462">
        <f t="shared" si="65"/>
        <v>200</v>
      </c>
      <c r="L264" s="462">
        <f t="shared" si="66"/>
        <v>30303.03</v>
      </c>
      <c r="M264" s="462">
        <f t="shared" ref="M264:M265" si="99">M265</f>
        <v>60606.06</v>
      </c>
      <c r="N264" s="178">
        <f t="shared" ref="N264:N327" si="100">M264-J264</f>
        <v>0</v>
      </c>
    </row>
    <row r="265" spans="1:14" ht="23.95" customHeight="1" outlineLevel="1" x14ac:dyDescent="0.3">
      <c r="A265" s="189" t="s">
        <v>15</v>
      </c>
      <c r="B265" s="392" t="s">
        <v>455</v>
      </c>
      <c r="C265" s="392" t="s">
        <v>59</v>
      </c>
      <c r="D265" s="392" t="s">
        <v>615</v>
      </c>
      <c r="E265" s="392" t="s">
        <v>16</v>
      </c>
      <c r="F265" s="462"/>
      <c r="G265" s="462">
        <f t="shared" si="98"/>
        <v>30303.03</v>
      </c>
      <c r="H265" s="460">
        <v>0</v>
      </c>
      <c r="I265" s="462">
        <f t="shared" si="98"/>
        <v>0</v>
      </c>
      <c r="J265" s="462">
        <f t="shared" si="98"/>
        <v>60606.06</v>
      </c>
      <c r="K265" s="462">
        <f t="shared" ref="K265:K328" si="101">J265/G265*100</f>
        <v>200</v>
      </c>
      <c r="L265" s="462">
        <f t="shared" ref="L265:L328" si="102">J265-G265</f>
        <v>30303.03</v>
      </c>
      <c r="M265" s="462">
        <f t="shared" si="99"/>
        <v>60606.06</v>
      </c>
      <c r="N265" s="178">
        <f t="shared" si="100"/>
        <v>0</v>
      </c>
    </row>
    <row r="266" spans="1:14" ht="20.399999999999999" customHeight="1" outlineLevel="1" x14ac:dyDescent="0.3">
      <c r="A266" s="189" t="s">
        <v>17</v>
      </c>
      <c r="B266" s="392" t="s">
        <v>455</v>
      </c>
      <c r="C266" s="392" t="s">
        <v>59</v>
      </c>
      <c r="D266" s="392" t="s">
        <v>615</v>
      </c>
      <c r="E266" s="392" t="s">
        <v>18</v>
      </c>
      <c r="F266" s="462"/>
      <c r="G266" s="462">
        <v>30303.03</v>
      </c>
      <c r="H266" s="460">
        <v>0</v>
      </c>
      <c r="I266" s="462">
        <v>0</v>
      </c>
      <c r="J266" s="449">
        <v>60606.06</v>
      </c>
      <c r="K266" s="462">
        <f t="shared" si="101"/>
        <v>200</v>
      </c>
      <c r="L266" s="462">
        <f t="shared" si="102"/>
        <v>30303.03</v>
      </c>
      <c r="M266" s="449">
        <v>60606.06</v>
      </c>
      <c r="N266" s="178">
        <f t="shared" si="100"/>
        <v>0</v>
      </c>
    </row>
    <row r="267" spans="1:14" ht="20.399999999999999" customHeight="1" outlineLevel="1" x14ac:dyDescent="0.3">
      <c r="A267" s="189" t="s">
        <v>61</v>
      </c>
      <c r="B267" s="392" t="s">
        <v>455</v>
      </c>
      <c r="C267" s="392" t="s">
        <v>62</v>
      </c>
      <c r="D267" s="392" t="s">
        <v>126</v>
      </c>
      <c r="E267" s="392" t="s">
        <v>6</v>
      </c>
      <c r="F267" s="462">
        <f>F268+F282+F296</f>
        <v>33936957.659999996</v>
      </c>
      <c r="G267" s="462">
        <f>G268+G282+G296</f>
        <v>15111003.01</v>
      </c>
      <c r="H267" s="460">
        <v>22300515.539999999</v>
      </c>
      <c r="I267" s="462">
        <f>I268+I282+I296</f>
        <v>4322356.1399999997</v>
      </c>
      <c r="J267" s="462">
        <f>J268+J282+J296</f>
        <v>23837356.140000001</v>
      </c>
      <c r="K267" s="462">
        <f t="shared" si="101"/>
        <v>157.74833824217473</v>
      </c>
      <c r="L267" s="462">
        <f t="shared" si="102"/>
        <v>8726353.1300000008</v>
      </c>
      <c r="M267" s="462">
        <f>M268+M282+M296</f>
        <v>11928285.16</v>
      </c>
      <c r="N267" s="178">
        <f t="shared" si="100"/>
        <v>-11909070.98</v>
      </c>
    </row>
    <row r="268" spans="1:14" ht="38.049999999999997" customHeight="1" outlineLevel="1" x14ac:dyDescent="0.3">
      <c r="A268" s="233" t="s">
        <v>1032</v>
      </c>
      <c r="B268" s="392" t="s">
        <v>455</v>
      </c>
      <c r="C268" s="397" t="s">
        <v>62</v>
      </c>
      <c r="D268" s="397" t="s">
        <v>134</v>
      </c>
      <c r="E268" s="397" t="s">
        <v>6</v>
      </c>
      <c r="F268" s="471">
        <f>F269</f>
        <v>2079400</v>
      </c>
      <c r="G268" s="462">
        <f>G269</f>
        <v>3044292.5700000003</v>
      </c>
      <c r="H268" s="460">
        <v>2051975.26</v>
      </c>
      <c r="I268" s="462">
        <f>I269</f>
        <v>900000</v>
      </c>
      <c r="J268" s="462">
        <f>J269</f>
        <v>9400000</v>
      </c>
      <c r="K268" s="462">
        <f t="shared" si="101"/>
        <v>308.77452754154962</v>
      </c>
      <c r="L268" s="462">
        <f t="shared" si="102"/>
        <v>6355707.4299999997</v>
      </c>
      <c r="M268" s="462">
        <f>M269</f>
        <v>500000</v>
      </c>
      <c r="N268" s="178">
        <f t="shared" si="100"/>
        <v>-8900000</v>
      </c>
    </row>
    <row r="269" spans="1:14" ht="23.3" customHeight="1" outlineLevel="1" x14ac:dyDescent="0.3">
      <c r="A269" s="189" t="s">
        <v>339</v>
      </c>
      <c r="B269" s="392" t="s">
        <v>455</v>
      </c>
      <c r="C269" s="392" t="s">
        <v>62</v>
      </c>
      <c r="D269" s="392" t="s">
        <v>229</v>
      </c>
      <c r="E269" s="392" t="s">
        <v>6</v>
      </c>
      <c r="F269" s="471">
        <f>F270+F273</f>
        <v>2079400</v>
      </c>
      <c r="G269" s="462">
        <f>G270+G276+G273+G279</f>
        <v>3044292.5700000003</v>
      </c>
      <c r="H269" s="460">
        <v>2051975.26</v>
      </c>
      <c r="I269" s="462">
        <f>I270+I276+I273+I279</f>
        <v>900000</v>
      </c>
      <c r="J269" s="462">
        <f>J270+J276+J273+J279</f>
        <v>9400000</v>
      </c>
      <c r="K269" s="462">
        <f t="shared" si="101"/>
        <v>308.77452754154962</v>
      </c>
      <c r="L269" s="462">
        <f t="shared" si="102"/>
        <v>6355707.4299999997</v>
      </c>
      <c r="M269" s="462">
        <f>M270+M276+M273+M279</f>
        <v>500000</v>
      </c>
      <c r="N269" s="178">
        <f t="shared" si="100"/>
        <v>-8900000</v>
      </c>
    </row>
    <row r="270" spans="1:14" ht="37.4" customHeight="1" outlineLevel="1" x14ac:dyDescent="0.3">
      <c r="A270" s="189" t="s">
        <v>343</v>
      </c>
      <c r="B270" s="392" t="s">
        <v>455</v>
      </c>
      <c r="C270" s="392" t="s">
        <v>62</v>
      </c>
      <c r="D270" s="392" t="s">
        <v>418</v>
      </c>
      <c r="E270" s="392" t="s">
        <v>6</v>
      </c>
      <c r="F270" s="471">
        <f>F271</f>
        <v>2079400</v>
      </c>
      <c r="G270" s="462">
        <f t="shared" ref="G270:J271" si="103">G271</f>
        <v>2000000</v>
      </c>
      <c r="H270" s="460">
        <v>0</v>
      </c>
      <c r="I270" s="462">
        <f t="shared" si="103"/>
        <v>400000</v>
      </c>
      <c r="J270" s="462">
        <f t="shared" si="103"/>
        <v>2400000</v>
      </c>
      <c r="K270" s="462">
        <f t="shared" si="101"/>
        <v>120</v>
      </c>
      <c r="L270" s="462">
        <f t="shared" si="102"/>
        <v>400000</v>
      </c>
      <c r="M270" s="462">
        <f t="shared" ref="M270:M271" si="104">M271</f>
        <v>0</v>
      </c>
      <c r="N270" s="178">
        <f t="shared" si="100"/>
        <v>-2400000</v>
      </c>
    </row>
    <row r="271" spans="1:14" s="224" customFormat="1" ht="34" outlineLevel="1" x14ac:dyDescent="0.3">
      <c r="A271" s="189" t="s">
        <v>15</v>
      </c>
      <c r="B271" s="392" t="s">
        <v>455</v>
      </c>
      <c r="C271" s="392" t="s">
        <v>62</v>
      </c>
      <c r="D271" s="392" t="s">
        <v>418</v>
      </c>
      <c r="E271" s="392" t="s">
        <v>16</v>
      </c>
      <c r="F271" s="471">
        <f>F272</f>
        <v>2079400</v>
      </c>
      <c r="G271" s="462">
        <f t="shared" si="103"/>
        <v>2000000</v>
      </c>
      <c r="H271" s="460">
        <v>0</v>
      </c>
      <c r="I271" s="462">
        <f t="shared" si="103"/>
        <v>400000</v>
      </c>
      <c r="J271" s="462">
        <f t="shared" si="103"/>
        <v>2400000</v>
      </c>
      <c r="K271" s="462">
        <f t="shared" si="101"/>
        <v>120</v>
      </c>
      <c r="L271" s="462">
        <f t="shared" si="102"/>
        <v>400000</v>
      </c>
      <c r="M271" s="462">
        <f t="shared" si="104"/>
        <v>0</v>
      </c>
      <c r="N271" s="178">
        <f t="shared" si="100"/>
        <v>-2400000</v>
      </c>
    </row>
    <row r="272" spans="1:14" ht="50.95" outlineLevel="1" x14ac:dyDescent="0.3">
      <c r="A272" s="189" t="s">
        <v>17</v>
      </c>
      <c r="B272" s="392" t="s">
        <v>455</v>
      </c>
      <c r="C272" s="392" t="s">
        <v>62</v>
      </c>
      <c r="D272" s="392" t="s">
        <v>418</v>
      </c>
      <c r="E272" s="392" t="s">
        <v>18</v>
      </c>
      <c r="F272" s="475">
        <v>2079400</v>
      </c>
      <c r="G272" s="462">
        <v>2000000</v>
      </c>
      <c r="H272" s="460">
        <v>0</v>
      </c>
      <c r="I272" s="462">
        <v>400000</v>
      </c>
      <c r="J272" s="462">
        <v>2400000</v>
      </c>
      <c r="K272" s="462">
        <f t="shared" si="101"/>
        <v>120</v>
      </c>
      <c r="L272" s="462">
        <f t="shared" si="102"/>
        <v>400000</v>
      </c>
      <c r="M272" s="462">
        <v>0</v>
      </c>
      <c r="N272" s="178">
        <f t="shared" si="100"/>
        <v>-2400000</v>
      </c>
    </row>
    <row r="273" spans="1:14" ht="56.4" customHeight="1" outlineLevel="1" x14ac:dyDescent="0.3">
      <c r="A273" s="202" t="s">
        <v>684</v>
      </c>
      <c r="B273" s="392" t="s">
        <v>455</v>
      </c>
      <c r="C273" s="392" t="s">
        <v>62</v>
      </c>
      <c r="D273" s="392" t="s">
        <v>814</v>
      </c>
      <c r="E273" s="392" t="s">
        <v>6</v>
      </c>
      <c r="F273" s="462"/>
      <c r="G273" s="462">
        <f t="shared" ref="G273:J274" si="105">G274</f>
        <v>544292.57000000007</v>
      </c>
      <c r="H273" s="460">
        <v>1822641.9</v>
      </c>
      <c r="I273" s="462">
        <f t="shared" si="105"/>
        <v>0</v>
      </c>
      <c r="J273" s="462">
        <f t="shared" si="105"/>
        <v>0</v>
      </c>
      <c r="K273" s="462">
        <f t="shared" si="101"/>
        <v>0</v>
      </c>
      <c r="L273" s="462">
        <f t="shared" si="102"/>
        <v>-544292.57000000007</v>
      </c>
      <c r="M273" s="462">
        <f t="shared" ref="M273:M274" si="106">M274</f>
        <v>0</v>
      </c>
      <c r="N273" s="178">
        <f t="shared" si="100"/>
        <v>0</v>
      </c>
    </row>
    <row r="274" spans="1:14" ht="34" outlineLevel="1" x14ac:dyDescent="0.3">
      <c r="A274" s="189" t="s">
        <v>15</v>
      </c>
      <c r="B274" s="392" t="s">
        <v>455</v>
      </c>
      <c r="C274" s="392" t="s">
        <v>62</v>
      </c>
      <c r="D274" s="392" t="s">
        <v>814</v>
      </c>
      <c r="E274" s="392" t="s">
        <v>16</v>
      </c>
      <c r="F274" s="462"/>
      <c r="G274" s="462">
        <f t="shared" si="105"/>
        <v>544292.57000000007</v>
      </c>
      <c r="H274" s="460">
        <v>1822641.9</v>
      </c>
      <c r="I274" s="462">
        <f t="shared" si="105"/>
        <v>0</v>
      </c>
      <c r="J274" s="462">
        <f t="shared" si="105"/>
        <v>0</v>
      </c>
      <c r="K274" s="462">
        <f t="shared" si="101"/>
        <v>0</v>
      </c>
      <c r="L274" s="462">
        <f t="shared" si="102"/>
        <v>-544292.57000000007</v>
      </c>
      <c r="M274" s="462">
        <f t="shared" si="106"/>
        <v>0</v>
      </c>
      <c r="N274" s="178">
        <f t="shared" si="100"/>
        <v>0</v>
      </c>
    </row>
    <row r="275" spans="1:14" ht="18.7" customHeight="1" outlineLevel="1" x14ac:dyDescent="0.3">
      <c r="A275" s="189" t="s">
        <v>17</v>
      </c>
      <c r="B275" s="392" t="s">
        <v>455</v>
      </c>
      <c r="C275" s="392" t="s">
        <v>62</v>
      </c>
      <c r="D275" s="392" t="s">
        <v>814</v>
      </c>
      <c r="E275" s="392" t="s">
        <v>18</v>
      </c>
      <c r="F275" s="462"/>
      <c r="G275" s="462">
        <f>789950+2500+1849060-573210.67-245657.43-1275849.33-2500</f>
        <v>544292.57000000007</v>
      </c>
      <c r="H275" s="460">
        <v>1822641.9</v>
      </c>
      <c r="I275" s="462">
        <v>0</v>
      </c>
      <c r="J275" s="449"/>
      <c r="K275" s="462">
        <f t="shared" si="101"/>
        <v>0</v>
      </c>
      <c r="L275" s="462">
        <f t="shared" si="102"/>
        <v>-544292.57000000007</v>
      </c>
      <c r="M275" s="449"/>
      <c r="N275" s="178">
        <f t="shared" si="100"/>
        <v>0</v>
      </c>
    </row>
    <row r="276" spans="1:14" ht="34" outlineLevel="1" x14ac:dyDescent="0.3">
      <c r="A276" s="189" t="s">
        <v>63</v>
      </c>
      <c r="B276" s="392" t="s">
        <v>455</v>
      </c>
      <c r="C276" s="392" t="s">
        <v>62</v>
      </c>
      <c r="D276" s="392" t="s">
        <v>340</v>
      </c>
      <c r="E276" s="392" t="s">
        <v>6</v>
      </c>
      <c r="F276" s="471">
        <f>F277</f>
        <v>228780.17</v>
      </c>
      <c r="G276" s="462">
        <f t="shared" ref="G276:J277" si="107">G277</f>
        <v>500000</v>
      </c>
      <c r="H276" s="460">
        <v>229333.36</v>
      </c>
      <c r="I276" s="462">
        <f t="shared" si="107"/>
        <v>500000</v>
      </c>
      <c r="J276" s="462">
        <f t="shared" si="107"/>
        <v>7000000</v>
      </c>
      <c r="K276" s="462">
        <f t="shared" si="101"/>
        <v>1400</v>
      </c>
      <c r="L276" s="462">
        <f t="shared" si="102"/>
        <v>6500000</v>
      </c>
      <c r="M276" s="462">
        <f t="shared" ref="M276:M277" si="108">M277</f>
        <v>500000</v>
      </c>
      <c r="N276" s="178">
        <f t="shared" si="100"/>
        <v>-6500000</v>
      </c>
    </row>
    <row r="277" spans="1:14" ht="34" outlineLevel="1" x14ac:dyDescent="0.3">
      <c r="A277" s="189" t="s">
        <v>15</v>
      </c>
      <c r="B277" s="392" t="s">
        <v>455</v>
      </c>
      <c r="C277" s="392" t="s">
        <v>62</v>
      </c>
      <c r="D277" s="392" t="s">
        <v>340</v>
      </c>
      <c r="E277" s="392" t="s">
        <v>16</v>
      </c>
      <c r="F277" s="471">
        <f>F278</f>
        <v>228780.17</v>
      </c>
      <c r="G277" s="462">
        <f t="shared" si="107"/>
        <v>500000</v>
      </c>
      <c r="H277" s="460">
        <v>229333.36</v>
      </c>
      <c r="I277" s="462">
        <f t="shared" si="107"/>
        <v>500000</v>
      </c>
      <c r="J277" s="462">
        <f t="shared" si="107"/>
        <v>7000000</v>
      </c>
      <c r="K277" s="462">
        <f t="shared" si="101"/>
        <v>1400</v>
      </c>
      <c r="L277" s="462">
        <f t="shared" si="102"/>
        <v>6500000</v>
      </c>
      <c r="M277" s="462">
        <f t="shared" si="108"/>
        <v>500000</v>
      </c>
      <c r="N277" s="178">
        <f t="shared" si="100"/>
        <v>-6500000</v>
      </c>
    </row>
    <row r="278" spans="1:14" ht="22.75" customHeight="1" outlineLevel="1" x14ac:dyDescent="0.3">
      <c r="A278" s="189" t="s">
        <v>17</v>
      </c>
      <c r="B278" s="392" t="s">
        <v>455</v>
      </c>
      <c r="C278" s="392" t="s">
        <v>62</v>
      </c>
      <c r="D278" s="392" t="s">
        <v>340</v>
      </c>
      <c r="E278" s="392" t="s">
        <v>18</v>
      </c>
      <c r="F278" s="475">
        <v>228780.17</v>
      </c>
      <c r="G278" s="449">
        <f>'потребность 2023 (5)'!K283</f>
        <v>500000</v>
      </c>
      <c r="H278" s="460">
        <v>229333.36</v>
      </c>
      <c r="I278" s="449">
        <v>500000</v>
      </c>
      <c r="J278" s="449">
        <v>7000000</v>
      </c>
      <c r="K278" s="462">
        <f t="shared" si="101"/>
        <v>1400</v>
      </c>
      <c r="L278" s="462">
        <f t="shared" si="102"/>
        <v>6500000</v>
      </c>
      <c r="M278" s="449">
        <f>7000000-6500000</f>
        <v>500000</v>
      </c>
      <c r="N278" s="178">
        <f t="shared" si="100"/>
        <v>-6500000</v>
      </c>
    </row>
    <row r="279" spans="1:14" ht="40.1" customHeight="1" outlineLevel="1" x14ac:dyDescent="0.3">
      <c r="A279" s="189" t="s">
        <v>815</v>
      </c>
      <c r="B279" s="392" t="s">
        <v>455</v>
      </c>
      <c r="C279" s="392" t="s">
        <v>62</v>
      </c>
      <c r="D279" s="392" t="s">
        <v>816</v>
      </c>
      <c r="E279" s="392" t="s">
        <v>6</v>
      </c>
      <c r="F279" s="462" t="s">
        <v>838</v>
      </c>
      <c r="G279" s="449">
        <f t="shared" ref="G279:J280" si="109">G280</f>
        <v>0</v>
      </c>
      <c r="H279" s="449"/>
      <c r="I279" s="449">
        <f t="shared" si="109"/>
        <v>0</v>
      </c>
      <c r="J279" s="449">
        <f t="shared" si="109"/>
        <v>0</v>
      </c>
      <c r="K279" s="462" t="e">
        <f t="shared" si="101"/>
        <v>#DIV/0!</v>
      </c>
      <c r="L279" s="462">
        <f t="shared" si="102"/>
        <v>0</v>
      </c>
      <c r="M279" s="449">
        <f t="shared" ref="M279:M280" si="110">M280</f>
        <v>0</v>
      </c>
      <c r="N279" s="178">
        <f t="shared" si="100"/>
        <v>0</v>
      </c>
    </row>
    <row r="280" spans="1:14" ht="22.75" customHeight="1" outlineLevel="1" x14ac:dyDescent="0.3">
      <c r="A280" s="189" t="s">
        <v>15</v>
      </c>
      <c r="B280" s="392" t="s">
        <v>455</v>
      </c>
      <c r="C280" s="392" t="s">
        <v>62</v>
      </c>
      <c r="D280" s="392" t="s">
        <v>816</v>
      </c>
      <c r="E280" s="392" t="s">
        <v>16</v>
      </c>
      <c r="F280" s="462" t="s">
        <v>838</v>
      </c>
      <c r="G280" s="449">
        <f t="shared" si="109"/>
        <v>0</v>
      </c>
      <c r="H280" s="449"/>
      <c r="I280" s="449">
        <f t="shared" si="109"/>
        <v>0</v>
      </c>
      <c r="J280" s="449">
        <f t="shared" si="109"/>
        <v>0</v>
      </c>
      <c r="K280" s="462" t="e">
        <f t="shared" si="101"/>
        <v>#DIV/0!</v>
      </c>
      <c r="L280" s="462">
        <f t="shared" si="102"/>
        <v>0</v>
      </c>
      <c r="M280" s="449">
        <f t="shared" si="110"/>
        <v>0</v>
      </c>
      <c r="N280" s="178">
        <f t="shared" si="100"/>
        <v>0</v>
      </c>
    </row>
    <row r="281" spans="1:14" ht="22.75" customHeight="1" outlineLevel="1" x14ac:dyDescent="0.3">
      <c r="A281" s="189" t="s">
        <v>17</v>
      </c>
      <c r="B281" s="392" t="s">
        <v>455</v>
      </c>
      <c r="C281" s="392" t="s">
        <v>62</v>
      </c>
      <c r="D281" s="392" t="s">
        <v>816</v>
      </c>
      <c r="E281" s="392" t="s">
        <v>18</v>
      </c>
      <c r="F281" s="462" t="s">
        <v>838</v>
      </c>
      <c r="G281" s="449">
        <v>0</v>
      </c>
      <c r="H281" s="449"/>
      <c r="I281" s="449">
        <v>0</v>
      </c>
      <c r="J281" s="449"/>
      <c r="K281" s="462" t="e">
        <f t="shared" si="101"/>
        <v>#DIV/0!</v>
      </c>
      <c r="L281" s="462">
        <f t="shared" si="102"/>
        <v>0</v>
      </c>
      <c r="M281" s="449"/>
      <c r="N281" s="178">
        <f t="shared" si="100"/>
        <v>0</v>
      </c>
    </row>
    <row r="282" spans="1:14" s="224" customFormat="1" ht="46.9" customHeight="1" outlineLevel="1" x14ac:dyDescent="0.3">
      <c r="A282" s="233" t="s">
        <v>463</v>
      </c>
      <c r="B282" s="397" t="s">
        <v>455</v>
      </c>
      <c r="C282" s="397" t="s">
        <v>62</v>
      </c>
      <c r="D282" s="397" t="s">
        <v>464</v>
      </c>
      <c r="E282" s="397" t="s">
        <v>6</v>
      </c>
      <c r="F282" s="471">
        <f>F283</f>
        <v>30302162.460000001</v>
      </c>
      <c r="G282" s="462">
        <f>G283</f>
        <v>11102296.719999999</v>
      </c>
      <c r="H282" s="460">
        <v>7730697.9199999999</v>
      </c>
      <c r="I282" s="462">
        <f>I283</f>
        <v>2984900</v>
      </c>
      <c r="J282" s="462">
        <f>J283</f>
        <v>13999900</v>
      </c>
      <c r="K282" s="462">
        <f t="shared" si="101"/>
        <v>126.09913383759755</v>
      </c>
      <c r="L282" s="462">
        <f t="shared" si="102"/>
        <v>2897603.2800000012</v>
      </c>
      <c r="M282" s="462">
        <f>M283</f>
        <v>11261900</v>
      </c>
      <c r="N282" s="178">
        <f t="shared" si="100"/>
        <v>-2738000</v>
      </c>
    </row>
    <row r="283" spans="1:14" ht="34" outlineLevel="1" x14ac:dyDescent="0.3">
      <c r="A283" s="189" t="s">
        <v>465</v>
      </c>
      <c r="B283" s="392" t="s">
        <v>455</v>
      </c>
      <c r="C283" s="392" t="s">
        <v>62</v>
      </c>
      <c r="D283" s="392" t="s">
        <v>466</v>
      </c>
      <c r="E283" s="392" t="s">
        <v>6</v>
      </c>
      <c r="F283" s="471">
        <f>F284+F287+F290+F296+F293</f>
        <v>30302162.460000001</v>
      </c>
      <c r="G283" s="462">
        <f>G284+G287+G290+G293</f>
        <v>11102296.719999999</v>
      </c>
      <c r="H283" s="460">
        <v>7730697.9199999999</v>
      </c>
      <c r="I283" s="462">
        <f>I284+I287+I290+I293</f>
        <v>2984900</v>
      </c>
      <c r="J283" s="462">
        <f>J284+J287+J290+J293</f>
        <v>13999900</v>
      </c>
      <c r="K283" s="462">
        <f t="shared" si="101"/>
        <v>126.09913383759755</v>
      </c>
      <c r="L283" s="462">
        <f t="shared" si="102"/>
        <v>2897603.2800000012</v>
      </c>
      <c r="M283" s="462">
        <f>M284+M287+M290+M293</f>
        <v>11261900</v>
      </c>
      <c r="N283" s="178">
        <f t="shared" si="100"/>
        <v>-2738000</v>
      </c>
    </row>
    <row r="284" spans="1:14" ht="56.25" customHeight="1" outlineLevel="1" x14ac:dyDescent="0.3">
      <c r="A284" s="189" t="s">
        <v>467</v>
      </c>
      <c r="B284" s="392" t="s">
        <v>455</v>
      </c>
      <c r="C284" s="392" t="s">
        <v>62</v>
      </c>
      <c r="D284" s="392" t="s">
        <v>468</v>
      </c>
      <c r="E284" s="392" t="s">
        <v>6</v>
      </c>
      <c r="F284" s="471">
        <f>F285</f>
        <v>2288115.27</v>
      </c>
      <c r="G284" s="462">
        <f t="shared" ref="G284:J285" si="111">G285</f>
        <v>2170900</v>
      </c>
      <c r="H284" s="460">
        <v>1105799.46</v>
      </c>
      <c r="I284" s="462">
        <f t="shared" si="111"/>
        <v>2159900</v>
      </c>
      <c r="J284" s="462">
        <f t="shared" si="111"/>
        <v>2329900</v>
      </c>
      <c r="K284" s="462">
        <f t="shared" si="101"/>
        <v>107.32415127366531</v>
      </c>
      <c r="L284" s="462">
        <f t="shared" si="102"/>
        <v>159000</v>
      </c>
      <c r="M284" s="462">
        <f t="shared" ref="M284:M285" si="112">M285</f>
        <v>2329900</v>
      </c>
      <c r="N284" s="178">
        <f t="shared" si="100"/>
        <v>0</v>
      </c>
    </row>
    <row r="285" spans="1:14" ht="34" outlineLevel="1" x14ac:dyDescent="0.3">
      <c r="A285" s="189" t="s">
        <v>15</v>
      </c>
      <c r="B285" s="392" t="s">
        <v>455</v>
      </c>
      <c r="C285" s="392" t="s">
        <v>62</v>
      </c>
      <c r="D285" s="392" t="s">
        <v>468</v>
      </c>
      <c r="E285" s="392" t="s">
        <v>16</v>
      </c>
      <c r="F285" s="471">
        <f>F286</f>
        <v>2288115.27</v>
      </c>
      <c r="G285" s="462">
        <f t="shared" si="111"/>
        <v>2170900</v>
      </c>
      <c r="H285" s="460">
        <v>1105799.46</v>
      </c>
      <c r="I285" s="462">
        <f t="shared" si="111"/>
        <v>2159900</v>
      </c>
      <c r="J285" s="462">
        <f t="shared" si="111"/>
        <v>2329900</v>
      </c>
      <c r="K285" s="462">
        <f t="shared" si="101"/>
        <v>107.32415127366531</v>
      </c>
      <c r="L285" s="462">
        <f t="shared" si="102"/>
        <v>159000</v>
      </c>
      <c r="M285" s="462">
        <f t="shared" si="112"/>
        <v>2329900</v>
      </c>
      <c r="N285" s="178">
        <f t="shared" si="100"/>
        <v>0</v>
      </c>
    </row>
    <row r="286" spans="1:14" ht="50.95" outlineLevel="1" x14ac:dyDescent="0.3">
      <c r="A286" s="189" t="s">
        <v>17</v>
      </c>
      <c r="B286" s="392" t="s">
        <v>455</v>
      </c>
      <c r="C286" s="392" t="s">
        <v>62</v>
      </c>
      <c r="D286" s="392" t="s">
        <v>468</v>
      </c>
      <c r="E286" s="392" t="s">
        <v>18</v>
      </c>
      <c r="F286" s="475">
        <v>2288115.27</v>
      </c>
      <c r="G286" s="449">
        <f>'потребность 2023 (5)'!K291</f>
        <v>2170900</v>
      </c>
      <c r="H286" s="460">
        <v>1105799.46</v>
      </c>
      <c r="I286" s="449">
        <v>2159900</v>
      </c>
      <c r="J286" s="449">
        <v>2329900</v>
      </c>
      <c r="K286" s="462">
        <f t="shared" si="101"/>
        <v>107.32415127366531</v>
      </c>
      <c r="L286" s="462">
        <f t="shared" si="102"/>
        <v>159000</v>
      </c>
      <c r="M286" s="449">
        <v>2329900</v>
      </c>
      <c r="N286" s="178">
        <f t="shared" si="100"/>
        <v>0</v>
      </c>
    </row>
    <row r="287" spans="1:14" ht="38.25" customHeight="1" outlineLevel="1" x14ac:dyDescent="0.3">
      <c r="A287" s="189" t="s">
        <v>469</v>
      </c>
      <c r="B287" s="392" t="s">
        <v>455</v>
      </c>
      <c r="C287" s="392" t="s">
        <v>62</v>
      </c>
      <c r="D287" s="392" t="s">
        <v>470</v>
      </c>
      <c r="E287" s="392" t="s">
        <v>6</v>
      </c>
      <c r="F287" s="471">
        <f>F288</f>
        <v>5083362.62</v>
      </c>
      <c r="G287" s="462">
        <f t="shared" ref="G287:J288" si="113">G288</f>
        <v>4948000</v>
      </c>
      <c r="H287" s="460">
        <v>4034746.67</v>
      </c>
      <c r="I287" s="462">
        <f t="shared" si="113"/>
        <v>0</v>
      </c>
      <c r="J287" s="462">
        <f t="shared" si="113"/>
        <v>4675000</v>
      </c>
      <c r="K287" s="462">
        <f t="shared" si="101"/>
        <v>94.482619240097009</v>
      </c>
      <c r="L287" s="462">
        <f t="shared" si="102"/>
        <v>-273000</v>
      </c>
      <c r="M287" s="462">
        <f t="shared" ref="M287:M288" si="114">M288</f>
        <v>4937000</v>
      </c>
      <c r="N287" s="178">
        <f t="shared" si="100"/>
        <v>262000</v>
      </c>
    </row>
    <row r="288" spans="1:14" ht="50.95" customHeight="1" outlineLevel="1" x14ac:dyDescent="0.3">
      <c r="A288" s="189" t="s">
        <v>15</v>
      </c>
      <c r="B288" s="392" t="s">
        <v>455</v>
      </c>
      <c r="C288" s="392" t="s">
        <v>62</v>
      </c>
      <c r="D288" s="392" t="s">
        <v>470</v>
      </c>
      <c r="E288" s="392" t="s">
        <v>16</v>
      </c>
      <c r="F288" s="471">
        <f>F289</f>
        <v>5083362.62</v>
      </c>
      <c r="G288" s="462">
        <f t="shared" si="113"/>
        <v>4948000</v>
      </c>
      <c r="H288" s="460">
        <v>4034746.67</v>
      </c>
      <c r="I288" s="462">
        <f t="shared" si="113"/>
        <v>0</v>
      </c>
      <c r="J288" s="462">
        <f t="shared" si="113"/>
        <v>4675000</v>
      </c>
      <c r="K288" s="462">
        <f t="shared" si="101"/>
        <v>94.482619240097009</v>
      </c>
      <c r="L288" s="462">
        <f t="shared" si="102"/>
        <v>-273000</v>
      </c>
      <c r="M288" s="462">
        <f t="shared" si="114"/>
        <v>4937000</v>
      </c>
      <c r="N288" s="178">
        <f t="shared" si="100"/>
        <v>262000</v>
      </c>
    </row>
    <row r="289" spans="1:14" ht="50.95" outlineLevel="1" x14ac:dyDescent="0.3">
      <c r="A289" s="189" t="s">
        <v>17</v>
      </c>
      <c r="B289" s="392" t="s">
        <v>455</v>
      </c>
      <c r="C289" s="392" t="s">
        <v>62</v>
      </c>
      <c r="D289" s="392" t="s">
        <v>470</v>
      </c>
      <c r="E289" s="392" t="s">
        <v>18</v>
      </c>
      <c r="F289" s="475">
        <v>5083362.62</v>
      </c>
      <c r="G289" s="449">
        <f>'потребность 2023 (5)'!K294+1600000</f>
        <v>4948000</v>
      </c>
      <c r="H289" s="460">
        <v>4034746.67</v>
      </c>
      <c r="I289" s="449">
        <v>0</v>
      </c>
      <c r="J289" s="449">
        <v>4675000</v>
      </c>
      <c r="K289" s="462">
        <f t="shared" si="101"/>
        <v>94.482619240097009</v>
      </c>
      <c r="L289" s="462">
        <f t="shared" si="102"/>
        <v>-273000</v>
      </c>
      <c r="M289" s="449">
        <v>4937000</v>
      </c>
      <c r="N289" s="178">
        <f t="shared" si="100"/>
        <v>262000</v>
      </c>
    </row>
    <row r="290" spans="1:14" ht="34" outlineLevel="1" x14ac:dyDescent="0.3">
      <c r="A290" s="189" t="s">
        <v>471</v>
      </c>
      <c r="B290" s="392" t="s">
        <v>455</v>
      </c>
      <c r="C290" s="392" t="s">
        <v>62</v>
      </c>
      <c r="D290" s="392" t="s">
        <v>472</v>
      </c>
      <c r="E290" s="392" t="s">
        <v>6</v>
      </c>
      <c r="F290" s="471">
        <f>F291</f>
        <v>21375289.370000001</v>
      </c>
      <c r="G290" s="462">
        <f t="shared" ref="G290:J291" si="115">G291</f>
        <v>3983396.7199999997</v>
      </c>
      <c r="H290" s="460">
        <v>2568527.14</v>
      </c>
      <c r="I290" s="462">
        <f t="shared" si="115"/>
        <v>825000</v>
      </c>
      <c r="J290" s="462">
        <f t="shared" si="115"/>
        <v>6995000</v>
      </c>
      <c r="K290" s="462">
        <f t="shared" si="101"/>
        <v>175.6039001809491</v>
      </c>
      <c r="L290" s="462">
        <f t="shared" si="102"/>
        <v>3011603.2800000003</v>
      </c>
      <c r="M290" s="462">
        <f t="shared" ref="M290:M291" si="116">M291</f>
        <v>3995000</v>
      </c>
      <c r="N290" s="178">
        <f t="shared" si="100"/>
        <v>-3000000</v>
      </c>
    </row>
    <row r="291" spans="1:14" ht="34" outlineLevel="1" x14ac:dyDescent="0.3">
      <c r="A291" s="189" t="s">
        <v>15</v>
      </c>
      <c r="B291" s="392" t="s">
        <v>455</v>
      </c>
      <c r="C291" s="392" t="s">
        <v>62</v>
      </c>
      <c r="D291" s="392" t="s">
        <v>472</v>
      </c>
      <c r="E291" s="392" t="s">
        <v>16</v>
      </c>
      <c r="F291" s="471">
        <f>F292</f>
        <v>21375289.370000001</v>
      </c>
      <c r="G291" s="462">
        <f t="shared" si="115"/>
        <v>3983396.7199999997</v>
      </c>
      <c r="H291" s="460">
        <v>2568527.14</v>
      </c>
      <c r="I291" s="462">
        <f t="shared" si="115"/>
        <v>825000</v>
      </c>
      <c r="J291" s="462">
        <f t="shared" si="115"/>
        <v>6995000</v>
      </c>
      <c r="K291" s="462">
        <f t="shared" si="101"/>
        <v>175.6039001809491</v>
      </c>
      <c r="L291" s="462">
        <f t="shared" si="102"/>
        <v>3011603.2800000003</v>
      </c>
      <c r="M291" s="462">
        <f t="shared" si="116"/>
        <v>3995000</v>
      </c>
      <c r="N291" s="178">
        <f t="shared" si="100"/>
        <v>-3000000</v>
      </c>
    </row>
    <row r="292" spans="1:14" ht="40.75" customHeight="1" outlineLevel="1" x14ac:dyDescent="0.3">
      <c r="A292" s="189" t="s">
        <v>17</v>
      </c>
      <c r="B292" s="392" t="s">
        <v>455</v>
      </c>
      <c r="C292" s="392" t="s">
        <v>62</v>
      </c>
      <c r="D292" s="392" t="s">
        <v>472</v>
      </c>
      <c r="E292" s="392" t="s">
        <v>18</v>
      </c>
      <c r="F292" s="475">
        <v>21375289.370000001</v>
      </c>
      <c r="G292" s="449">
        <f>'потребность 2023 (5)'!K297+348396.72</f>
        <v>3983396.7199999997</v>
      </c>
      <c r="H292" s="460">
        <v>2568527.14</v>
      </c>
      <c r="I292" s="449">
        <v>825000</v>
      </c>
      <c r="J292" s="449">
        <v>6995000</v>
      </c>
      <c r="K292" s="462">
        <f t="shared" si="101"/>
        <v>175.6039001809491</v>
      </c>
      <c r="L292" s="462">
        <f t="shared" si="102"/>
        <v>3011603.2800000003</v>
      </c>
      <c r="M292" s="449">
        <f>6995000-3000000</f>
        <v>3995000</v>
      </c>
      <c r="N292" s="178">
        <f t="shared" si="100"/>
        <v>-3000000</v>
      </c>
    </row>
    <row r="293" spans="1:14" ht="39.75" customHeight="1" outlineLevel="1" x14ac:dyDescent="0.3">
      <c r="A293" s="235" t="s">
        <v>1082</v>
      </c>
      <c r="B293" s="392" t="s">
        <v>455</v>
      </c>
      <c r="C293" s="392" t="s">
        <v>62</v>
      </c>
      <c r="D293" s="239">
        <v>1895894030</v>
      </c>
      <c r="E293" s="392" t="s">
        <v>6</v>
      </c>
      <c r="F293" s="462" t="s">
        <v>838</v>
      </c>
      <c r="G293" s="449">
        <f t="shared" ref="G293:J294" si="117">G294</f>
        <v>0</v>
      </c>
      <c r="H293" s="460"/>
      <c r="I293" s="449">
        <f t="shared" si="117"/>
        <v>0</v>
      </c>
      <c r="J293" s="449">
        <f t="shared" si="117"/>
        <v>0</v>
      </c>
      <c r="K293" s="462" t="e">
        <f t="shared" si="101"/>
        <v>#DIV/0!</v>
      </c>
      <c r="L293" s="462">
        <f t="shared" si="102"/>
        <v>0</v>
      </c>
      <c r="M293" s="449">
        <f t="shared" ref="M293:M294" si="118">M294</f>
        <v>0</v>
      </c>
      <c r="N293" s="178">
        <f t="shared" si="100"/>
        <v>0</v>
      </c>
    </row>
    <row r="294" spans="1:14" ht="38.25" customHeight="1" outlineLevel="1" x14ac:dyDescent="0.3">
      <c r="A294" s="189" t="s">
        <v>15</v>
      </c>
      <c r="B294" s="392" t="s">
        <v>455</v>
      </c>
      <c r="C294" s="392" t="s">
        <v>62</v>
      </c>
      <c r="D294" s="239">
        <v>1895894030</v>
      </c>
      <c r="E294" s="392" t="s">
        <v>16</v>
      </c>
      <c r="F294" s="462" t="s">
        <v>838</v>
      </c>
      <c r="G294" s="449">
        <f t="shared" si="117"/>
        <v>0</v>
      </c>
      <c r="H294" s="460"/>
      <c r="I294" s="449">
        <f t="shared" si="117"/>
        <v>0</v>
      </c>
      <c r="J294" s="449">
        <f t="shared" si="117"/>
        <v>0</v>
      </c>
      <c r="K294" s="462" t="e">
        <f t="shared" si="101"/>
        <v>#DIV/0!</v>
      </c>
      <c r="L294" s="462">
        <f t="shared" si="102"/>
        <v>0</v>
      </c>
      <c r="M294" s="449">
        <f t="shared" si="118"/>
        <v>0</v>
      </c>
      <c r="N294" s="178">
        <f t="shared" si="100"/>
        <v>0</v>
      </c>
    </row>
    <row r="295" spans="1:14" ht="39.25" customHeight="1" outlineLevel="1" x14ac:dyDescent="0.3">
      <c r="A295" s="189" t="s">
        <v>17</v>
      </c>
      <c r="B295" s="392" t="s">
        <v>455</v>
      </c>
      <c r="C295" s="392" t="s">
        <v>62</v>
      </c>
      <c r="D295" s="239">
        <v>1895894030</v>
      </c>
      <c r="E295" s="392" t="s">
        <v>18</v>
      </c>
      <c r="F295" s="462" t="s">
        <v>838</v>
      </c>
      <c r="G295" s="449">
        <f>8991616-8991616</f>
        <v>0</v>
      </c>
      <c r="H295" s="460"/>
      <c r="I295" s="449">
        <v>0</v>
      </c>
      <c r="J295" s="449"/>
      <c r="K295" s="462" t="e">
        <f t="shared" si="101"/>
        <v>#DIV/0!</v>
      </c>
      <c r="L295" s="462">
        <f t="shared" si="102"/>
        <v>0</v>
      </c>
      <c r="M295" s="449"/>
      <c r="N295" s="178">
        <f t="shared" si="100"/>
        <v>0</v>
      </c>
    </row>
    <row r="296" spans="1:14" s="224" customFormat="1" ht="67.95" outlineLevel="1" x14ac:dyDescent="0.3">
      <c r="A296" s="233" t="s">
        <v>473</v>
      </c>
      <c r="B296" s="397" t="s">
        <v>455</v>
      </c>
      <c r="C296" s="397" t="s">
        <v>62</v>
      </c>
      <c r="D296" s="397" t="s">
        <v>474</v>
      </c>
      <c r="E296" s="397" t="s">
        <v>6</v>
      </c>
      <c r="F296" s="471">
        <f>F297+F305</f>
        <v>1555395.1999999993</v>
      </c>
      <c r="G296" s="462">
        <f>G297+G305</f>
        <v>964413.7200000002</v>
      </c>
      <c r="H296" s="460">
        <v>12517842.359999999</v>
      </c>
      <c r="I296" s="462">
        <f>I297+I305</f>
        <v>437456.14</v>
      </c>
      <c r="J296" s="462">
        <f>J297+J305</f>
        <v>437456.14</v>
      </c>
      <c r="K296" s="462">
        <f t="shared" si="101"/>
        <v>45.35980056360043</v>
      </c>
      <c r="L296" s="462">
        <f t="shared" si="102"/>
        <v>-526957.58000000019</v>
      </c>
      <c r="M296" s="462">
        <f>M297+M305</f>
        <v>166385.16000000003</v>
      </c>
      <c r="N296" s="178">
        <f t="shared" si="100"/>
        <v>-271070.98</v>
      </c>
    </row>
    <row r="297" spans="1:14" s="224" customFormat="1" ht="67.95" outlineLevel="1" x14ac:dyDescent="0.3">
      <c r="A297" s="233" t="s">
        <v>501</v>
      </c>
      <c r="B297" s="397" t="s">
        <v>455</v>
      </c>
      <c r="C297" s="397" t="s">
        <v>62</v>
      </c>
      <c r="D297" s="397" t="s">
        <v>502</v>
      </c>
      <c r="E297" s="397" t="s">
        <v>6</v>
      </c>
      <c r="F297" s="471">
        <f>F298+F302</f>
        <v>33081.949999999255</v>
      </c>
      <c r="G297" s="462">
        <f>G298+G302</f>
        <v>32902.160000000149</v>
      </c>
      <c r="H297" s="460"/>
      <c r="I297" s="462">
        <f>I298+I302</f>
        <v>38021.379999999997</v>
      </c>
      <c r="J297" s="462">
        <f>J298+J302</f>
        <v>38021.379999999997</v>
      </c>
      <c r="K297" s="462">
        <f t="shared" si="101"/>
        <v>115.55891771239281</v>
      </c>
      <c r="L297" s="462">
        <f t="shared" si="102"/>
        <v>5119.2199999998484</v>
      </c>
      <c r="M297" s="462">
        <f>M298+M302</f>
        <v>0</v>
      </c>
      <c r="N297" s="178">
        <f t="shared" si="100"/>
        <v>-38021.379999999997</v>
      </c>
    </row>
    <row r="298" spans="1:14" ht="34" outlineLevel="1" x14ac:dyDescent="0.3">
      <c r="A298" s="189" t="s">
        <v>931</v>
      </c>
      <c r="B298" s="392" t="s">
        <v>455</v>
      </c>
      <c r="C298" s="392" t="s">
        <v>62</v>
      </c>
      <c r="D298" s="392" t="s">
        <v>503</v>
      </c>
      <c r="E298" s="392" t="s">
        <v>6</v>
      </c>
      <c r="F298" s="471">
        <f t="shared" ref="F298:J300" si="119">F299</f>
        <v>33081.949999999255</v>
      </c>
      <c r="G298" s="462">
        <f t="shared" si="119"/>
        <v>32902.160000000149</v>
      </c>
      <c r="H298" s="460"/>
      <c r="I298" s="462">
        <f t="shared" si="119"/>
        <v>38021.379999999997</v>
      </c>
      <c r="J298" s="462">
        <f t="shared" si="119"/>
        <v>38021.379999999997</v>
      </c>
      <c r="K298" s="462">
        <f t="shared" si="101"/>
        <v>115.55891771239281</v>
      </c>
      <c r="L298" s="462">
        <f t="shared" si="102"/>
        <v>5119.2199999998484</v>
      </c>
      <c r="M298" s="462">
        <f t="shared" ref="M298:M300" si="120">M299</f>
        <v>0</v>
      </c>
      <c r="N298" s="178">
        <f t="shared" si="100"/>
        <v>-38021.379999999997</v>
      </c>
    </row>
    <row r="299" spans="1:14" ht="34" outlineLevel="1" x14ac:dyDescent="0.3">
      <c r="A299" s="189" t="s">
        <v>499</v>
      </c>
      <c r="B299" s="392" t="s">
        <v>455</v>
      </c>
      <c r="C299" s="392" t="s">
        <v>62</v>
      </c>
      <c r="D299" s="392" t="s">
        <v>504</v>
      </c>
      <c r="E299" s="392" t="s">
        <v>6</v>
      </c>
      <c r="F299" s="471">
        <f t="shared" si="119"/>
        <v>33081.949999999255</v>
      </c>
      <c r="G299" s="462">
        <f t="shared" si="119"/>
        <v>32902.160000000149</v>
      </c>
      <c r="H299" s="460"/>
      <c r="I299" s="462">
        <f t="shared" si="119"/>
        <v>38021.379999999997</v>
      </c>
      <c r="J299" s="462">
        <f t="shared" si="119"/>
        <v>38021.379999999997</v>
      </c>
      <c r="K299" s="462">
        <f t="shared" si="101"/>
        <v>115.55891771239281</v>
      </c>
      <c r="L299" s="462">
        <f t="shared" si="102"/>
        <v>5119.2199999998484</v>
      </c>
      <c r="M299" s="462">
        <f t="shared" si="120"/>
        <v>0</v>
      </c>
      <c r="N299" s="178">
        <f t="shared" si="100"/>
        <v>-38021.379999999997</v>
      </c>
    </row>
    <row r="300" spans="1:14" ht="34" outlineLevel="1" x14ac:dyDescent="0.3">
      <c r="A300" s="189" t="s">
        <v>15</v>
      </c>
      <c r="B300" s="392" t="s">
        <v>455</v>
      </c>
      <c r="C300" s="392" t="s">
        <v>62</v>
      </c>
      <c r="D300" s="392" t="s">
        <v>504</v>
      </c>
      <c r="E300" s="392" t="s">
        <v>16</v>
      </c>
      <c r="F300" s="471">
        <f t="shared" si="119"/>
        <v>33081.949999999255</v>
      </c>
      <c r="G300" s="462">
        <f t="shared" si="119"/>
        <v>32902.160000000149</v>
      </c>
      <c r="H300" s="460"/>
      <c r="I300" s="462">
        <f t="shared" si="119"/>
        <v>38021.379999999997</v>
      </c>
      <c r="J300" s="462">
        <f t="shared" si="119"/>
        <v>38021.379999999997</v>
      </c>
      <c r="K300" s="462">
        <f t="shared" si="101"/>
        <v>115.55891771239281</v>
      </c>
      <c r="L300" s="462">
        <f t="shared" si="102"/>
        <v>5119.2199999998484</v>
      </c>
      <c r="M300" s="462">
        <f t="shared" si="120"/>
        <v>0</v>
      </c>
      <c r="N300" s="178">
        <f t="shared" si="100"/>
        <v>-38021.379999999997</v>
      </c>
    </row>
    <row r="301" spans="1:14" ht="50.95" outlineLevel="1" x14ac:dyDescent="0.3">
      <c r="A301" s="189" t="s">
        <v>17</v>
      </c>
      <c r="B301" s="392" t="s">
        <v>455</v>
      </c>
      <c r="C301" s="392" t="s">
        <v>62</v>
      </c>
      <c r="D301" s="392" t="s">
        <v>504</v>
      </c>
      <c r="E301" s="392" t="s">
        <v>18</v>
      </c>
      <c r="F301" s="475">
        <f>6616389.06-6583307.11</f>
        <v>33081.949999999255</v>
      </c>
      <c r="G301" s="462">
        <f>'потребность 2023 (5)'!K309-1951.03-6547529.41</f>
        <v>32902.160000000149</v>
      </c>
      <c r="H301" s="460"/>
      <c r="I301" s="462">
        <f>38021.38</f>
        <v>38021.379999999997</v>
      </c>
      <c r="J301" s="449">
        <f>38021.38</f>
        <v>38021.379999999997</v>
      </c>
      <c r="K301" s="462">
        <f t="shared" si="101"/>
        <v>115.55891771239281</v>
      </c>
      <c r="L301" s="462">
        <f t="shared" si="102"/>
        <v>5119.2199999998484</v>
      </c>
      <c r="M301" s="449">
        <f>38021.38-38021.38</f>
        <v>0</v>
      </c>
      <c r="N301" s="178">
        <f t="shared" si="100"/>
        <v>-38021.379999999997</v>
      </c>
    </row>
    <row r="302" spans="1:14" ht="50.95" outlineLevel="1" x14ac:dyDescent="0.3">
      <c r="A302" s="189" t="s">
        <v>614</v>
      </c>
      <c r="B302" s="392" t="s">
        <v>455</v>
      </c>
      <c r="C302" s="392" t="s">
        <v>62</v>
      </c>
      <c r="D302" s="392" t="s">
        <v>655</v>
      </c>
      <c r="E302" s="392" t="s">
        <v>6</v>
      </c>
      <c r="F302" s="462" t="s">
        <v>838</v>
      </c>
      <c r="G302" s="462">
        <f t="shared" ref="G302:J303" si="121">G303</f>
        <v>0</v>
      </c>
      <c r="H302" s="460"/>
      <c r="I302" s="462">
        <f t="shared" si="121"/>
        <v>0</v>
      </c>
      <c r="J302" s="462">
        <f t="shared" si="121"/>
        <v>0</v>
      </c>
      <c r="K302" s="462" t="e">
        <f t="shared" si="101"/>
        <v>#DIV/0!</v>
      </c>
      <c r="L302" s="462">
        <f t="shared" si="102"/>
        <v>0</v>
      </c>
      <c r="M302" s="462">
        <f t="shared" ref="M302:M303" si="122">M303</f>
        <v>0</v>
      </c>
      <c r="N302" s="178">
        <f t="shared" si="100"/>
        <v>0</v>
      </c>
    </row>
    <row r="303" spans="1:14" ht="34" outlineLevel="1" x14ac:dyDescent="0.3">
      <c r="A303" s="189" t="s">
        <v>15</v>
      </c>
      <c r="B303" s="392" t="s">
        <v>455</v>
      </c>
      <c r="C303" s="392" t="s">
        <v>62</v>
      </c>
      <c r="D303" s="392" t="s">
        <v>655</v>
      </c>
      <c r="E303" s="392" t="s">
        <v>16</v>
      </c>
      <c r="F303" s="462" t="s">
        <v>838</v>
      </c>
      <c r="G303" s="462">
        <f t="shared" si="121"/>
        <v>0</v>
      </c>
      <c r="H303" s="462"/>
      <c r="I303" s="462">
        <f t="shared" si="121"/>
        <v>0</v>
      </c>
      <c r="J303" s="462">
        <f t="shared" si="121"/>
        <v>0</v>
      </c>
      <c r="K303" s="462" t="e">
        <f t="shared" si="101"/>
        <v>#DIV/0!</v>
      </c>
      <c r="L303" s="462">
        <f t="shared" si="102"/>
        <v>0</v>
      </c>
      <c r="M303" s="462">
        <f t="shared" si="122"/>
        <v>0</v>
      </c>
      <c r="N303" s="178">
        <f t="shared" si="100"/>
        <v>0</v>
      </c>
    </row>
    <row r="304" spans="1:14" ht="50.95" outlineLevel="1" x14ac:dyDescent="0.3">
      <c r="A304" s="189" t="s">
        <v>17</v>
      </c>
      <c r="B304" s="392" t="s">
        <v>455</v>
      </c>
      <c r="C304" s="392" t="s">
        <v>62</v>
      </c>
      <c r="D304" s="392" t="s">
        <v>655</v>
      </c>
      <c r="E304" s="392" t="s">
        <v>18</v>
      </c>
      <c r="F304" s="462" t="s">
        <v>838</v>
      </c>
      <c r="G304" s="462">
        <v>0</v>
      </c>
      <c r="H304" s="462"/>
      <c r="I304" s="462">
        <v>0</v>
      </c>
      <c r="J304" s="449"/>
      <c r="K304" s="462" t="e">
        <f t="shared" si="101"/>
        <v>#DIV/0!</v>
      </c>
      <c r="L304" s="462">
        <f t="shared" si="102"/>
        <v>0</v>
      </c>
      <c r="M304" s="449"/>
      <c r="N304" s="178">
        <f t="shared" si="100"/>
        <v>0</v>
      </c>
    </row>
    <row r="305" spans="1:14" s="224" customFormat="1" ht="50.95" outlineLevel="1" x14ac:dyDescent="0.3">
      <c r="A305" s="233" t="s">
        <v>505</v>
      </c>
      <c r="B305" s="392" t="s">
        <v>455</v>
      </c>
      <c r="C305" s="392" t="s">
        <v>62</v>
      </c>
      <c r="D305" s="397" t="s">
        <v>507</v>
      </c>
      <c r="E305" s="397" t="s">
        <v>6</v>
      </c>
      <c r="F305" s="471">
        <f t="shared" ref="F305:J311" si="123">F306</f>
        <v>1522313.25</v>
      </c>
      <c r="G305" s="462">
        <f t="shared" si="123"/>
        <v>931511.56</v>
      </c>
      <c r="H305" s="460">
        <f>H306</f>
        <v>931511.56</v>
      </c>
      <c r="I305" s="462">
        <f t="shared" si="123"/>
        <v>399434.76</v>
      </c>
      <c r="J305" s="462">
        <f t="shared" si="123"/>
        <v>399434.76</v>
      </c>
      <c r="K305" s="462">
        <f t="shared" si="101"/>
        <v>42.880279446022115</v>
      </c>
      <c r="L305" s="462">
        <f t="shared" si="102"/>
        <v>-532076.80000000005</v>
      </c>
      <c r="M305" s="462">
        <f t="shared" ref="M305:M311" si="124">M306</f>
        <v>166385.16000000003</v>
      </c>
      <c r="N305" s="178">
        <f t="shared" si="100"/>
        <v>-233049.59999999998</v>
      </c>
    </row>
    <row r="306" spans="1:14" s="224" customFormat="1" ht="30.6" customHeight="1" outlineLevel="1" x14ac:dyDescent="0.3">
      <c r="A306" s="233" t="s">
        <v>506</v>
      </c>
      <c r="B306" s="392" t="s">
        <v>455</v>
      </c>
      <c r="C306" s="392" t="s">
        <v>62</v>
      </c>
      <c r="D306" s="397" t="s">
        <v>508</v>
      </c>
      <c r="E306" s="397" t="s">
        <v>6</v>
      </c>
      <c r="F306" s="473">
        <f>F307+F310+F313</f>
        <v>1522313.25</v>
      </c>
      <c r="G306" s="465">
        <f>G307+G310+G313</f>
        <v>931511.56</v>
      </c>
      <c r="H306" s="460">
        <f>H313+H310</f>
        <v>931511.56</v>
      </c>
      <c r="I306" s="465">
        <f>I307+I310+I313</f>
        <v>399434.76</v>
      </c>
      <c r="J306" s="465">
        <f>J307+J310+J313</f>
        <v>399434.76</v>
      </c>
      <c r="K306" s="462">
        <f t="shared" si="101"/>
        <v>42.880279446022115</v>
      </c>
      <c r="L306" s="462">
        <f t="shared" si="102"/>
        <v>-532076.80000000005</v>
      </c>
      <c r="M306" s="465">
        <f>M307+M310+M313</f>
        <v>166385.16000000003</v>
      </c>
      <c r="N306" s="178">
        <f t="shared" si="100"/>
        <v>-233049.59999999998</v>
      </c>
    </row>
    <row r="307" spans="1:14" s="224" customFormat="1" ht="50.3" customHeight="1" outlineLevel="1" x14ac:dyDescent="0.3">
      <c r="A307" s="202" t="s">
        <v>951</v>
      </c>
      <c r="B307" s="392" t="s">
        <v>455</v>
      </c>
      <c r="C307" s="392" t="s">
        <v>62</v>
      </c>
      <c r="D307" s="392" t="s">
        <v>531</v>
      </c>
      <c r="E307" s="392" t="s">
        <v>6</v>
      </c>
      <c r="F307" s="471">
        <f>F308</f>
        <v>0</v>
      </c>
      <c r="G307" s="462">
        <f t="shared" ref="G307:J308" si="125">G308</f>
        <v>0</v>
      </c>
      <c r="H307" s="460"/>
      <c r="I307" s="462">
        <f t="shared" si="125"/>
        <v>0</v>
      </c>
      <c r="J307" s="462">
        <f t="shared" si="125"/>
        <v>0</v>
      </c>
      <c r="K307" s="462" t="e">
        <f t="shared" si="101"/>
        <v>#DIV/0!</v>
      </c>
      <c r="L307" s="462">
        <f t="shared" si="102"/>
        <v>0</v>
      </c>
      <c r="M307" s="462">
        <f t="shared" ref="M307:M308" si="126">M308</f>
        <v>0</v>
      </c>
      <c r="N307" s="178">
        <f t="shared" si="100"/>
        <v>0</v>
      </c>
    </row>
    <row r="308" spans="1:14" s="224" customFormat="1" ht="44.15" customHeight="1" outlineLevel="1" x14ac:dyDescent="0.3">
      <c r="A308" s="189" t="s">
        <v>15</v>
      </c>
      <c r="B308" s="392" t="s">
        <v>455</v>
      </c>
      <c r="C308" s="392" t="s">
        <v>62</v>
      </c>
      <c r="D308" s="392" t="s">
        <v>531</v>
      </c>
      <c r="E308" s="392" t="s">
        <v>16</v>
      </c>
      <c r="F308" s="471">
        <f>F309</f>
        <v>0</v>
      </c>
      <c r="G308" s="462">
        <f t="shared" si="125"/>
        <v>0</v>
      </c>
      <c r="H308" s="460"/>
      <c r="I308" s="462">
        <f t="shared" si="125"/>
        <v>0</v>
      </c>
      <c r="J308" s="462">
        <f t="shared" si="125"/>
        <v>0</v>
      </c>
      <c r="K308" s="462" t="e">
        <f t="shared" si="101"/>
        <v>#DIV/0!</v>
      </c>
      <c r="L308" s="462">
        <f t="shared" si="102"/>
        <v>0</v>
      </c>
      <c r="M308" s="462">
        <f t="shared" si="126"/>
        <v>0</v>
      </c>
      <c r="N308" s="178">
        <f t="shared" si="100"/>
        <v>0</v>
      </c>
    </row>
    <row r="309" spans="1:14" s="224" customFormat="1" ht="23.8" customHeight="1" outlineLevel="1" x14ac:dyDescent="0.3">
      <c r="A309" s="189" t="s">
        <v>17</v>
      </c>
      <c r="B309" s="392" t="s">
        <v>455</v>
      </c>
      <c r="C309" s="392" t="s">
        <v>62</v>
      </c>
      <c r="D309" s="392" t="s">
        <v>531</v>
      </c>
      <c r="E309" s="392" t="s">
        <v>18</v>
      </c>
      <c r="F309" s="475">
        <v>0</v>
      </c>
      <c r="G309" s="462">
        <v>0</v>
      </c>
      <c r="H309" s="460"/>
      <c r="I309" s="462">
        <f>12915057.33-12915057.33</f>
        <v>0</v>
      </c>
      <c r="J309" s="467"/>
      <c r="K309" s="462" t="e">
        <f t="shared" si="101"/>
        <v>#DIV/0!</v>
      </c>
      <c r="L309" s="462">
        <f t="shared" si="102"/>
        <v>0</v>
      </c>
      <c r="M309" s="467"/>
      <c r="N309" s="178">
        <f t="shared" si="100"/>
        <v>0</v>
      </c>
    </row>
    <row r="310" spans="1:14" ht="40.75" customHeight="1" outlineLevel="1" x14ac:dyDescent="0.3">
      <c r="A310" s="189" t="s">
        <v>510</v>
      </c>
      <c r="B310" s="392" t="s">
        <v>455</v>
      </c>
      <c r="C310" s="392" t="s">
        <v>62</v>
      </c>
      <c r="D310" s="392" t="s">
        <v>509</v>
      </c>
      <c r="E310" s="392" t="s">
        <v>6</v>
      </c>
      <c r="F310" s="471">
        <f t="shared" si="123"/>
        <v>212028.24</v>
      </c>
      <c r="G310" s="462">
        <f t="shared" si="123"/>
        <v>179475.78999999998</v>
      </c>
      <c r="H310" s="460">
        <v>179475.79</v>
      </c>
      <c r="I310" s="462">
        <f t="shared" si="123"/>
        <v>399434.76</v>
      </c>
      <c r="J310" s="462">
        <f t="shared" si="123"/>
        <v>399434.76</v>
      </c>
      <c r="K310" s="462">
        <f t="shared" si="101"/>
        <v>222.55634590046941</v>
      </c>
      <c r="L310" s="462">
        <f t="shared" si="102"/>
        <v>219958.97000000003</v>
      </c>
      <c r="M310" s="462">
        <f t="shared" si="124"/>
        <v>166385.16000000003</v>
      </c>
      <c r="N310" s="178">
        <f t="shared" si="100"/>
        <v>-233049.59999999998</v>
      </c>
    </row>
    <row r="311" spans="1:14" ht="34" outlineLevel="1" x14ac:dyDescent="0.3">
      <c r="A311" s="189" t="s">
        <v>15</v>
      </c>
      <c r="B311" s="392" t="s">
        <v>455</v>
      </c>
      <c r="C311" s="392" t="s">
        <v>62</v>
      </c>
      <c r="D311" s="392" t="s">
        <v>509</v>
      </c>
      <c r="E311" s="392" t="s">
        <v>16</v>
      </c>
      <c r="F311" s="471">
        <f t="shared" si="123"/>
        <v>212028.24</v>
      </c>
      <c r="G311" s="462">
        <f t="shared" si="123"/>
        <v>179475.78999999998</v>
      </c>
      <c r="H311" s="460">
        <v>179475.79</v>
      </c>
      <c r="I311" s="462">
        <f t="shared" si="123"/>
        <v>399434.76</v>
      </c>
      <c r="J311" s="462">
        <f t="shared" si="123"/>
        <v>399434.76</v>
      </c>
      <c r="K311" s="462">
        <f t="shared" si="101"/>
        <v>222.55634590046941</v>
      </c>
      <c r="L311" s="462">
        <f t="shared" si="102"/>
        <v>219958.97000000003</v>
      </c>
      <c r="M311" s="462">
        <f t="shared" si="124"/>
        <v>166385.16000000003</v>
      </c>
      <c r="N311" s="178">
        <f t="shared" si="100"/>
        <v>-233049.59999999998</v>
      </c>
    </row>
    <row r="312" spans="1:14" ht="50.95" outlineLevel="1" x14ac:dyDescent="0.3">
      <c r="A312" s="189" t="s">
        <v>17</v>
      </c>
      <c r="B312" s="392" t="s">
        <v>455</v>
      </c>
      <c r="C312" s="392" t="s">
        <v>62</v>
      </c>
      <c r="D312" s="392" t="s">
        <v>509</v>
      </c>
      <c r="E312" s="392" t="s">
        <v>18</v>
      </c>
      <c r="F312" s="475">
        <v>212028.24</v>
      </c>
      <c r="G312" s="449">
        <f>'потребность 2023 (5)'!K320</f>
        <v>179475.78999999998</v>
      </c>
      <c r="H312" s="460">
        <v>179475.79</v>
      </c>
      <c r="I312" s="449">
        <v>399434.76</v>
      </c>
      <c r="J312" s="449">
        <v>399434.76</v>
      </c>
      <c r="K312" s="462">
        <f t="shared" si="101"/>
        <v>222.55634590046941</v>
      </c>
      <c r="L312" s="462">
        <f t="shared" si="102"/>
        <v>219958.97000000003</v>
      </c>
      <c r="M312" s="449">
        <f>399434.76-284777.6+51728</f>
        <v>166385.16000000003</v>
      </c>
      <c r="N312" s="178">
        <f t="shared" si="100"/>
        <v>-233049.59999999998</v>
      </c>
    </row>
    <row r="313" spans="1:14" ht="50.95" outlineLevel="1" x14ac:dyDescent="0.3">
      <c r="A313" s="189" t="s">
        <v>614</v>
      </c>
      <c r="B313" s="392" t="s">
        <v>455</v>
      </c>
      <c r="C313" s="392" t="s">
        <v>62</v>
      </c>
      <c r="D313" s="392" t="s">
        <v>613</v>
      </c>
      <c r="E313" s="392" t="s">
        <v>6</v>
      </c>
      <c r="F313" s="471">
        <f>F314</f>
        <v>1310285.01</v>
      </c>
      <c r="G313" s="462">
        <f t="shared" ref="G313:J314" si="127">G314</f>
        <v>752035.77</v>
      </c>
      <c r="H313" s="460">
        <v>752035.77</v>
      </c>
      <c r="I313" s="462">
        <f t="shared" si="127"/>
        <v>0</v>
      </c>
      <c r="J313" s="462">
        <f t="shared" si="127"/>
        <v>0</v>
      </c>
      <c r="K313" s="462">
        <f t="shared" si="101"/>
        <v>0</v>
      </c>
      <c r="L313" s="462">
        <f t="shared" si="102"/>
        <v>-752035.77</v>
      </c>
      <c r="M313" s="462">
        <f t="shared" ref="M313:M314" si="128">M314</f>
        <v>0</v>
      </c>
      <c r="N313" s="178">
        <f t="shared" si="100"/>
        <v>0</v>
      </c>
    </row>
    <row r="314" spans="1:14" ht="34" outlineLevel="1" x14ac:dyDescent="0.3">
      <c r="A314" s="189" t="s">
        <v>15</v>
      </c>
      <c r="B314" s="392" t="s">
        <v>455</v>
      </c>
      <c r="C314" s="392" t="s">
        <v>62</v>
      </c>
      <c r="D314" s="392" t="s">
        <v>613</v>
      </c>
      <c r="E314" s="392" t="s">
        <v>16</v>
      </c>
      <c r="F314" s="471">
        <f>F315</f>
        <v>1310285.01</v>
      </c>
      <c r="G314" s="462">
        <f t="shared" si="127"/>
        <v>752035.77</v>
      </c>
      <c r="H314" s="460">
        <v>752035.77</v>
      </c>
      <c r="I314" s="462">
        <f t="shared" si="127"/>
        <v>0</v>
      </c>
      <c r="J314" s="462">
        <f t="shared" si="127"/>
        <v>0</v>
      </c>
      <c r="K314" s="462">
        <f t="shared" si="101"/>
        <v>0</v>
      </c>
      <c r="L314" s="462">
        <f t="shared" si="102"/>
        <v>-752035.77</v>
      </c>
      <c r="M314" s="462">
        <f t="shared" si="128"/>
        <v>0</v>
      </c>
      <c r="N314" s="178">
        <f t="shared" si="100"/>
        <v>0</v>
      </c>
    </row>
    <row r="315" spans="1:14" ht="38.25" customHeight="1" outlineLevel="1" x14ac:dyDescent="0.3">
      <c r="A315" s="189" t="s">
        <v>17</v>
      </c>
      <c r="B315" s="392" t="s">
        <v>455</v>
      </c>
      <c r="C315" s="392" t="s">
        <v>62</v>
      </c>
      <c r="D315" s="392" t="s">
        <v>613</v>
      </c>
      <c r="E315" s="392" t="s">
        <v>18</v>
      </c>
      <c r="F315" s="475">
        <v>1310285.01</v>
      </c>
      <c r="G315" s="449">
        <f>1951.03+1254838.52-504753.78</f>
        <v>752035.77</v>
      </c>
      <c r="H315" s="460">
        <v>752035.77</v>
      </c>
      <c r="I315" s="449">
        <v>0</v>
      </c>
      <c r="J315" s="449">
        <v>0</v>
      </c>
      <c r="K315" s="462">
        <f t="shared" si="101"/>
        <v>0</v>
      </c>
      <c r="L315" s="462">
        <f t="shared" si="102"/>
        <v>-752035.77</v>
      </c>
      <c r="M315" s="449">
        <v>0</v>
      </c>
      <c r="N315" s="178">
        <f t="shared" si="100"/>
        <v>0</v>
      </c>
    </row>
    <row r="316" spans="1:14" ht="34" outlineLevel="1" x14ac:dyDescent="0.3">
      <c r="A316" s="189" t="s">
        <v>284</v>
      </c>
      <c r="B316" s="392" t="s">
        <v>455</v>
      </c>
      <c r="C316" s="392" t="s">
        <v>285</v>
      </c>
      <c r="D316" s="392" t="s">
        <v>126</v>
      </c>
      <c r="E316" s="392" t="s">
        <v>6</v>
      </c>
      <c r="F316" s="476">
        <f>F317</f>
        <v>225083.49</v>
      </c>
      <c r="G316" s="449">
        <f t="shared" ref="G316:J317" si="129">G317</f>
        <v>300000</v>
      </c>
      <c r="H316" s="460">
        <f>H322</f>
        <v>85355.26</v>
      </c>
      <c r="I316" s="449">
        <f t="shared" si="129"/>
        <v>291829.84000000003</v>
      </c>
      <c r="J316" s="449">
        <f t="shared" si="129"/>
        <v>291829.84000000003</v>
      </c>
      <c r="K316" s="462">
        <f t="shared" si="101"/>
        <v>97.276613333333344</v>
      </c>
      <c r="L316" s="462">
        <f t="shared" si="102"/>
        <v>-8170.1599999999744</v>
      </c>
      <c r="M316" s="449">
        <f t="shared" ref="M316:M317" si="130">M317</f>
        <v>74589.210000000021</v>
      </c>
      <c r="N316" s="178">
        <f t="shared" si="100"/>
        <v>-217240.63</v>
      </c>
    </row>
    <row r="317" spans="1:14" ht="67.95" outlineLevel="1" x14ac:dyDescent="0.3">
      <c r="A317" s="233" t="s">
        <v>1021</v>
      </c>
      <c r="B317" s="397" t="s">
        <v>455</v>
      </c>
      <c r="C317" s="397" t="s">
        <v>285</v>
      </c>
      <c r="D317" s="397" t="s">
        <v>134</v>
      </c>
      <c r="E317" s="397" t="s">
        <v>6</v>
      </c>
      <c r="F317" s="477">
        <f>F318</f>
        <v>225083.49</v>
      </c>
      <c r="G317" s="467">
        <f t="shared" si="129"/>
        <v>300000</v>
      </c>
      <c r="H317" s="460"/>
      <c r="I317" s="467">
        <f t="shared" si="129"/>
        <v>291829.84000000003</v>
      </c>
      <c r="J317" s="467">
        <f t="shared" si="129"/>
        <v>291829.84000000003</v>
      </c>
      <c r="K317" s="462">
        <f t="shared" si="101"/>
        <v>97.276613333333344</v>
      </c>
      <c r="L317" s="462">
        <f t="shared" si="102"/>
        <v>-8170.1599999999744</v>
      </c>
      <c r="M317" s="467">
        <f t="shared" si="130"/>
        <v>74589.210000000021</v>
      </c>
      <c r="N317" s="178">
        <f t="shared" si="100"/>
        <v>-217240.63</v>
      </c>
    </row>
    <row r="318" spans="1:14" ht="30.6" customHeight="1" outlineLevel="1" x14ac:dyDescent="0.3">
      <c r="A318" s="189" t="s">
        <v>738</v>
      </c>
      <c r="B318" s="392" t="s">
        <v>455</v>
      </c>
      <c r="C318" s="392" t="s">
        <v>285</v>
      </c>
      <c r="D318" s="392" t="s">
        <v>335</v>
      </c>
      <c r="E318" s="392" t="s">
        <v>6</v>
      </c>
      <c r="F318" s="476">
        <f>F319+F322</f>
        <v>225083.49</v>
      </c>
      <c r="G318" s="449">
        <f>G319+G322</f>
        <v>300000</v>
      </c>
      <c r="H318" s="460"/>
      <c r="I318" s="449">
        <f>I319+I322</f>
        <v>291829.84000000003</v>
      </c>
      <c r="J318" s="449">
        <f>J319+J322</f>
        <v>291829.84000000003</v>
      </c>
      <c r="K318" s="462">
        <f t="shared" si="101"/>
        <v>97.276613333333344</v>
      </c>
      <c r="L318" s="462">
        <f t="shared" si="102"/>
        <v>-8170.1599999999744</v>
      </c>
      <c r="M318" s="449">
        <f>M319+M322</f>
        <v>74589.210000000021</v>
      </c>
      <c r="N318" s="178">
        <f t="shared" si="100"/>
        <v>-217240.63</v>
      </c>
    </row>
    <row r="319" spans="1:14" ht="44.15" customHeight="1" outlineLevel="1" x14ac:dyDescent="0.3">
      <c r="A319" s="185" t="s">
        <v>952</v>
      </c>
      <c r="B319" s="392" t="s">
        <v>455</v>
      </c>
      <c r="C319" s="392" t="s">
        <v>285</v>
      </c>
      <c r="D319" s="392" t="s">
        <v>532</v>
      </c>
      <c r="E319" s="392" t="s">
        <v>6</v>
      </c>
      <c r="F319" s="476">
        <f>F320</f>
        <v>0</v>
      </c>
      <c r="G319" s="449">
        <f t="shared" ref="G319:J320" si="131">G320</f>
        <v>0</v>
      </c>
      <c r="H319" s="460"/>
      <c r="I319" s="449">
        <f t="shared" si="131"/>
        <v>0</v>
      </c>
      <c r="J319" s="449">
        <f t="shared" si="131"/>
        <v>0</v>
      </c>
      <c r="K319" s="462" t="e">
        <f t="shared" si="101"/>
        <v>#DIV/0!</v>
      </c>
      <c r="L319" s="462">
        <f t="shared" si="102"/>
        <v>0</v>
      </c>
      <c r="M319" s="449">
        <f t="shared" ref="M319:M320" si="132">M320</f>
        <v>0</v>
      </c>
      <c r="N319" s="178">
        <f t="shared" si="100"/>
        <v>0</v>
      </c>
    </row>
    <row r="320" spans="1:14" ht="35.5" customHeight="1" outlineLevel="1" x14ac:dyDescent="0.3">
      <c r="A320" s="189" t="s">
        <v>19</v>
      </c>
      <c r="B320" s="392" t="s">
        <v>455</v>
      </c>
      <c r="C320" s="392" t="s">
        <v>285</v>
      </c>
      <c r="D320" s="392" t="s">
        <v>532</v>
      </c>
      <c r="E320" s="392" t="s">
        <v>20</v>
      </c>
      <c r="F320" s="476">
        <f>F321</f>
        <v>0</v>
      </c>
      <c r="G320" s="449">
        <f t="shared" si="131"/>
        <v>0</v>
      </c>
      <c r="H320" s="460"/>
      <c r="I320" s="449">
        <f t="shared" si="131"/>
        <v>0</v>
      </c>
      <c r="J320" s="449">
        <f t="shared" si="131"/>
        <v>0</v>
      </c>
      <c r="K320" s="462" t="e">
        <f t="shared" si="101"/>
        <v>#DIV/0!</v>
      </c>
      <c r="L320" s="462">
        <f t="shared" si="102"/>
        <v>0</v>
      </c>
      <c r="M320" s="449">
        <f t="shared" si="132"/>
        <v>0</v>
      </c>
      <c r="N320" s="178">
        <f t="shared" si="100"/>
        <v>0</v>
      </c>
    </row>
    <row r="321" spans="1:14" ht="41.45" customHeight="1" outlineLevel="1" x14ac:dyDescent="0.3">
      <c r="A321" s="189" t="s">
        <v>963</v>
      </c>
      <c r="B321" s="392" t="s">
        <v>455</v>
      </c>
      <c r="C321" s="392" t="s">
        <v>285</v>
      </c>
      <c r="D321" s="392" t="s">
        <v>532</v>
      </c>
      <c r="E321" s="392" t="s">
        <v>48</v>
      </c>
      <c r="F321" s="475">
        <f>7277699.21-7277699.21</f>
        <v>0</v>
      </c>
      <c r="G321" s="449">
        <f>'потребность 2023 (5)'!K329+342936.86-3102756.78</f>
        <v>0</v>
      </c>
      <c r="H321" s="460"/>
      <c r="I321" s="449">
        <v>0</v>
      </c>
      <c r="J321" s="449"/>
      <c r="K321" s="462" t="e">
        <f t="shared" si="101"/>
        <v>#DIV/0!</v>
      </c>
      <c r="L321" s="462">
        <f t="shared" si="102"/>
        <v>0</v>
      </c>
      <c r="M321" s="449"/>
      <c r="N321" s="178">
        <f t="shared" si="100"/>
        <v>0</v>
      </c>
    </row>
    <row r="322" spans="1:14" s="224" customFormat="1" ht="53.7" customHeight="1" outlineLevel="1" x14ac:dyDescent="0.3">
      <c r="A322" s="189" t="s">
        <v>295</v>
      </c>
      <c r="B322" s="392" t="s">
        <v>455</v>
      </c>
      <c r="C322" s="392" t="s">
        <v>285</v>
      </c>
      <c r="D322" s="392" t="s">
        <v>341</v>
      </c>
      <c r="E322" s="392" t="s">
        <v>6</v>
      </c>
      <c r="F322" s="476">
        <f>F323</f>
        <v>225083.49</v>
      </c>
      <c r="G322" s="449">
        <f t="shared" ref="G322:J323" si="133">G323</f>
        <v>300000</v>
      </c>
      <c r="H322" s="460">
        <v>85355.26</v>
      </c>
      <c r="I322" s="449">
        <f t="shared" si="133"/>
        <v>291829.84000000003</v>
      </c>
      <c r="J322" s="449">
        <f t="shared" si="133"/>
        <v>291829.84000000003</v>
      </c>
      <c r="K322" s="462">
        <f t="shared" si="101"/>
        <v>97.276613333333344</v>
      </c>
      <c r="L322" s="462">
        <f t="shared" si="102"/>
        <v>-8170.1599999999744</v>
      </c>
      <c r="M322" s="449">
        <f t="shared" ref="M322:M323" si="134">M323</f>
        <v>74589.210000000021</v>
      </c>
      <c r="N322" s="178">
        <f t="shared" si="100"/>
        <v>-217240.63</v>
      </c>
    </row>
    <row r="323" spans="1:14" outlineLevel="2" x14ac:dyDescent="0.3">
      <c r="A323" s="189" t="s">
        <v>19</v>
      </c>
      <c r="B323" s="392" t="s">
        <v>455</v>
      </c>
      <c r="C323" s="392" t="s">
        <v>285</v>
      </c>
      <c r="D323" s="392" t="s">
        <v>341</v>
      </c>
      <c r="E323" s="392" t="s">
        <v>20</v>
      </c>
      <c r="F323" s="476">
        <f>F324</f>
        <v>225083.49</v>
      </c>
      <c r="G323" s="449">
        <f t="shared" si="133"/>
        <v>300000</v>
      </c>
      <c r="H323" s="460">
        <v>85355.26</v>
      </c>
      <c r="I323" s="449">
        <f t="shared" si="133"/>
        <v>291829.84000000003</v>
      </c>
      <c r="J323" s="449">
        <f t="shared" si="133"/>
        <v>291829.84000000003</v>
      </c>
      <c r="K323" s="462">
        <f t="shared" si="101"/>
        <v>97.276613333333344</v>
      </c>
      <c r="L323" s="462">
        <f t="shared" si="102"/>
        <v>-8170.1599999999744</v>
      </c>
      <c r="M323" s="449">
        <f t="shared" si="134"/>
        <v>74589.210000000021</v>
      </c>
      <c r="N323" s="178">
        <f t="shared" si="100"/>
        <v>-217240.63</v>
      </c>
    </row>
    <row r="324" spans="1:14" s="224" customFormat="1" ht="59.3" customHeight="1" outlineLevel="3" x14ac:dyDescent="0.3">
      <c r="A324" s="189" t="s">
        <v>963</v>
      </c>
      <c r="B324" s="392" t="s">
        <v>455</v>
      </c>
      <c r="C324" s="392" t="s">
        <v>285</v>
      </c>
      <c r="D324" s="392" t="s">
        <v>341</v>
      </c>
      <c r="E324" s="392" t="s">
        <v>48</v>
      </c>
      <c r="F324" s="475">
        <v>225083.49</v>
      </c>
      <c r="G324" s="449">
        <f>'потребность 2023 (5)'!K332</f>
        <v>300000</v>
      </c>
      <c r="H324" s="460">
        <v>85355.26</v>
      </c>
      <c r="I324" s="449">
        <v>291829.84000000003</v>
      </c>
      <c r="J324" s="467">
        <v>291829.84000000003</v>
      </c>
      <c r="K324" s="462">
        <f t="shared" si="101"/>
        <v>97.276613333333344</v>
      </c>
      <c r="L324" s="462">
        <f t="shared" si="102"/>
        <v>-8170.1599999999744</v>
      </c>
      <c r="M324" s="467">
        <f>291829.84-217240.63</f>
        <v>74589.210000000021</v>
      </c>
      <c r="N324" s="178">
        <f t="shared" si="100"/>
        <v>-217240.63</v>
      </c>
    </row>
    <row r="325" spans="1:14" ht="27" customHeight="1" outlineLevel="3" x14ac:dyDescent="0.3">
      <c r="A325" s="233" t="s">
        <v>64</v>
      </c>
      <c r="B325" s="392" t="s">
        <v>455</v>
      </c>
      <c r="C325" s="397" t="s">
        <v>65</v>
      </c>
      <c r="D325" s="397" t="s">
        <v>126</v>
      </c>
      <c r="E325" s="397" t="s">
        <v>6</v>
      </c>
      <c r="F325" s="473">
        <f>F326</f>
        <v>554892.4</v>
      </c>
      <c r="G325" s="465">
        <f>G326</f>
        <v>515000</v>
      </c>
      <c r="H325" s="460">
        <v>9253</v>
      </c>
      <c r="I325" s="465">
        <f>I326</f>
        <v>515000</v>
      </c>
      <c r="J325" s="465">
        <f>J326</f>
        <v>515000</v>
      </c>
      <c r="K325" s="462">
        <f t="shared" si="101"/>
        <v>100</v>
      </c>
      <c r="L325" s="462">
        <f t="shared" si="102"/>
        <v>0</v>
      </c>
      <c r="M325" s="465">
        <f>M326</f>
        <v>755000</v>
      </c>
      <c r="N325" s="178">
        <f t="shared" si="100"/>
        <v>240000</v>
      </c>
    </row>
    <row r="326" spans="1:14" ht="23.3" customHeight="1" outlineLevel="3" x14ac:dyDescent="0.3">
      <c r="A326" s="189" t="s">
        <v>66</v>
      </c>
      <c r="B326" s="392" t="s">
        <v>455</v>
      </c>
      <c r="C326" s="392" t="s">
        <v>67</v>
      </c>
      <c r="D326" s="392" t="s">
        <v>126</v>
      </c>
      <c r="E326" s="392" t="s">
        <v>6</v>
      </c>
      <c r="F326" s="471">
        <f>F327+F336</f>
        <v>554892.4</v>
      </c>
      <c r="G326" s="462">
        <f>G327+G336</f>
        <v>515000</v>
      </c>
      <c r="H326" s="460">
        <v>9253</v>
      </c>
      <c r="I326" s="462">
        <f>I327+I336</f>
        <v>515000</v>
      </c>
      <c r="J326" s="462">
        <f>J327+J336</f>
        <v>515000</v>
      </c>
      <c r="K326" s="462">
        <f t="shared" si="101"/>
        <v>100</v>
      </c>
      <c r="L326" s="462">
        <f t="shared" si="102"/>
        <v>0</v>
      </c>
      <c r="M326" s="462">
        <f>M327+M336</f>
        <v>755000</v>
      </c>
      <c r="N326" s="178">
        <f t="shared" si="100"/>
        <v>240000</v>
      </c>
    </row>
    <row r="327" spans="1:14" ht="43.5" customHeight="1" outlineLevel="3" x14ac:dyDescent="0.3">
      <c r="A327" s="233" t="s">
        <v>1019</v>
      </c>
      <c r="B327" s="397" t="s">
        <v>455</v>
      </c>
      <c r="C327" s="397" t="s">
        <v>67</v>
      </c>
      <c r="D327" s="397" t="s">
        <v>135</v>
      </c>
      <c r="E327" s="397" t="s">
        <v>6</v>
      </c>
      <c r="F327" s="473">
        <f>F328+F332</f>
        <v>469992.4</v>
      </c>
      <c r="G327" s="465">
        <f>G328+G332</f>
        <v>470000</v>
      </c>
      <c r="H327" s="460">
        <v>9253</v>
      </c>
      <c r="I327" s="465">
        <f>I328+I332</f>
        <v>470000</v>
      </c>
      <c r="J327" s="465">
        <f>J328+J332</f>
        <v>470000</v>
      </c>
      <c r="K327" s="462">
        <f t="shared" si="101"/>
        <v>100</v>
      </c>
      <c r="L327" s="462">
        <f t="shared" si="102"/>
        <v>0</v>
      </c>
      <c r="M327" s="465">
        <f>M328+M332</f>
        <v>470000</v>
      </c>
      <c r="N327" s="178">
        <f t="shared" si="100"/>
        <v>0</v>
      </c>
    </row>
    <row r="328" spans="1:14" ht="62.5" customHeight="1" outlineLevel="3" x14ac:dyDescent="0.3">
      <c r="A328" s="189" t="s">
        <v>736</v>
      </c>
      <c r="B328" s="392" t="s">
        <v>455</v>
      </c>
      <c r="C328" s="392" t="s">
        <v>67</v>
      </c>
      <c r="D328" s="392" t="s">
        <v>371</v>
      </c>
      <c r="E328" s="392" t="s">
        <v>6</v>
      </c>
      <c r="F328" s="471">
        <f t="shared" ref="F328:J330" si="135">F329</f>
        <v>439994.4</v>
      </c>
      <c r="G328" s="462">
        <f t="shared" si="135"/>
        <v>440000</v>
      </c>
      <c r="H328" s="460">
        <v>0</v>
      </c>
      <c r="I328" s="462">
        <f t="shared" si="135"/>
        <v>440000</v>
      </c>
      <c r="J328" s="462">
        <f t="shared" si="135"/>
        <v>440000</v>
      </c>
      <c r="K328" s="462">
        <f t="shared" si="101"/>
        <v>100</v>
      </c>
      <c r="L328" s="462">
        <f t="shared" si="102"/>
        <v>0</v>
      </c>
      <c r="M328" s="462">
        <f t="shared" ref="M328:M330" si="136">M329</f>
        <v>440000</v>
      </c>
      <c r="N328" s="178">
        <f t="shared" ref="N328:N391" si="137">M328-J328</f>
        <v>0</v>
      </c>
    </row>
    <row r="329" spans="1:14" ht="35.5" customHeight="1" outlineLevel="7" x14ac:dyDescent="0.3">
      <c r="A329" s="189" t="s">
        <v>240</v>
      </c>
      <c r="B329" s="392" t="s">
        <v>455</v>
      </c>
      <c r="C329" s="392" t="s">
        <v>67</v>
      </c>
      <c r="D329" s="392" t="s">
        <v>344</v>
      </c>
      <c r="E329" s="392" t="s">
        <v>6</v>
      </c>
      <c r="F329" s="471">
        <f t="shared" si="135"/>
        <v>439994.4</v>
      </c>
      <c r="G329" s="462">
        <f t="shared" si="135"/>
        <v>440000</v>
      </c>
      <c r="H329" s="460">
        <v>0</v>
      </c>
      <c r="I329" s="462">
        <f t="shared" si="135"/>
        <v>440000</v>
      </c>
      <c r="J329" s="462">
        <f t="shared" si="135"/>
        <v>440000</v>
      </c>
      <c r="K329" s="462">
        <f t="shared" ref="K329:K392" si="138">J329/G329*100</f>
        <v>100</v>
      </c>
      <c r="L329" s="462">
        <f t="shared" ref="L329:L392" si="139">J329-G329</f>
        <v>0</v>
      </c>
      <c r="M329" s="462">
        <f t="shared" si="136"/>
        <v>440000</v>
      </c>
      <c r="N329" s="178">
        <f t="shared" si="137"/>
        <v>0</v>
      </c>
    </row>
    <row r="330" spans="1:14" ht="25.5" customHeight="1" outlineLevel="5" x14ac:dyDescent="0.3">
      <c r="A330" s="189" t="s">
        <v>15</v>
      </c>
      <c r="B330" s="392" t="s">
        <v>455</v>
      </c>
      <c r="C330" s="392" t="s">
        <v>67</v>
      </c>
      <c r="D330" s="392" t="s">
        <v>344</v>
      </c>
      <c r="E330" s="392" t="s">
        <v>16</v>
      </c>
      <c r="F330" s="471">
        <f t="shared" si="135"/>
        <v>439994.4</v>
      </c>
      <c r="G330" s="462">
        <f t="shared" si="135"/>
        <v>440000</v>
      </c>
      <c r="H330" s="460">
        <v>0</v>
      </c>
      <c r="I330" s="462">
        <f t="shared" si="135"/>
        <v>440000</v>
      </c>
      <c r="J330" s="462">
        <f t="shared" si="135"/>
        <v>440000</v>
      </c>
      <c r="K330" s="462">
        <f t="shared" si="138"/>
        <v>100</v>
      </c>
      <c r="L330" s="462">
        <f t="shared" si="139"/>
        <v>0</v>
      </c>
      <c r="M330" s="462">
        <f t="shared" si="136"/>
        <v>440000</v>
      </c>
      <c r="N330" s="178">
        <f t="shared" si="137"/>
        <v>0</v>
      </c>
    </row>
    <row r="331" spans="1:14" ht="50.95" outlineLevel="6" x14ac:dyDescent="0.3">
      <c r="A331" s="189" t="s">
        <v>17</v>
      </c>
      <c r="B331" s="392" t="s">
        <v>455</v>
      </c>
      <c r="C331" s="392" t="s">
        <v>67</v>
      </c>
      <c r="D331" s="392" t="s">
        <v>344</v>
      </c>
      <c r="E331" s="392" t="s">
        <v>18</v>
      </c>
      <c r="F331" s="475">
        <v>439994.4</v>
      </c>
      <c r="G331" s="462">
        <f>'потребность 2023 (5)'!K339</f>
        <v>440000</v>
      </c>
      <c r="H331" s="460">
        <v>0</v>
      </c>
      <c r="I331" s="462">
        <v>440000</v>
      </c>
      <c r="J331" s="449">
        <v>440000</v>
      </c>
      <c r="K331" s="462">
        <f t="shared" si="138"/>
        <v>100</v>
      </c>
      <c r="L331" s="462">
        <f t="shared" si="139"/>
        <v>0</v>
      </c>
      <c r="M331" s="449">
        <v>440000</v>
      </c>
      <c r="N331" s="178">
        <f t="shared" si="137"/>
        <v>0</v>
      </c>
    </row>
    <row r="332" spans="1:14" ht="44.5" customHeight="1" outlineLevel="7" x14ac:dyDescent="0.3">
      <c r="A332" s="189" t="s">
        <v>345</v>
      </c>
      <c r="B332" s="392" t="s">
        <v>455</v>
      </c>
      <c r="C332" s="392" t="s">
        <v>67</v>
      </c>
      <c r="D332" s="392" t="s">
        <v>242</v>
      </c>
      <c r="E332" s="392" t="s">
        <v>6</v>
      </c>
      <c r="F332" s="476">
        <f t="shared" ref="F332:J334" si="140">F333</f>
        <v>29998</v>
      </c>
      <c r="G332" s="449">
        <f t="shared" si="140"/>
        <v>30000</v>
      </c>
      <c r="H332" s="460">
        <v>9253</v>
      </c>
      <c r="I332" s="449">
        <f t="shared" si="140"/>
        <v>30000</v>
      </c>
      <c r="J332" s="449">
        <f t="shared" si="140"/>
        <v>30000</v>
      </c>
      <c r="K332" s="462">
        <f t="shared" si="138"/>
        <v>100</v>
      </c>
      <c r="L332" s="462">
        <f t="shared" si="139"/>
        <v>0</v>
      </c>
      <c r="M332" s="449">
        <f t="shared" ref="M332:M334" si="141">M333</f>
        <v>30000</v>
      </c>
      <c r="N332" s="178">
        <f t="shared" si="137"/>
        <v>0</v>
      </c>
    </row>
    <row r="333" spans="1:14" s="224" customFormat="1" ht="27" customHeight="1" outlineLevel="3" x14ac:dyDescent="0.3">
      <c r="A333" s="189" t="s">
        <v>68</v>
      </c>
      <c r="B333" s="392" t="s">
        <v>455</v>
      </c>
      <c r="C333" s="392" t="s">
        <v>67</v>
      </c>
      <c r="D333" s="392" t="s">
        <v>241</v>
      </c>
      <c r="E333" s="392" t="s">
        <v>6</v>
      </c>
      <c r="F333" s="471">
        <f t="shared" si="140"/>
        <v>29998</v>
      </c>
      <c r="G333" s="462">
        <f t="shared" si="140"/>
        <v>30000</v>
      </c>
      <c r="H333" s="460">
        <v>9253</v>
      </c>
      <c r="I333" s="462">
        <f t="shared" si="140"/>
        <v>30000</v>
      </c>
      <c r="J333" s="462">
        <f t="shared" si="140"/>
        <v>30000</v>
      </c>
      <c r="K333" s="462">
        <f t="shared" si="138"/>
        <v>100</v>
      </c>
      <c r="L333" s="462">
        <f t="shared" si="139"/>
        <v>0</v>
      </c>
      <c r="M333" s="462">
        <f t="shared" si="141"/>
        <v>30000</v>
      </c>
      <c r="N333" s="178">
        <f t="shared" si="137"/>
        <v>0</v>
      </c>
    </row>
    <row r="334" spans="1:14" ht="34" outlineLevel="5" x14ac:dyDescent="0.3">
      <c r="A334" s="189" t="s">
        <v>15</v>
      </c>
      <c r="B334" s="392" t="s">
        <v>455</v>
      </c>
      <c r="C334" s="392" t="s">
        <v>67</v>
      </c>
      <c r="D334" s="392" t="s">
        <v>241</v>
      </c>
      <c r="E334" s="392" t="s">
        <v>16</v>
      </c>
      <c r="F334" s="471">
        <f t="shared" si="140"/>
        <v>29998</v>
      </c>
      <c r="G334" s="462">
        <f t="shared" si="140"/>
        <v>30000</v>
      </c>
      <c r="H334" s="460">
        <v>9253</v>
      </c>
      <c r="I334" s="462">
        <f t="shared" si="140"/>
        <v>30000</v>
      </c>
      <c r="J334" s="462">
        <f t="shared" si="140"/>
        <v>30000</v>
      </c>
      <c r="K334" s="462">
        <f t="shared" si="138"/>
        <v>100</v>
      </c>
      <c r="L334" s="462">
        <f t="shared" si="139"/>
        <v>0</v>
      </c>
      <c r="M334" s="462">
        <f t="shared" si="141"/>
        <v>30000</v>
      </c>
      <c r="N334" s="178">
        <f t="shared" si="137"/>
        <v>0</v>
      </c>
    </row>
    <row r="335" spans="1:14" ht="50.95" outlineLevel="5" x14ac:dyDescent="0.3">
      <c r="A335" s="189" t="s">
        <v>17</v>
      </c>
      <c r="B335" s="392" t="s">
        <v>455</v>
      </c>
      <c r="C335" s="392" t="s">
        <v>67</v>
      </c>
      <c r="D335" s="392" t="s">
        <v>241</v>
      </c>
      <c r="E335" s="392" t="s">
        <v>18</v>
      </c>
      <c r="F335" s="475">
        <v>29998</v>
      </c>
      <c r="G335" s="462">
        <f>'потребность 2023 (5)'!K343</f>
        <v>30000</v>
      </c>
      <c r="H335" s="460">
        <v>9253</v>
      </c>
      <c r="I335" s="462">
        <v>30000</v>
      </c>
      <c r="J335" s="449">
        <v>30000</v>
      </c>
      <c r="K335" s="462">
        <f t="shared" si="138"/>
        <v>100</v>
      </c>
      <c r="L335" s="462">
        <f t="shared" si="139"/>
        <v>0</v>
      </c>
      <c r="M335" s="449">
        <v>30000</v>
      </c>
      <c r="N335" s="178">
        <f t="shared" si="137"/>
        <v>0</v>
      </c>
    </row>
    <row r="336" spans="1:14" ht="84.9" outlineLevel="6" x14ac:dyDescent="0.3">
      <c r="A336" s="233" t="s">
        <v>1034</v>
      </c>
      <c r="B336" s="397" t="s">
        <v>455</v>
      </c>
      <c r="C336" s="397" t="s">
        <v>67</v>
      </c>
      <c r="D336" s="397" t="s">
        <v>346</v>
      </c>
      <c r="E336" s="397" t="s">
        <v>6</v>
      </c>
      <c r="F336" s="473">
        <f>F337</f>
        <v>84900</v>
      </c>
      <c r="G336" s="465">
        <f>G337</f>
        <v>45000</v>
      </c>
      <c r="H336" s="460">
        <v>0</v>
      </c>
      <c r="I336" s="465">
        <f>I337</f>
        <v>45000</v>
      </c>
      <c r="J336" s="465">
        <f>J337</f>
        <v>45000</v>
      </c>
      <c r="K336" s="462">
        <f t="shared" si="138"/>
        <v>100</v>
      </c>
      <c r="L336" s="462">
        <f t="shared" si="139"/>
        <v>0</v>
      </c>
      <c r="M336" s="465">
        <f>M337</f>
        <v>285000</v>
      </c>
      <c r="N336" s="178">
        <f t="shared" si="137"/>
        <v>240000</v>
      </c>
    </row>
    <row r="337" spans="1:14" ht="41.3" customHeight="1" outlineLevel="7" x14ac:dyDescent="0.3">
      <c r="A337" s="189" t="s">
        <v>347</v>
      </c>
      <c r="B337" s="392" t="s">
        <v>455</v>
      </c>
      <c r="C337" s="392" t="s">
        <v>67</v>
      </c>
      <c r="D337" s="392" t="s">
        <v>348</v>
      </c>
      <c r="E337" s="392" t="s">
        <v>6</v>
      </c>
      <c r="F337" s="471">
        <f>F339</f>
        <v>84900</v>
      </c>
      <c r="G337" s="462">
        <f>G339</f>
        <v>45000</v>
      </c>
      <c r="H337" s="460">
        <v>0</v>
      </c>
      <c r="I337" s="462">
        <f>I339</f>
        <v>45000</v>
      </c>
      <c r="J337" s="462">
        <f>J339</f>
        <v>45000</v>
      </c>
      <c r="K337" s="462">
        <f t="shared" si="138"/>
        <v>100</v>
      </c>
      <c r="L337" s="462">
        <f t="shared" si="139"/>
        <v>0</v>
      </c>
      <c r="M337" s="462">
        <f>M339</f>
        <v>285000</v>
      </c>
      <c r="N337" s="178">
        <f t="shared" si="137"/>
        <v>240000</v>
      </c>
    </row>
    <row r="338" spans="1:14" s="224" customFormat="1" ht="34" outlineLevel="1" x14ac:dyDescent="0.3">
      <c r="A338" s="189" t="s">
        <v>349</v>
      </c>
      <c r="B338" s="392" t="s">
        <v>455</v>
      </c>
      <c r="C338" s="392" t="s">
        <v>67</v>
      </c>
      <c r="D338" s="392" t="s">
        <v>350</v>
      </c>
      <c r="E338" s="392" t="s">
        <v>6</v>
      </c>
      <c r="F338" s="471">
        <f>F339</f>
        <v>84900</v>
      </c>
      <c r="G338" s="462">
        <f t="shared" ref="G338:J339" si="142">G339</f>
        <v>45000</v>
      </c>
      <c r="H338" s="460">
        <v>0</v>
      </c>
      <c r="I338" s="462">
        <f t="shared" si="142"/>
        <v>45000</v>
      </c>
      <c r="J338" s="462">
        <f t="shared" si="142"/>
        <v>45000</v>
      </c>
      <c r="K338" s="462">
        <f t="shared" si="138"/>
        <v>100</v>
      </c>
      <c r="L338" s="462">
        <f t="shared" si="139"/>
        <v>0</v>
      </c>
      <c r="M338" s="462">
        <f t="shared" ref="M338:M339" si="143">M339</f>
        <v>285000</v>
      </c>
      <c r="N338" s="178">
        <f t="shared" si="137"/>
        <v>240000</v>
      </c>
    </row>
    <row r="339" spans="1:14" ht="34" outlineLevel="2" x14ac:dyDescent="0.3">
      <c r="A339" s="189" t="s">
        <v>15</v>
      </c>
      <c r="B339" s="392" t="s">
        <v>455</v>
      </c>
      <c r="C339" s="392" t="s">
        <v>67</v>
      </c>
      <c r="D339" s="392" t="s">
        <v>350</v>
      </c>
      <c r="E339" s="392" t="s">
        <v>16</v>
      </c>
      <c r="F339" s="471">
        <f>F340</f>
        <v>84900</v>
      </c>
      <c r="G339" s="462">
        <f t="shared" si="142"/>
        <v>45000</v>
      </c>
      <c r="H339" s="460">
        <v>0</v>
      </c>
      <c r="I339" s="462">
        <f t="shared" si="142"/>
        <v>45000</v>
      </c>
      <c r="J339" s="462">
        <f t="shared" si="142"/>
        <v>45000</v>
      </c>
      <c r="K339" s="462">
        <f t="shared" si="138"/>
        <v>100</v>
      </c>
      <c r="L339" s="462">
        <f t="shared" si="139"/>
        <v>0</v>
      </c>
      <c r="M339" s="462">
        <f t="shared" si="143"/>
        <v>285000</v>
      </c>
      <c r="N339" s="178">
        <f t="shared" si="137"/>
        <v>240000</v>
      </c>
    </row>
    <row r="340" spans="1:14" s="224" customFormat="1" ht="50.95" outlineLevel="3" x14ac:dyDescent="0.3">
      <c r="A340" s="189" t="s">
        <v>17</v>
      </c>
      <c r="B340" s="392" t="s">
        <v>455</v>
      </c>
      <c r="C340" s="392" t="s">
        <v>67</v>
      </c>
      <c r="D340" s="392" t="s">
        <v>350</v>
      </c>
      <c r="E340" s="392" t="s">
        <v>18</v>
      </c>
      <c r="F340" s="475">
        <v>84900</v>
      </c>
      <c r="G340" s="449">
        <f>'потребность 2023 (5)'!K348</f>
        <v>45000</v>
      </c>
      <c r="H340" s="460">
        <v>0</v>
      </c>
      <c r="I340" s="449">
        <v>45000</v>
      </c>
      <c r="J340" s="467">
        <v>45000</v>
      </c>
      <c r="K340" s="462">
        <f t="shared" si="138"/>
        <v>100</v>
      </c>
      <c r="L340" s="462">
        <f t="shared" si="139"/>
        <v>0</v>
      </c>
      <c r="M340" s="467">
        <f>45000+240000</f>
        <v>285000</v>
      </c>
      <c r="N340" s="178">
        <f t="shared" si="137"/>
        <v>240000</v>
      </c>
    </row>
    <row r="341" spans="1:14" outlineLevel="3" x14ac:dyDescent="0.3">
      <c r="A341" s="233" t="s">
        <v>69</v>
      </c>
      <c r="B341" s="397" t="s">
        <v>455</v>
      </c>
      <c r="C341" s="397" t="s">
        <v>70</v>
      </c>
      <c r="D341" s="397" t="s">
        <v>126</v>
      </c>
      <c r="E341" s="397" t="s">
        <v>6</v>
      </c>
      <c r="F341" s="473">
        <f t="shared" ref="F341:J346" si="144">F342</f>
        <v>19831560.850000001</v>
      </c>
      <c r="G341" s="465">
        <f t="shared" si="144"/>
        <v>21909752.719999999</v>
      </c>
      <c r="H341" s="460">
        <v>22332738.170000002</v>
      </c>
      <c r="I341" s="465">
        <f t="shared" si="144"/>
        <v>20237835.43</v>
      </c>
      <c r="J341" s="465">
        <f t="shared" si="144"/>
        <v>23773667.030000001</v>
      </c>
      <c r="K341" s="462">
        <f t="shared" si="138"/>
        <v>108.50723572201049</v>
      </c>
      <c r="L341" s="462">
        <f t="shared" si="139"/>
        <v>1863914.3100000024</v>
      </c>
      <c r="M341" s="465">
        <f t="shared" ref="M341:M346" si="145">M342</f>
        <v>23376667.030000001</v>
      </c>
      <c r="N341" s="178">
        <f t="shared" si="137"/>
        <v>-397000</v>
      </c>
    </row>
    <row r="342" spans="1:14" outlineLevel="5" x14ac:dyDescent="0.3">
      <c r="A342" s="189" t="s">
        <v>251</v>
      </c>
      <c r="B342" s="392" t="s">
        <v>455</v>
      </c>
      <c r="C342" s="392" t="s">
        <v>250</v>
      </c>
      <c r="D342" s="392" t="s">
        <v>126</v>
      </c>
      <c r="E342" s="392" t="s">
        <v>6</v>
      </c>
      <c r="F342" s="471">
        <f t="shared" si="144"/>
        <v>19831560.850000001</v>
      </c>
      <c r="G342" s="462">
        <f t="shared" si="144"/>
        <v>21909752.719999999</v>
      </c>
      <c r="H342" s="460">
        <v>22332738.170000002</v>
      </c>
      <c r="I342" s="462">
        <f t="shared" si="144"/>
        <v>20237835.43</v>
      </c>
      <c r="J342" s="462">
        <f t="shared" si="144"/>
        <v>23773667.030000001</v>
      </c>
      <c r="K342" s="462">
        <f t="shared" si="138"/>
        <v>108.50723572201049</v>
      </c>
      <c r="L342" s="462">
        <f t="shared" si="139"/>
        <v>1863914.3100000024</v>
      </c>
      <c r="M342" s="462">
        <f t="shared" si="145"/>
        <v>23376667.030000001</v>
      </c>
      <c r="N342" s="178">
        <f t="shared" si="137"/>
        <v>-397000</v>
      </c>
    </row>
    <row r="343" spans="1:14" ht="50.95" outlineLevel="6" x14ac:dyDescent="0.3">
      <c r="A343" s="233" t="s">
        <v>1035</v>
      </c>
      <c r="B343" s="397" t="s">
        <v>455</v>
      </c>
      <c r="C343" s="397" t="s">
        <v>250</v>
      </c>
      <c r="D343" s="397" t="s">
        <v>136</v>
      </c>
      <c r="E343" s="397" t="s">
        <v>6</v>
      </c>
      <c r="F343" s="473">
        <f>F344</f>
        <v>19831560.850000001</v>
      </c>
      <c r="G343" s="465">
        <f>G344+G351</f>
        <v>21909752.719999999</v>
      </c>
      <c r="H343" s="460">
        <v>22332738.170000002</v>
      </c>
      <c r="I343" s="465">
        <f>I344+I351</f>
        <v>20237835.43</v>
      </c>
      <c r="J343" s="465">
        <f>J344+J351</f>
        <v>23773667.030000001</v>
      </c>
      <c r="K343" s="462">
        <f t="shared" si="138"/>
        <v>108.50723572201049</v>
      </c>
      <c r="L343" s="462">
        <f t="shared" si="139"/>
        <v>1863914.3100000024</v>
      </c>
      <c r="M343" s="465">
        <f>M344+M351</f>
        <v>23376667.030000001</v>
      </c>
      <c r="N343" s="178">
        <f t="shared" si="137"/>
        <v>-397000</v>
      </c>
    </row>
    <row r="344" spans="1:14" ht="50.95" outlineLevel="7" x14ac:dyDescent="0.3">
      <c r="A344" s="188" t="s">
        <v>351</v>
      </c>
      <c r="B344" s="392" t="s">
        <v>455</v>
      </c>
      <c r="C344" s="392" t="s">
        <v>250</v>
      </c>
      <c r="D344" s="392" t="s">
        <v>225</v>
      </c>
      <c r="E344" s="392" t="s">
        <v>6</v>
      </c>
      <c r="F344" s="471">
        <f>F345+F348</f>
        <v>19831560.850000001</v>
      </c>
      <c r="G344" s="462">
        <f>G345+G348</f>
        <v>21888161.349999998</v>
      </c>
      <c r="H344" s="460">
        <v>15837013.15</v>
      </c>
      <c r="I344" s="462">
        <f>I345+I348</f>
        <v>20237835.43</v>
      </c>
      <c r="J344" s="462">
        <f>J345+J348</f>
        <v>23773667.030000001</v>
      </c>
      <c r="K344" s="462">
        <f t="shared" si="138"/>
        <v>108.61427165968878</v>
      </c>
      <c r="L344" s="462">
        <f t="shared" si="139"/>
        <v>1885505.6800000034</v>
      </c>
      <c r="M344" s="462">
        <f>M345+M348</f>
        <v>23376667.030000001</v>
      </c>
      <c r="N344" s="178">
        <f t="shared" si="137"/>
        <v>-397000</v>
      </c>
    </row>
    <row r="345" spans="1:14" ht="67.95" outlineLevel="7" x14ac:dyDescent="0.3">
      <c r="A345" s="189" t="s">
        <v>73</v>
      </c>
      <c r="B345" s="392" t="s">
        <v>455</v>
      </c>
      <c r="C345" s="392" t="s">
        <v>250</v>
      </c>
      <c r="D345" s="392" t="s">
        <v>137</v>
      </c>
      <c r="E345" s="392" t="s">
        <v>6</v>
      </c>
      <c r="F345" s="471">
        <f t="shared" si="144"/>
        <v>18639560.850000001</v>
      </c>
      <c r="G345" s="462">
        <f t="shared" si="144"/>
        <v>20985466.739999998</v>
      </c>
      <c r="H345" s="460">
        <v>15691220.609999999</v>
      </c>
      <c r="I345" s="462">
        <f t="shared" si="144"/>
        <v>20237835.43</v>
      </c>
      <c r="J345" s="462">
        <f t="shared" si="144"/>
        <v>23773667.030000001</v>
      </c>
      <c r="K345" s="462">
        <f t="shared" si="138"/>
        <v>113.28633918198953</v>
      </c>
      <c r="L345" s="462">
        <f t="shared" si="139"/>
        <v>2788200.2900000028</v>
      </c>
      <c r="M345" s="462">
        <f t="shared" si="145"/>
        <v>23376667.030000001</v>
      </c>
      <c r="N345" s="178">
        <f t="shared" si="137"/>
        <v>-397000</v>
      </c>
    </row>
    <row r="346" spans="1:14" ht="50.95" outlineLevel="7" x14ac:dyDescent="0.3">
      <c r="A346" s="189" t="s">
        <v>37</v>
      </c>
      <c r="B346" s="392" t="s">
        <v>455</v>
      </c>
      <c r="C346" s="392" t="s">
        <v>250</v>
      </c>
      <c r="D346" s="392" t="s">
        <v>137</v>
      </c>
      <c r="E346" s="392" t="s">
        <v>38</v>
      </c>
      <c r="F346" s="471">
        <f t="shared" si="144"/>
        <v>18639560.850000001</v>
      </c>
      <c r="G346" s="462">
        <f t="shared" si="144"/>
        <v>20985466.739999998</v>
      </c>
      <c r="H346" s="460">
        <v>15691220.609999999</v>
      </c>
      <c r="I346" s="462">
        <f t="shared" si="144"/>
        <v>20237835.43</v>
      </c>
      <c r="J346" s="462">
        <f t="shared" si="144"/>
        <v>23773667.030000001</v>
      </c>
      <c r="K346" s="462">
        <f t="shared" si="138"/>
        <v>113.28633918198953</v>
      </c>
      <c r="L346" s="462">
        <f t="shared" si="139"/>
        <v>2788200.2900000028</v>
      </c>
      <c r="M346" s="462">
        <f t="shared" si="145"/>
        <v>23376667.030000001</v>
      </c>
      <c r="N346" s="178">
        <f t="shared" si="137"/>
        <v>-397000</v>
      </c>
    </row>
    <row r="347" spans="1:14" outlineLevel="7" x14ac:dyDescent="0.3">
      <c r="A347" s="188" t="s">
        <v>74</v>
      </c>
      <c r="B347" s="392" t="s">
        <v>455</v>
      </c>
      <c r="C347" s="392" t="s">
        <v>250</v>
      </c>
      <c r="D347" s="392" t="s">
        <v>137</v>
      </c>
      <c r="E347" s="392" t="s">
        <v>75</v>
      </c>
      <c r="F347" s="475">
        <v>18639560.850000001</v>
      </c>
      <c r="G347" s="462">
        <f>'потребность 2023 (5)'!K355+1158445.27</f>
        <v>20985466.739999998</v>
      </c>
      <c r="H347" s="460">
        <v>15691220.609999999</v>
      </c>
      <c r="I347" s="462">
        <v>20237835.43</v>
      </c>
      <c r="J347" s="449">
        <v>23773667.030000001</v>
      </c>
      <c r="K347" s="462">
        <f t="shared" si="138"/>
        <v>113.28633918198953</v>
      </c>
      <c r="L347" s="462">
        <f t="shared" si="139"/>
        <v>2788200.2900000028</v>
      </c>
      <c r="M347" s="449">
        <f>23773667.03-397000</f>
        <v>23376667.030000001</v>
      </c>
      <c r="N347" s="178">
        <f t="shared" si="137"/>
        <v>-397000</v>
      </c>
    </row>
    <row r="348" spans="1:14" ht="90.35" customHeight="1" outlineLevel="2" x14ac:dyDescent="0.3">
      <c r="A348" s="189" t="s">
        <v>1048</v>
      </c>
      <c r="B348" s="392" t="s">
        <v>455</v>
      </c>
      <c r="C348" s="392" t="s">
        <v>250</v>
      </c>
      <c r="D348" s="245" t="s">
        <v>884</v>
      </c>
      <c r="E348" s="392" t="s">
        <v>6</v>
      </c>
      <c r="F348" s="471">
        <f>F349</f>
        <v>1192000</v>
      </c>
      <c r="G348" s="462">
        <f t="shared" ref="G348:J349" si="146">G349</f>
        <v>902694.61</v>
      </c>
      <c r="H348" s="460">
        <v>145792.54</v>
      </c>
      <c r="I348" s="462">
        <f t="shared" si="146"/>
        <v>0</v>
      </c>
      <c r="J348" s="462">
        <f t="shared" si="146"/>
        <v>0</v>
      </c>
      <c r="K348" s="462">
        <f t="shared" si="138"/>
        <v>0</v>
      </c>
      <c r="L348" s="462">
        <f t="shared" si="139"/>
        <v>-902694.61</v>
      </c>
      <c r="M348" s="462">
        <f t="shared" ref="M348:M349" si="147">M349</f>
        <v>0</v>
      </c>
      <c r="N348" s="178">
        <f t="shared" si="137"/>
        <v>0</v>
      </c>
    </row>
    <row r="349" spans="1:14" ht="54.35" customHeight="1" outlineLevel="2" x14ac:dyDescent="0.3">
      <c r="A349" s="189" t="s">
        <v>37</v>
      </c>
      <c r="B349" s="392" t="s">
        <v>455</v>
      </c>
      <c r="C349" s="392" t="s">
        <v>250</v>
      </c>
      <c r="D349" s="245" t="s">
        <v>884</v>
      </c>
      <c r="E349" s="392" t="s">
        <v>38</v>
      </c>
      <c r="F349" s="471">
        <f>F350</f>
        <v>1192000</v>
      </c>
      <c r="G349" s="462">
        <f t="shared" si="146"/>
        <v>902694.61</v>
      </c>
      <c r="H349" s="460">
        <v>145792.54</v>
      </c>
      <c r="I349" s="462">
        <f t="shared" si="146"/>
        <v>0</v>
      </c>
      <c r="J349" s="462">
        <f t="shared" si="146"/>
        <v>0</v>
      </c>
      <c r="K349" s="462">
        <f t="shared" si="138"/>
        <v>0</v>
      </c>
      <c r="L349" s="462">
        <f t="shared" si="139"/>
        <v>-902694.61</v>
      </c>
      <c r="M349" s="462">
        <f t="shared" si="147"/>
        <v>0</v>
      </c>
      <c r="N349" s="178">
        <f t="shared" si="137"/>
        <v>0</v>
      </c>
    </row>
    <row r="350" spans="1:14" ht="29.25" customHeight="1" outlineLevel="2" x14ac:dyDescent="0.3">
      <c r="A350" s="189" t="s">
        <v>74</v>
      </c>
      <c r="B350" s="392" t="s">
        <v>455</v>
      </c>
      <c r="C350" s="392" t="s">
        <v>250</v>
      </c>
      <c r="D350" s="245" t="s">
        <v>884</v>
      </c>
      <c r="E350" s="392" t="s">
        <v>75</v>
      </c>
      <c r="F350" s="475">
        <v>1192000</v>
      </c>
      <c r="G350" s="462">
        <f>117331.46+85363.15+700000</f>
        <v>902694.61</v>
      </c>
      <c r="H350" s="460">
        <v>145792.54</v>
      </c>
      <c r="I350" s="462">
        <v>0</v>
      </c>
      <c r="J350" s="449">
        <v>0</v>
      </c>
      <c r="K350" s="462">
        <f t="shared" si="138"/>
        <v>0</v>
      </c>
      <c r="L350" s="462">
        <f t="shared" si="139"/>
        <v>-902694.61</v>
      </c>
      <c r="M350" s="449">
        <v>0</v>
      </c>
      <c r="N350" s="178">
        <f t="shared" si="137"/>
        <v>0</v>
      </c>
    </row>
    <row r="351" spans="1:14" s="224" customFormat="1" outlineLevel="3" x14ac:dyDescent="0.3">
      <c r="A351" s="233" t="s">
        <v>885</v>
      </c>
      <c r="B351" s="397" t="s">
        <v>455</v>
      </c>
      <c r="C351" s="397" t="s">
        <v>250</v>
      </c>
      <c r="D351" s="397" t="s">
        <v>542</v>
      </c>
      <c r="E351" s="397" t="s">
        <v>6</v>
      </c>
      <c r="F351" s="465" t="s">
        <v>838</v>
      </c>
      <c r="G351" s="462">
        <f>G352+G355</f>
        <v>21591.370000000003</v>
      </c>
      <c r="H351" s="460"/>
      <c r="I351" s="462">
        <f>I352+I355</f>
        <v>0</v>
      </c>
      <c r="J351" s="462">
        <f>J352+J355</f>
        <v>0</v>
      </c>
      <c r="K351" s="462">
        <f t="shared" si="138"/>
        <v>0</v>
      </c>
      <c r="L351" s="462">
        <f t="shared" si="139"/>
        <v>-21591.370000000003</v>
      </c>
      <c r="M351" s="462">
        <f>M352+M355</f>
        <v>0</v>
      </c>
      <c r="N351" s="178">
        <f t="shared" si="137"/>
        <v>0</v>
      </c>
    </row>
    <row r="352" spans="1:14" ht="66.599999999999994" customHeight="1" outlineLevel="3" x14ac:dyDescent="0.3">
      <c r="A352" s="189" t="s">
        <v>845</v>
      </c>
      <c r="B352" s="298" t="s">
        <v>455</v>
      </c>
      <c r="C352" s="298" t="s">
        <v>250</v>
      </c>
      <c r="D352" s="298" t="s">
        <v>543</v>
      </c>
      <c r="E352" s="392" t="s">
        <v>6</v>
      </c>
      <c r="F352" s="462" t="s">
        <v>838</v>
      </c>
      <c r="G352" s="462">
        <f t="shared" ref="G352:J353" si="148">G353</f>
        <v>9010.68</v>
      </c>
      <c r="H352" s="460"/>
      <c r="I352" s="462">
        <f t="shared" si="148"/>
        <v>0</v>
      </c>
      <c r="J352" s="462">
        <f t="shared" si="148"/>
        <v>0</v>
      </c>
      <c r="K352" s="462">
        <f t="shared" si="138"/>
        <v>0</v>
      </c>
      <c r="L352" s="462">
        <f t="shared" si="139"/>
        <v>-9010.68</v>
      </c>
      <c r="M352" s="462">
        <f t="shared" ref="M352:M353" si="149">M353</f>
        <v>0</v>
      </c>
      <c r="N352" s="178">
        <f t="shared" si="137"/>
        <v>0</v>
      </c>
    </row>
    <row r="353" spans="1:14" ht="50.95" outlineLevel="7" x14ac:dyDescent="0.3">
      <c r="A353" s="189" t="s">
        <v>37</v>
      </c>
      <c r="B353" s="298" t="s">
        <v>455</v>
      </c>
      <c r="C353" s="298" t="s">
        <v>250</v>
      </c>
      <c r="D353" s="298" t="s">
        <v>543</v>
      </c>
      <c r="E353" s="392" t="s">
        <v>38</v>
      </c>
      <c r="F353" s="462" t="s">
        <v>838</v>
      </c>
      <c r="G353" s="462">
        <f t="shared" si="148"/>
        <v>9010.68</v>
      </c>
      <c r="H353" s="460"/>
      <c r="I353" s="462">
        <f t="shared" si="148"/>
        <v>0</v>
      </c>
      <c r="J353" s="462">
        <f t="shared" si="148"/>
        <v>0</v>
      </c>
      <c r="K353" s="462">
        <f t="shared" si="138"/>
        <v>0</v>
      </c>
      <c r="L353" s="462">
        <f t="shared" si="139"/>
        <v>-9010.68</v>
      </c>
      <c r="M353" s="462">
        <f t="shared" si="149"/>
        <v>0</v>
      </c>
      <c r="N353" s="178">
        <f t="shared" si="137"/>
        <v>0</v>
      </c>
    </row>
    <row r="354" spans="1:14" outlineLevel="7" x14ac:dyDescent="0.3">
      <c r="A354" s="189" t="s">
        <v>74</v>
      </c>
      <c r="B354" s="298" t="s">
        <v>455</v>
      </c>
      <c r="C354" s="298" t="s">
        <v>250</v>
      </c>
      <c r="D354" s="298" t="s">
        <v>543</v>
      </c>
      <c r="E354" s="392" t="s">
        <v>75</v>
      </c>
      <c r="F354" s="462" t="s">
        <v>838</v>
      </c>
      <c r="G354" s="462">
        <v>9010.68</v>
      </c>
      <c r="H354" s="460"/>
      <c r="I354" s="462">
        <v>0</v>
      </c>
      <c r="J354" s="449"/>
      <c r="K354" s="462">
        <f t="shared" si="138"/>
        <v>0</v>
      </c>
      <c r="L354" s="462">
        <f t="shared" si="139"/>
        <v>-9010.68</v>
      </c>
      <c r="M354" s="449"/>
      <c r="N354" s="178">
        <f t="shared" si="137"/>
        <v>0</v>
      </c>
    </row>
    <row r="355" spans="1:14" ht="56.4" customHeight="1" outlineLevel="7" x14ac:dyDescent="0.3">
      <c r="A355" s="189" t="s">
        <v>973</v>
      </c>
      <c r="B355" s="298" t="s">
        <v>455</v>
      </c>
      <c r="C355" s="298" t="s">
        <v>250</v>
      </c>
      <c r="D355" s="298" t="s">
        <v>974</v>
      </c>
      <c r="E355" s="392" t="s">
        <v>6</v>
      </c>
      <c r="F355" s="462" t="s">
        <v>838</v>
      </c>
      <c r="G355" s="462">
        <f t="shared" ref="G355:J356" si="150">G356</f>
        <v>12580.69</v>
      </c>
      <c r="H355" s="460"/>
      <c r="I355" s="462">
        <f t="shared" si="150"/>
        <v>0</v>
      </c>
      <c r="J355" s="462">
        <f t="shared" si="150"/>
        <v>0</v>
      </c>
      <c r="K355" s="462">
        <f t="shared" si="138"/>
        <v>0</v>
      </c>
      <c r="L355" s="462">
        <f t="shared" si="139"/>
        <v>-12580.69</v>
      </c>
      <c r="M355" s="462">
        <f t="shared" ref="M355:M356" si="151">M356</f>
        <v>0</v>
      </c>
      <c r="N355" s="178">
        <f t="shared" si="137"/>
        <v>0</v>
      </c>
    </row>
    <row r="356" spans="1:14" ht="38.049999999999997" customHeight="1" outlineLevel="7" x14ac:dyDescent="0.3">
      <c r="A356" s="189" t="s">
        <v>37</v>
      </c>
      <c r="B356" s="298" t="s">
        <v>455</v>
      </c>
      <c r="C356" s="298" t="s">
        <v>250</v>
      </c>
      <c r="D356" s="298" t="s">
        <v>974</v>
      </c>
      <c r="E356" s="392" t="s">
        <v>38</v>
      </c>
      <c r="F356" s="462" t="s">
        <v>838</v>
      </c>
      <c r="G356" s="462">
        <f t="shared" si="150"/>
        <v>12580.69</v>
      </c>
      <c r="H356" s="460"/>
      <c r="I356" s="462">
        <f t="shared" si="150"/>
        <v>0</v>
      </c>
      <c r="J356" s="462">
        <f t="shared" si="150"/>
        <v>0</v>
      </c>
      <c r="K356" s="462">
        <f t="shared" si="138"/>
        <v>0</v>
      </c>
      <c r="L356" s="462">
        <f t="shared" si="139"/>
        <v>-12580.69</v>
      </c>
      <c r="M356" s="462">
        <f t="shared" si="151"/>
        <v>0</v>
      </c>
      <c r="N356" s="178">
        <f t="shared" si="137"/>
        <v>0</v>
      </c>
    </row>
    <row r="357" spans="1:14" ht="26.5" customHeight="1" outlineLevel="7" x14ac:dyDescent="0.3">
      <c r="A357" s="189" t="s">
        <v>74</v>
      </c>
      <c r="B357" s="298" t="s">
        <v>455</v>
      </c>
      <c r="C357" s="298" t="s">
        <v>250</v>
      </c>
      <c r="D357" s="298" t="s">
        <v>974</v>
      </c>
      <c r="E357" s="392" t="s">
        <v>75</v>
      </c>
      <c r="F357" s="462" t="s">
        <v>838</v>
      </c>
      <c r="G357" s="462">
        <v>12580.69</v>
      </c>
      <c r="H357" s="460"/>
      <c r="I357" s="462">
        <v>0</v>
      </c>
      <c r="J357" s="449"/>
      <c r="K357" s="462">
        <f t="shared" si="138"/>
        <v>0</v>
      </c>
      <c r="L357" s="462">
        <f t="shared" si="139"/>
        <v>-12580.69</v>
      </c>
      <c r="M357" s="449"/>
      <c r="N357" s="178">
        <f t="shared" si="137"/>
        <v>0</v>
      </c>
    </row>
    <row r="358" spans="1:14" outlineLevel="7" x14ac:dyDescent="0.3">
      <c r="A358" s="233" t="s">
        <v>79</v>
      </c>
      <c r="B358" s="397" t="s">
        <v>455</v>
      </c>
      <c r="C358" s="397" t="s">
        <v>80</v>
      </c>
      <c r="D358" s="397" t="s">
        <v>126</v>
      </c>
      <c r="E358" s="397" t="s">
        <v>6</v>
      </c>
      <c r="F358" s="473">
        <f>F359+F386</f>
        <v>12750978.67</v>
      </c>
      <c r="G358" s="465">
        <f t="shared" ref="G358:J359" si="152">G359</f>
        <v>40067527.339999996</v>
      </c>
      <c r="H358" s="460">
        <v>34824779.729999997</v>
      </c>
      <c r="I358" s="465">
        <f t="shared" si="152"/>
        <v>38563776.460000001</v>
      </c>
      <c r="J358" s="465">
        <f t="shared" si="152"/>
        <v>40773314.039999999</v>
      </c>
      <c r="K358" s="462">
        <f t="shared" si="138"/>
        <v>101.76149302653725</v>
      </c>
      <c r="L358" s="462">
        <f t="shared" si="139"/>
        <v>705786.70000000298</v>
      </c>
      <c r="M358" s="465">
        <f t="shared" ref="M358:M359" si="153">M359</f>
        <v>38704640.390000001</v>
      </c>
      <c r="N358" s="178">
        <f t="shared" si="137"/>
        <v>-2068673.6499999985</v>
      </c>
    </row>
    <row r="359" spans="1:14" outlineLevel="7" x14ac:dyDescent="0.3">
      <c r="A359" s="189" t="s">
        <v>81</v>
      </c>
      <c r="B359" s="392" t="s">
        <v>455</v>
      </c>
      <c r="C359" s="392" t="s">
        <v>82</v>
      </c>
      <c r="D359" s="392" t="s">
        <v>126</v>
      </c>
      <c r="E359" s="392" t="s">
        <v>6</v>
      </c>
      <c r="F359" s="471">
        <f>F360</f>
        <v>10500863.65</v>
      </c>
      <c r="G359" s="462">
        <f t="shared" si="152"/>
        <v>40067527.339999996</v>
      </c>
      <c r="H359" s="460">
        <v>34824779.729999997</v>
      </c>
      <c r="I359" s="462">
        <f t="shared" si="152"/>
        <v>38563776.460000001</v>
      </c>
      <c r="J359" s="462">
        <f t="shared" si="152"/>
        <v>40773314.039999999</v>
      </c>
      <c r="K359" s="462">
        <f t="shared" si="138"/>
        <v>101.76149302653725</v>
      </c>
      <c r="L359" s="462">
        <f t="shared" si="139"/>
        <v>705786.70000000298</v>
      </c>
      <c r="M359" s="462">
        <f t="shared" si="153"/>
        <v>38704640.390000001</v>
      </c>
      <c r="N359" s="178">
        <f t="shared" si="137"/>
        <v>-2068673.6499999985</v>
      </c>
    </row>
    <row r="360" spans="1:14" ht="50.95" outlineLevel="7" x14ac:dyDescent="0.3">
      <c r="A360" s="233" t="s">
        <v>1035</v>
      </c>
      <c r="B360" s="397" t="s">
        <v>455</v>
      </c>
      <c r="C360" s="397" t="s">
        <v>82</v>
      </c>
      <c r="D360" s="397" t="s">
        <v>136</v>
      </c>
      <c r="E360" s="397" t="s">
        <v>6</v>
      </c>
      <c r="F360" s="473">
        <f>F361+F375+F365</f>
        <v>10500863.65</v>
      </c>
      <c r="G360" s="465">
        <f>G361+G375+G371+G397</f>
        <v>40067527.339999996</v>
      </c>
      <c r="H360" s="460">
        <v>34824779.729999997</v>
      </c>
      <c r="I360" s="465">
        <f>I361+I375+I371+I397</f>
        <v>38563776.460000001</v>
      </c>
      <c r="J360" s="465">
        <f>J361+J375+J371+J397</f>
        <v>40773314.039999999</v>
      </c>
      <c r="K360" s="462">
        <f t="shared" si="138"/>
        <v>101.76149302653725</v>
      </c>
      <c r="L360" s="462">
        <f t="shared" si="139"/>
        <v>705786.70000000298</v>
      </c>
      <c r="M360" s="465">
        <f>M361+M375+M371+M397</f>
        <v>38704640.390000001</v>
      </c>
      <c r="N360" s="178">
        <f t="shared" si="137"/>
        <v>-2068673.6499999985</v>
      </c>
    </row>
    <row r="361" spans="1:14" ht="50.95" outlineLevel="7" x14ac:dyDescent="0.3">
      <c r="A361" s="189" t="s">
        <v>353</v>
      </c>
      <c r="B361" s="392" t="s">
        <v>455</v>
      </c>
      <c r="C361" s="392" t="s">
        <v>82</v>
      </c>
      <c r="D361" s="392" t="s">
        <v>224</v>
      </c>
      <c r="E361" s="392" t="s">
        <v>6</v>
      </c>
      <c r="F361" s="471">
        <f>F369+F362</f>
        <v>10017363.720000001</v>
      </c>
      <c r="G361" s="462">
        <f>G362+G365+G368</f>
        <v>10607846.629999999</v>
      </c>
      <c r="H361" s="460">
        <v>7255591.8200000003</v>
      </c>
      <c r="I361" s="462">
        <f>I362+I365+I368</f>
        <v>10536274.74</v>
      </c>
      <c r="J361" s="462">
        <f>J362+J365+J368</f>
        <v>11809522.569999998</v>
      </c>
      <c r="K361" s="462">
        <f t="shared" si="138"/>
        <v>111.32817980796918</v>
      </c>
      <c r="L361" s="462">
        <f t="shared" si="139"/>
        <v>1201675.9399999995</v>
      </c>
      <c r="M361" s="462">
        <f>M362+M365+M368</f>
        <v>11806023.539999999</v>
      </c>
      <c r="N361" s="178">
        <f t="shared" si="137"/>
        <v>-3499.0299999993294</v>
      </c>
    </row>
    <row r="362" spans="1:14" ht="67.95" outlineLevel="7" x14ac:dyDescent="0.3">
      <c r="A362" s="189" t="s">
        <v>1009</v>
      </c>
      <c r="B362" s="392" t="s">
        <v>455</v>
      </c>
      <c r="C362" s="392" t="s">
        <v>82</v>
      </c>
      <c r="D362" s="392" t="s">
        <v>141</v>
      </c>
      <c r="E362" s="392" t="s">
        <v>6</v>
      </c>
      <c r="F362" s="471">
        <f>F363</f>
        <v>10017363.720000001</v>
      </c>
      <c r="G362" s="462">
        <f t="shared" ref="G362:J363" si="154">G363</f>
        <v>10602650.6</v>
      </c>
      <c r="H362" s="460">
        <v>7082390.79</v>
      </c>
      <c r="I362" s="462">
        <f t="shared" si="154"/>
        <v>10531078.710000001</v>
      </c>
      <c r="J362" s="462">
        <f t="shared" si="154"/>
        <v>11804326.539999999</v>
      </c>
      <c r="K362" s="462">
        <f t="shared" si="138"/>
        <v>111.33373139731681</v>
      </c>
      <c r="L362" s="462">
        <f t="shared" si="139"/>
        <v>1201675.9399999995</v>
      </c>
      <c r="M362" s="462">
        <f t="shared" ref="M362:M363" si="155">M363</f>
        <v>11804326.539999999</v>
      </c>
      <c r="N362" s="178">
        <f t="shared" si="137"/>
        <v>0</v>
      </c>
    </row>
    <row r="363" spans="1:14" ht="50.95" outlineLevel="7" x14ac:dyDescent="0.3">
      <c r="A363" s="189" t="s">
        <v>37</v>
      </c>
      <c r="B363" s="392" t="s">
        <v>455</v>
      </c>
      <c r="C363" s="392" t="s">
        <v>82</v>
      </c>
      <c r="D363" s="392" t="s">
        <v>141</v>
      </c>
      <c r="E363" s="392" t="s">
        <v>38</v>
      </c>
      <c r="F363" s="471">
        <f>F364</f>
        <v>10017363.720000001</v>
      </c>
      <c r="G363" s="462">
        <f t="shared" si="154"/>
        <v>10602650.6</v>
      </c>
      <c r="H363" s="460">
        <v>7082390.79</v>
      </c>
      <c r="I363" s="462">
        <f t="shared" si="154"/>
        <v>10531078.710000001</v>
      </c>
      <c r="J363" s="462">
        <f t="shared" si="154"/>
        <v>11804326.539999999</v>
      </c>
      <c r="K363" s="462">
        <f t="shared" si="138"/>
        <v>111.33373139731681</v>
      </c>
      <c r="L363" s="462">
        <f t="shared" si="139"/>
        <v>1201675.9399999995</v>
      </c>
      <c r="M363" s="462">
        <f t="shared" si="155"/>
        <v>11804326.539999999</v>
      </c>
      <c r="N363" s="178">
        <f t="shared" si="137"/>
        <v>0</v>
      </c>
    </row>
    <row r="364" spans="1:14" outlineLevel="7" x14ac:dyDescent="0.3">
      <c r="A364" s="189" t="s">
        <v>74</v>
      </c>
      <c r="B364" s="392" t="s">
        <v>455</v>
      </c>
      <c r="C364" s="392" t="s">
        <v>82</v>
      </c>
      <c r="D364" s="392" t="s">
        <v>141</v>
      </c>
      <c r="E364" s="392" t="s">
        <v>75</v>
      </c>
      <c r="F364" s="475">
        <v>10017363.720000001</v>
      </c>
      <c r="G364" s="449">
        <f>'потребность 2023 (5)'!K376+265521.68</f>
        <v>10602650.6</v>
      </c>
      <c r="H364" s="460">
        <v>7082390.79</v>
      </c>
      <c r="I364" s="449">
        <v>10531078.710000001</v>
      </c>
      <c r="J364" s="449">
        <v>11804326.539999999</v>
      </c>
      <c r="K364" s="462">
        <f t="shared" si="138"/>
        <v>111.33373139731681</v>
      </c>
      <c r="L364" s="462">
        <f t="shared" si="139"/>
        <v>1201675.9399999995</v>
      </c>
      <c r="M364" s="449">
        <f>11804326.54</f>
        <v>11804326.539999999</v>
      </c>
      <c r="N364" s="178">
        <f t="shared" si="137"/>
        <v>0</v>
      </c>
    </row>
    <row r="365" spans="1:14" ht="67.95" customHeight="1" outlineLevel="7" x14ac:dyDescent="0.3">
      <c r="A365" s="189" t="s">
        <v>953</v>
      </c>
      <c r="B365" s="392" t="s">
        <v>455</v>
      </c>
      <c r="C365" s="392" t="s">
        <v>82</v>
      </c>
      <c r="D365" s="298" t="s">
        <v>286</v>
      </c>
      <c r="E365" s="407" t="s">
        <v>6</v>
      </c>
      <c r="F365" s="478">
        <f>F366</f>
        <v>0</v>
      </c>
      <c r="G365" s="449">
        <f t="shared" ref="G365:J366" si="156">G366</f>
        <v>0</v>
      </c>
      <c r="H365" s="460"/>
      <c r="I365" s="449">
        <f t="shared" si="156"/>
        <v>0</v>
      </c>
      <c r="J365" s="449">
        <f t="shared" si="156"/>
        <v>0</v>
      </c>
      <c r="K365" s="462" t="e">
        <f t="shared" si="138"/>
        <v>#DIV/0!</v>
      </c>
      <c r="L365" s="462">
        <f t="shared" si="139"/>
        <v>0</v>
      </c>
      <c r="M365" s="449">
        <f t="shared" ref="M365:M366" si="157">M366</f>
        <v>0</v>
      </c>
      <c r="N365" s="178">
        <f t="shared" si="137"/>
        <v>0</v>
      </c>
    </row>
    <row r="366" spans="1:14" ht="50.95" outlineLevel="7" x14ac:dyDescent="0.3">
      <c r="A366" s="189" t="s">
        <v>37</v>
      </c>
      <c r="B366" s="392" t="s">
        <v>455</v>
      </c>
      <c r="C366" s="392" t="s">
        <v>82</v>
      </c>
      <c r="D366" s="298" t="s">
        <v>286</v>
      </c>
      <c r="E366" s="407" t="s">
        <v>38</v>
      </c>
      <c r="F366" s="478">
        <f>F367</f>
        <v>0</v>
      </c>
      <c r="G366" s="449">
        <f t="shared" si="156"/>
        <v>0</v>
      </c>
      <c r="H366" s="460"/>
      <c r="I366" s="449">
        <f t="shared" si="156"/>
        <v>0</v>
      </c>
      <c r="J366" s="449">
        <f t="shared" si="156"/>
        <v>0</v>
      </c>
      <c r="K366" s="462" t="e">
        <f t="shared" si="138"/>
        <v>#DIV/0!</v>
      </c>
      <c r="L366" s="462">
        <f t="shared" si="139"/>
        <v>0</v>
      </c>
      <c r="M366" s="449">
        <f t="shared" si="157"/>
        <v>0</v>
      </c>
      <c r="N366" s="178">
        <f t="shared" si="137"/>
        <v>0</v>
      </c>
    </row>
    <row r="367" spans="1:14" outlineLevel="7" x14ac:dyDescent="0.3">
      <c r="A367" s="189" t="s">
        <v>74</v>
      </c>
      <c r="B367" s="392" t="s">
        <v>455</v>
      </c>
      <c r="C367" s="392" t="s">
        <v>82</v>
      </c>
      <c r="D367" s="298" t="s">
        <v>286</v>
      </c>
      <c r="E367" s="407" t="s">
        <v>75</v>
      </c>
      <c r="F367" s="479">
        <v>0</v>
      </c>
      <c r="G367" s="449">
        <v>0</v>
      </c>
      <c r="H367" s="460"/>
      <c r="I367" s="449">
        <v>0</v>
      </c>
      <c r="J367" s="449"/>
      <c r="K367" s="462" t="e">
        <f t="shared" si="138"/>
        <v>#DIV/0!</v>
      </c>
      <c r="L367" s="462">
        <f t="shared" si="139"/>
        <v>0</v>
      </c>
      <c r="M367" s="449"/>
      <c r="N367" s="178">
        <f t="shared" si="137"/>
        <v>0</v>
      </c>
    </row>
    <row r="368" spans="1:14" ht="76.75" customHeight="1" outlineLevel="7" x14ac:dyDescent="0.3">
      <c r="A368" s="189" t="s">
        <v>296</v>
      </c>
      <c r="B368" s="392" t="s">
        <v>455</v>
      </c>
      <c r="C368" s="392" t="s">
        <v>82</v>
      </c>
      <c r="D368" s="298" t="s">
        <v>297</v>
      </c>
      <c r="E368" s="407" t="s">
        <v>6</v>
      </c>
      <c r="F368" s="497"/>
      <c r="G368" s="449">
        <f t="shared" ref="G368:J369" si="158">G369</f>
        <v>5196.03</v>
      </c>
      <c r="H368" s="460">
        <v>5196.03</v>
      </c>
      <c r="I368" s="449">
        <f t="shared" si="158"/>
        <v>5196.03</v>
      </c>
      <c r="J368" s="449">
        <f t="shared" si="158"/>
        <v>5196.03</v>
      </c>
      <c r="K368" s="462">
        <f t="shared" si="138"/>
        <v>100</v>
      </c>
      <c r="L368" s="462">
        <f t="shared" si="139"/>
        <v>0</v>
      </c>
      <c r="M368" s="449">
        <f t="shared" ref="M368:M369" si="159">M369</f>
        <v>1696.9999999999995</v>
      </c>
      <c r="N368" s="178">
        <f t="shared" si="137"/>
        <v>-3499.03</v>
      </c>
    </row>
    <row r="369" spans="1:14" ht="50.95" outlineLevel="7" x14ac:dyDescent="0.3">
      <c r="A369" s="189" t="s">
        <v>37</v>
      </c>
      <c r="B369" s="392" t="s">
        <v>455</v>
      </c>
      <c r="C369" s="392" t="s">
        <v>82</v>
      </c>
      <c r="D369" s="298" t="s">
        <v>297</v>
      </c>
      <c r="E369" s="407" t="s">
        <v>38</v>
      </c>
      <c r="F369" s="497"/>
      <c r="G369" s="449">
        <f t="shared" si="158"/>
        <v>5196.03</v>
      </c>
      <c r="H369" s="460">
        <v>5196.03</v>
      </c>
      <c r="I369" s="449">
        <f t="shared" si="158"/>
        <v>5196.03</v>
      </c>
      <c r="J369" s="449">
        <f t="shared" si="158"/>
        <v>5196.03</v>
      </c>
      <c r="K369" s="462">
        <f t="shared" si="138"/>
        <v>100</v>
      </c>
      <c r="L369" s="462">
        <f t="shared" si="139"/>
        <v>0</v>
      </c>
      <c r="M369" s="449">
        <f t="shared" si="159"/>
        <v>1696.9999999999995</v>
      </c>
      <c r="N369" s="178">
        <f t="shared" si="137"/>
        <v>-3499.03</v>
      </c>
    </row>
    <row r="370" spans="1:14" outlineLevel="7" x14ac:dyDescent="0.3">
      <c r="A370" s="189" t="s">
        <v>74</v>
      </c>
      <c r="B370" s="392" t="s">
        <v>455</v>
      </c>
      <c r="C370" s="392" t="s">
        <v>82</v>
      </c>
      <c r="D370" s="298" t="s">
        <v>297</v>
      </c>
      <c r="E370" s="407" t="s">
        <v>75</v>
      </c>
      <c r="F370" s="479"/>
      <c r="G370" s="449">
        <f>'потребность 2023 (5)'!K382</f>
        <v>5196.03</v>
      </c>
      <c r="H370" s="460">
        <v>5196.03</v>
      </c>
      <c r="I370" s="449">
        <v>5196.03</v>
      </c>
      <c r="J370" s="449">
        <v>5196.03</v>
      </c>
      <c r="K370" s="462">
        <f t="shared" si="138"/>
        <v>100</v>
      </c>
      <c r="L370" s="462">
        <f t="shared" si="139"/>
        <v>0</v>
      </c>
      <c r="M370" s="449">
        <f>5196.03-3499.03</f>
        <v>1696.9999999999995</v>
      </c>
      <c r="N370" s="178">
        <f t="shared" si="137"/>
        <v>-3499.03</v>
      </c>
    </row>
    <row r="371" spans="1:14" ht="34" outlineLevel="7" x14ac:dyDescent="0.3">
      <c r="A371" s="189" t="s">
        <v>612</v>
      </c>
      <c r="B371" s="392" t="s">
        <v>455</v>
      </c>
      <c r="C371" s="392" t="s">
        <v>82</v>
      </c>
      <c r="D371" s="392" t="s">
        <v>611</v>
      </c>
      <c r="E371" s="392" t="s">
        <v>6</v>
      </c>
      <c r="F371" s="471">
        <f>F372+F378</f>
        <v>24036980.25</v>
      </c>
      <c r="G371" s="462">
        <f t="shared" ref="G371:J373" si="160">G372</f>
        <v>26347135.780000001</v>
      </c>
      <c r="H371" s="460">
        <v>19080629.98</v>
      </c>
      <c r="I371" s="462">
        <f t="shared" si="160"/>
        <v>27395001.719999999</v>
      </c>
      <c r="J371" s="462">
        <f t="shared" si="160"/>
        <v>28331291.469999999</v>
      </c>
      <c r="K371" s="462">
        <f t="shared" si="138"/>
        <v>107.53082121171653</v>
      </c>
      <c r="L371" s="462">
        <f t="shared" si="139"/>
        <v>1984155.6899999976</v>
      </c>
      <c r="M371" s="462">
        <f t="shared" ref="M371:M373" si="161">M372</f>
        <v>26266116.849999998</v>
      </c>
      <c r="N371" s="178">
        <f t="shared" si="137"/>
        <v>-2065174.620000001</v>
      </c>
    </row>
    <row r="372" spans="1:14" ht="36.700000000000003" customHeight="1" outlineLevel="3" x14ac:dyDescent="0.3">
      <c r="A372" s="189" t="s">
        <v>1009</v>
      </c>
      <c r="B372" s="392" t="s">
        <v>455</v>
      </c>
      <c r="C372" s="392" t="s">
        <v>82</v>
      </c>
      <c r="D372" s="392" t="s">
        <v>610</v>
      </c>
      <c r="E372" s="392" t="s">
        <v>6</v>
      </c>
      <c r="F372" s="471">
        <f>F373</f>
        <v>23553480.32</v>
      </c>
      <c r="G372" s="462">
        <f t="shared" si="160"/>
        <v>26347135.780000001</v>
      </c>
      <c r="H372" s="460">
        <v>19080629.98</v>
      </c>
      <c r="I372" s="462">
        <f t="shared" si="160"/>
        <v>27395001.719999999</v>
      </c>
      <c r="J372" s="462">
        <f t="shared" si="160"/>
        <v>28331291.469999999</v>
      </c>
      <c r="K372" s="462">
        <f t="shared" si="138"/>
        <v>107.53082121171653</v>
      </c>
      <c r="L372" s="462">
        <f t="shared" si="139"/>
        <v>1984155.6899999976</v>
      </c>
      <c r="M372" s="462">
        <f t="shared" si="161"/>
        <v>26266116.849999998</v>
      </c>
      <c r="N372" s="178">
        <f t="shared" si="137"/>
        <v>-2065174.620000001</v>
      </c>
    </row>
    <row r="373" spans="1:14" ht="50.95" outlineLevel="3" x14ac:dyDescent="0.3">
      <c r="A373" s="189" t="s">
        <v>37</v>
      </c>
      <c r="B373" s="392" t="s">
        <v>455</v>
      </c>
      <c r="C373" s="392" t="s">
        <v>82</v>
      </c>
      <c r="D373" s="392" t="s">
        <v>610</v>
      </c>
      <c r="E373" s="392" t="s">
        <v>38</v>
      </c>
      <c r="F373" s="471">
        <f>F374</f>
        <v>23553480.32</v>
      </c>
      <c r="G373" s="462">
        <f t="shared" si="160"/>
        <v>26347135.780000001</v>
      </c>
      <c r="H373" s="460">
        <v>19080629.98</v>
      </c>
      <c r="I373" s="462">
        <f t="shared" si="160"/>
        <v>27395001.719999999</v>
      </c>
      <c r="J373" s="462">
        <f t="shared" si="160"/>
        <v>28331291.469999999</v>
      </c>
      <c r="K373" s="462">
        <f t="shared" si="138"/>
        <v>107.53082121171653</v>
      </c>
      <c r="L373" s="462">
        <f t="shared" si="139"/>
        <v>1984155.6899999976</v>
      </c>
      <c r="M373" s="462">
        <f t="shared" si="161"/>
        <v>26266116.849999998</v>
      </c>
      <c r="N373" s="178">
        <f t="shared" si="137"/>
        <v>-2065174.620000001</v>
      </c>
    </row>
    <row r="374" spans="1:14" ht="21.25" customHeight="1" outlineLevel="3" x14ac:dyDescent="0.3">
      <c r="A374" s="189" t="s">
        <v>74</v>
      </c>
      <c r="B374" s="392" t="s">
        <v>455</v>
      </c>
      <c r="C374" s="392" t="s">
        <v>82</v>
      </c>
      <c r="D374" s="392" t="s">
        <v>610</v>
      </c>
      <c r="E374" s="392" t="s">
        <v>75</v>
      </c>
      <c r="F374" s="475">
        <v>23553480.32</v>
      </c>
      <c r="G374" s="449">
        <f>26247135.78+100000</f>
        <v>26347135.780000001</v>
      </c>
      <c r="H374" s="460">
        <v>19080629.98</v>
      </c>
      <c r="I374" s="449">
        <v>27395001.719999999</v>
      </c>
      <c r="J374" s="449">
        <v>28331291.469999999</v>
      </c>
      <c r="K374" s="462">
        <f t="shared" si="138"/>
        <v>107.53082121171653</v>
      </c>
      <c r="L374" s="462">
        <f t="shared" si="139"/>
        <v>1984155.6899999976</v>
      </c>
      <c r="M374" s="449">
        <f>28331291.47-2065174.62</f>
        <v>26266116.849999998</v>
      </c>
      <c r="N374" s="178">
        <f t="shared" si="137"/>
        <v>-2065174.620000001</v>
      </c>
    </row>
    <row r="375" spans="1:14" ht="37.4" customHeight="1" outlineLevel="7" x14ac:dyDescent="0.3">
      <c r="A375" s="189" t="s">
        <v>208</v>
      </c>
      <c r="B375" s="392" t="s">
        <v>455</v>
      </c>
      <c r="C375" s="392" t="s">
        <v>82</v>
      </c>
      <c r="D375" s="392" t="s">
        <v>226</v>
      </c>
      <c r="E375" s="392" t="s">
        <v>6</v>
      </c>
      <c r="F375" s="476">
        <f>F376+F380</f>
        <v>483499.93</v>
      </c>
      <c r="G375" s="449">
        <f>G376+G379+G382+G385+G388+G391+G394</f>
        <v>3087916.1</v>
      </c>
      <c r="H375" s="449"/>
      <c r="I375" s="449">
        <f>I376+I379+I382+I385+I388+I391+I394</f>
        <v>632500</v>
      </c>
      <c r="J375" s="449">
        <f>J376+J379+J382+J385+J388+J391+J394</f>
        <v>632500</v>
      </c>
      <c r="K375" s="462">
        <f t="shared" si="138"/>
        <v>20.483069471997638</v>
      </c>
      <c r="L375" s="462">
        <f t="shared" si="139"/>
        <v>-2455416.1</v>
      </c>
      <c r="M375" s="449">
        <f>M376+M379+M382+M385+M388+M391+M394</f>
        <v>632500</v>
      </c>
      <c r="N375" s="178">
        <f t="shared" si="137"/>
        <v>0</v>
      </c>
    </row>
    <row r="376" spans="1:14" ht="34" outlineLevel="7" x14ac:dyDescent="0.3">
      <c r="A376" s="189" t="s">
        <v>83</v>
      </c>
      <c r="B376" s="392" t="s">
        <v>455</v>
      </c>
      <c r="C376" s="392" t="s">
        <v>82</v>
      </c>
      <c r="D376" s="392" t="s">
        <v>140</v>
      </c>
      <c r="E376" s="392" t="s">
        <v>6</v>
      </c>
      <c r="F376" s="471">
        <f>F377</f>
        <v>483499.93</v>
      </c>
      <c r="G376" s="462">
        <f t="shared" ref="G376:J377" si="162">G377</f>
        <v>763605.61</v>
      </c>
      <c r="H376" s="462"/>
      <c r="I376" s="462">
        <f t="shared" si="162"/>
        <v>632500</v>
      </c>
      <c r="J376" s="462">
        <f t="shared" si="162"/>
        <v>632500</v>
      </c>
      <c r="K376" s="462">
        <f t="shared" si="138"/>
        <v>82.830716762282563</v>
      </c>
      <c r="L376" s="462">
        <f t="shared" si="139"/>
        <v>-131105.60999999999</v>
      </c>
      <c r="M376" s="462">
        <f t="shared" ref="M376:M377" si="163">M377</f>
        <v>632500</v>
      </c>
      <c r="N376" s="178">
        <f t="shared" si="137"/>
        <v>0</v>
      </c>
    </row>
    <row r="377" spans="1:14" s="224" customFormat="1" ht="50.95" outlineLevel="1" x14ac:dyDescent="0.3">
      <c r="A377" s="189" t="s">
        <v>37</v>
      </c>
      <c r="B377" s="392" t="s">
        <v>455</v>
      </c>
      <c r="C377" s="392" t="s">
        <v>82</v>
      </c>
      <c r="D377" s="392" t="s">
        <v>140</v>
      </c>
      <c r="E377" s="392" t="s">
        <v>38</v>
      </c>
      <c r="F377" s="471">
        <f>F378+F379</f>
        <v>483499.93</v>
      </c>
      <c r="G377" s="462">
        <f t="shared" si="162"/>
        <v>763605.61</v>
      </c>
      <c r="H377" s="462"/>
      <c r="I377" s="462">
        <f t="shared" si="162"/>
        <v>632500</v>
      </c>
      <c r="J377" s="462">
        <f t="shared" si="162"/>
        <v>632500</v>
      </c>
      <c r="K377" s="462">
        <f t="shared" si="138"/>
        <v>82.830716762282563</v>
      </c>
      <c r="L377" s="462">
        <f t="shared" si="139"/>
        <v>-131105.60999999999</v>
      </c>
      <c r="M377" s="462">
        <f t="shared" si="163"/>
        <v>632500</v>
      </c>
      <c r="N377" s="178">
        <f t="shared" si="137"/>
        <v>0</v>
      </c>
    </row>
    <row r="378" spans="1:14" outlineLevel="2" x14ac:dyDescent="0.3">
      <c r="A378" s="189" t="s">
        <v>74</v>
      </c>
      <c r="B378" s="392" t="s">
        <v>455</v>
      </c>
      <c r="C378" s="392" t="s">
        <v>82</v>
      </c>
      <c r="D378" s="392" t="s">
        <v>140</v>
      </c>
      <c r="E378" s="392" t="s">
        <v>75</v>
      </c>
      <c r="F378" s="475">
        <v>483499.93</v>
      </c>
      <c r="G378" s="462">
        <f>'потребность 2023 (5)'!K396+381105.61-250000</f>
        <v>763605.61</v>
      </c>
      <c r="H378" s="462"/>
      <c r="I378" s="462">
        <v>632500</v>
      </c>
      <c r="J378" s="449">
        <v>632500</v>
      </c>
      <c r="K378" s="462">
        <f t="shared" si="138"/>
        <v>82.830716762282563</v>
      </c>
      <c r="L378" s="462">
        <f t="shared" si="139"/>
        <v>-131105.60999999999</v>
      </c>
      <c r="M378" s="449">
        <v>632500</v>
      </c>
      <c r="N378" s="178">
        <f t="shared" si="137"/>
        <v>0</v>
      </c>
    </row>
    <row r="379" spans="1:14" ht="84.9" outlineLevel="4" x14ac:dyDescent="0.3">
      <c r="A379" s="189" t="s">
        <v>957</v>
      </c>
      <c r="B379" s="392" t="s">
        <v>455</v>
      </c>
      <c r="C379" s="392" t="s">
        <v>82</v>
      </c>
      <c r="D379" s="298" t="s">
        <v>857</v>
      </c>
      <c r="E379" s="298" t="s">
        <v>6</v>
      </c>
      <c r="F379" s="475"/>
      <c r="G379" s="462">
        <f t="shared" ref="G379:J380" si="164">G380</f>
        <v>0</v>
      </c>
      <c r="H379" s="462"/>
      <c r="I379" s="462">
        <f t="shared" si="164"/>
        <v>0</v>
      </c>
      <c r="J379" s="462">
        <f t="shared" si="164"/>
        <v>0</v>
      </c>
      <c r="K379" s="462" t="e">
        <f t="shared" si="138"/>
        <v>#DIV/0!</v>
      </c>
      <c r="L379" s="462">
        <f t="shared" si="139"/>
        <v>0</v>
      </c>
      <c r="M379" s="462">
        <f t="shared" ref="M379:M380" si="165">M380</f>
        <v>0</v>
      </c>
      <c r="N379" s="178">
        <f t="shared" si="137"/>
        <v>0</v>
      </c>
    </row>
    <row r="380" spans="1:14" ht="50.95" outlineLevel="4" x14ac:dyDescent="0.3">
      <c r="A380" s="189" t="s">
        <v>37</v>
      </c>
      <c r="B380" s="392" t="s">
        <v>455</v>
      </c>
      <c r="C380" s="392" t="s">
        <v>82</v>
      </c>
      <c r="D380" s="298" t="s">
        <v>857</v>
      </c>
      <c r="E380" s="298" t="s">
        <v>38</v>
      </c>
      <c r="F380" s="462"/>
      <c r="G380" s="462">
        <f t="shared" si="164"/>
        <v>0</v>
      </c>
      <c r="H380" s="462"/>
      <c r="I380" s="462">
        <f t="shared" si="164"/>
        <v>0</v>
      </c>
      <c r="J380" s="462">
        <f t="shared" si="164"/>
        <v>0</v>
      </c>
      <c r="K380" s="462" t="e">
        <f t="shared" si="138"/>
        <v>#DIV/0!</v>
      </c>
      <c r="L380" s="462">
        <f t="shared" si="139"/>
        <v>0</v>
      </c>
      <c r="M380" s="462">
        <f t="shared" si="165"/>
        <v>0</v>
      </c>
      <c r="N380" s="178">
        <f t="shared" si="137"/>
        <v>0</v>
      </c>
    </row>
    <row r="381" spans="1:14" outlineLevel="4" x14ac:dyDescent="0.3">
      <c r="A381" s="189" t="s">
        <v>74</v>
      </c>
      <c r="B381" s="392" t="s">
        <v>455</v>
      </c>
      <c r="C381" s="392" t="s">
        <v>82</v>
      </c>
      <c r="D381" s="298" t="s">
        <v>857</v>
      </c>
      <c r="E381" s="298" t="s">
        <v>75</v>
      </c>
      <c r="F381" s="462"/>
      <c r="G381" s="462">
        <v>0</v>
      </c>
      <c r="H381" s="462"/>
      <c r="I381" s="462"/>
      <c r="J381" s="449"/>
      <c r="K381" s="462" t="e">
        <f t="shared" si="138"/>
        <v>#DIV/0!</v>
      </c>
      <c r="L381" s="462">
        <f t="shared" si="139"/>
        <v>0</v>
      </c>
      <c r="M381" s="449"/>
      <c r="N381" s="178">
        <f t="shared" si="137"/>
        <v>0</v>
      </c>
    </row>
    <row r="382" spans="1:14" ht="50.95" outlineLevel="4" x14ac:dyDescent="0.3">
      <c r="A382" s="189" t="s">
        <v>1013</v>
      </c>
      <c r="B382" s="392" t="s">
        <v>455</v>
      </c>
      <c r="C382" s="392" t="s">
        <v>82</v>
      </c>
      <c r="D382" s="298" t="s">
        <v>859</v>
      </c>
      <c r="E382" s="298" t="s">
        <v>6</v>
      </c>
      <c r="F382" s="449"/>
      <c r="G382" s="462">
        <f t="shared" ref="G382:J383" si="166">G383</f>
        <v>102178.82</v>
      </c>
      <c r="H382" s="462"/>
      <c r="I382" s="462">
        <f t="shared" si="166"/>
        <v>0</v>
      </c>
      <c r="J382" s="462">
        <f t="shared" si="166"/>
        <v>0</v>
      </c>
      <c r="K382" s="462">
        <f t="shared" si="138"/>
        <v>0</v>
      </c>
      <c r="L382" s="462">
        <f t="shared" si="139"/>
        <v>-102178.82</v>
      </c>
      <c r="M382" s="462">
        <f t="shared" ref="M382:M383" si="167">M383</f>
        <v>0</v>
      </c>
      <c r="N382" s="178">
        <f t="shared" si="137"/>
        <v>0</v>
      </c>
    </row>
    <row r="383" spans="1:14" ht="50.95" outlineLevel="4" x14ac:dyDescent="0.3">
      <c r="A383" s="189" t="s">
        <v>37</v>
      </c>
      <c r="B383" s="392" t="s">
        <v>455</v>
      </c>
      <c r="C383" s="392" t="s">
        <v>82</v>
      </c>
      <c r="D383" s="298" t="s">
        <v>859</v>
      </c>
      <c r="E383" s="298" t="s">
        <v>38</v>
      </c>
      <c r="F383" s="449"/>
      <c r="G383" s="462">
        <f t="shared" si="166"/>
        <v>102178.82</v>
      </c>
      <c r="H383" s="462"/>
      <c r="I383" s="462">
        <f t="shared" si="166"/>
        <v>0</v>
      </c>
      <c r="J383" s="462">
        <f t="shared" si="166"/>
        <v>0</v>
      </c>
      <c r="K383" s="462">
        <f t="shared" si="138"/>
        <v>0</v>
      </c>
      <c r="L383" s="462">
        <f t="shared" si="139"/>
        <v>-102178.82</v>
      </c>
      <c r="M383" s="462">
        <f t="shared" si="167"/>
        <v>0</v>
      </c>
      <c r="N383" s="178">
        <f t="shared" si="137"/>
        <v>0</v>
      </c>
    </row>
    <row r="384" spans="1:14" outlineLevel="4" x14ac:dyDescent="0.3">
      <c r="A384" s="189" t="s">
        <v>74</v>
      </c>
      <c r="B384" s="392" t="s">
        <v>455</v>
      </c>
      <c r="C384" s="392" t="s">
        <v>82</v>
      </c>
      <c r="D384" s="298" t="s">
        <v>859</v>
      </c>
      <c r="E384" s="298" t="s">
        <v>75</v>
      </c>
      <c r="F384" s="449"/>
      <c r="G384" s="462">
        <v>102178.82</v>
      </c>
      <c r="H384" s="462"/>
      <c r="I384" s="462"/>
      <c r="J384" s="449">
        <v>0</v>
      </c>
      <c r="K384" s="462">
        <f t="shared" si="138"/>
        <v>0</v>
      </c>
      <c r="L384" s="462">
        <f t="shared" si="139"/>
        <v>-102178.82</v>
      </c>
      <c r="M384" s="449">
        <v>0</v>
      </c>
      <c r="N384" s="178">
        <f t="shared" si="137"/>
        <v>0</v>
      </c>
    </row>
    <row r="385" spans="1:14" ht="84.9" outlineLevel="4" x14ac:dyDescent="0.3">
      <c r="A385" s="189" t="s">
        <v>1048</v>
      </c>
      <c r="B385" s="392" t="s">
        <v>455</v>
      </c>
      <c r="C385" s="392" t="s">
        <v>82</v>
      </c>
      <c r="D385" s="392" t="s">
        <v>823</v>
      </c>
      <c r="E385" s="392" t="s">
        <v>6</v>
      </c>
      <c r="F385" s="498">
        <f>F386</f>
        <v>2250115.02</v>
      </c>
      <c r="G385" s="462">
        <f t="shared" ref="G385:J386" si="168">G386</f>
        <v>2155186.87</v>
      </c>
      <c r="H385" s="462"/>
      <c r="I385" s="462">
        <f t="shared" si="168"/>
        <v>0</v>
      </c>
      <c r="J385" s="462">
        <f t="shared" si="168"/>
        <v>0</v>
      </c>
      <c r="K385" s="462">
        <f t="shared" si="138"/>
        <v>0</v>
      </c>
      <c r="L385" s="462">
        <f t="shared" si="139"/>
        <v>-2155186.87</v>
      </c>
      <c r="M385" s="462">
        <f t="shared" ref="M385:M386" si="169">M386</f>
        <v>0</v>
      </c>
      <c r="N385" s="178">
        <f t="shared" si="137"/>
        <v>0</v>
      </c>
    </row>
    <row r="386" spans="1:14" ht="50.95" outlineLevel="4" x14ac:dyDescent="0.3">
      <c r="A386" s="189" t="s">
        <v>37</v>
      </c>
      <c r="B386" s="392" t="s">
        <v>455</v>
      </c>
      <c r="C386" s="392" t="s">
        <v>82</v>
      </c>
      <c r="D386" s="392" t="s">
        <v>823</v>
      </c>
      <c r="E386" s="392" t="s">
        <v>38</v>
      </c>
      <c r="F386" s="498">
        <f>F387</f>
        <v>2250115.02</v>
      </c>
      <c r="G386" s="462">
        <f t="shared" si="168"/>
        <v>2155186.87</v>
      </c>
      <c r="H386" s="462"/>
      <c r="I386" s="462">
        <f t="shared" si="168"/>
        <v>0</v>
      </c>
      <c r="J386" s="462">
        <f t="shared" si="168"/>
        <v>0</v>
      </c>
      <c r="K386" s="462">
        <f t="shared" si="138"/>
        <v>0</v>
      </c>
      <c r="L386" s="462">
        <f t="shared" si="139"/>
        <v>-2155186.87</v>
      </c>
      <c r="M386" s="462">
        <f t="shared" si="169"/>
        <v>0</v>
      </c>
      <c r="N386" s="178">
        <f t="shared" si="137"/>
        <v>0</v>
      </c>
    </row>
    <row r="387" spans="1:14" outlineLevel="4" x14ac:dyDescent="0.3">
      <c r="A387" s="189" t="s">
        <v>74</v>
      </c>
      <c r="B387" s="392" t="s">
        <v>455</v>
      </c>
      <c r="C387" s="392" t="s">
        <v>82</v>
      </c>
      <c r="D387" s="392" t="s">
        <v>823</v>
      </c>
      <c r="E387" s="392" t="s">
        <v>75</v>
      </c>
      <c r="F387" s="499">
        <f>319894.8+1930220.22</f>
        <v>2250115.02</v>
      </c>
      <c r="G387" s="462">
        <f>895180.8-600+180606.07+1080000</f>
        <v>2155186.87</v>
      </c>
      <c r="H387" s="462"/>
      <c r="I387" s="462"/>
      <c r="J387" s="449">
        <v>0</v>
      </c>
      <c r="K387" s="462">
        <f t="shared" si="138"/>
        <v>0</v>
      </c>
      <c r="L387" s="462">
        <f t="shared" si="139"/>
        <v>-2155186.87</v>
      </c>
      <c r="M387" s="449">
        <v>0</v>
      </c>
      <c r="N387" s="178">
        <f t="shared" si="137"/>
        <v>0</v>
      </c>
    </row>
    <row r="388" spans="1:14" ht="50.95" outlineLevel="4" x14ac:dyDescent="0.3">
      <c r="A388" s="189" t="s">
        <v>1006</v>
      </c>
      <c r="B388" s="392" t="s">
        <v>455</v>
      </c>
      <c r="C388" s="392" t="s">
        <v>82</v>
      </c>
      <c r="D388" s="392" t="s">
        <v>783</v>
      </c>
      <c r="E388" s="392" t="s">
        <v>6</v>
      </c>
      <c r="F388" s="471">
        <f t="shared" ref="F388:J389" si="170">F389</f>
        <v>71870.870000000112</v>
      </c>
      <c r="G388" s="462">
        <f t="shared" si="170"/>
        <v>34168.619999999879</v>
      </c>
      <c r="H388" s="462"/>
      <c r="I388" s="462">
        <f t="shared" si="170"/>
        <v>0</v>
      </c>
      <c r="J388" s="462">
        <f t="shared" si="170"/>
        <v>0</v>
      </c>
      <c r="K388" s="462">
        <f t="shared" si="138"/>
        <v>0</v>
      </c>
      <c r="L388" s="462">
        <f t="shared" si="139"/>
        <v>-34168.619999999879</v>
      </c>
      <c r="M388" s="462">
        <f t="shared" ref="M388:M389" si="171">M389</f>
        <v>0</v>
      </c>
      <c r="N388" s="178">
        <f t="shared" si="137"/>
        <v>0</v>
      </c>
    </row>
    <row r="389" spans="1:14" ht="50.95" outlineLevel="4" x14ac:dyDescent="0.3">
      <c r="A389" s="189" t="s">
        <v>37</v>
      </c>
      <c r="B389" s="392" t="s">
        <v>455</v>
      </c>
      <c r="C389" s="392" t="s">
        <v>82</v>
      </c>
      <c r="D389" s="392" t="s">
        <v>783</v>
      </c>
      <c r="E389" s="392" t="s">
        <v>38</v>
      </c>
      <c r="F389" s="471">
        <f t="shared" si="170"/>
        <v>71870.870000000112</v>
      </c>
      <c r="G389" s="462">
        <f t="shared" si="170"/>
        <v>34168.619999999879</v>
      </c>
      <c r="H389" s="462"/>
      <c r="I389" s="462">
        <f t="shared" si="170"/>
        <v>0</v>
      </c>
      <c r="J389" s="462">
        <f t="shared" si="170"/>
        <v>0</v>
      </c>
      <c r="K389" s="462">
        <f t="shared" si="138"/>
        <v>0</v>
      </c>
      <c r="L389" s="462">
        <f t="shared" si="139"/>
        <v>-34168.619999999879</v>
      </c>
      <c r="M389" s="462">
        <f t="shared" si="171"/>
        <v>0</v>
      </c>
      <c r="N389" s="178">
        <f t="shared" si="137"/>
        <v>0</v>
      </c>
    </row>
    <row r="390" spans="1:14" outlineLevel="4" x14ac:dyDescent="0.3">
      <c r="A390" s="189" t="s">
        <v>74</v>
      </c>
      <c r="B390" s="392" t="s">
        <v>455</v>
      </c>
      <c r="C390" s="392" t="s">
        <v>82</v>
      </c>
      <c r="D390" s="392" t="s">
        <v>783</v>
      </c>
      <c r="E390" s="392" t="s">
        <v>75</v>
      </c>
      <c r="F390" s="475">
        <f>2072014-2000143.13</f>
        <v>71870.870000000112</v>
      </c>
      <c r="G390" s="506">
        <f>1138353.98+600-1104785.36</f>
        <v>34168.619999999879</v>
      </c>
      <c r="H390" s="462"/>
      <c r="I390" s="462"/>
      <c r="J390" s="449">
        <v>0</v>
      </c>
      <c r="K390" s="462">
        <f t="shared" si="138"/>
        <v>0</v>
      </c>
      <c r="L390" s="462">
        <f t="shared" si="139"/>
        <v>-34168.619999999879</v>
      </c>
      <c r="M390" s="449">
        <v>0</v>
      </c>
      <c r="N390" s="178">
        <f t="shared" si="137"/>
        <v>0</v>
      </c>
    </row>
    <row r="391" spans="1:14" ht="67.95" outlineLevel="4" x14ac:dyDescent="0.3">
      <c r="A391" s="202" t="s">
        <v>1005</v>
      </c>
      <c r="B391" s="392" t="s">
        <v>455</v>
      </c>
      <c r="C391" s="392" t="s">
        <v>82</v>
      </c>
      <c r="D391" s="392" t="s">
        <v>1049</v>
      </c>
      <c r="E391" s="392" t="s">
        <v>6</v>
      </c>
      <c r="F391" s="462" t="s">
        <v>838</v>
      </c>
      <c r="G391" s="462">
        <f t="shared" ref="G391:J392" si="172">G392</f>
        <v>0</v>
      </c>
      <c r="H391" s="462"/>
      <c r="I391" s="462">
        <f t="shared" si="172"/>
        <v>0</v>
      </c>
      <c r="J391" s="462">
        <f t="shared" si="172"/>
        <v>0</v>
      </c>
      <c r="K391" s="462" t="e">
        <f t="shared" si="138"/>
        <v>#DIV/0!</v>
      </c>
      <c r="L391" s="462">
        <f t="shared" si="139"/>
        <v>0</v>
      </c>
      <c r="M391" s="462">
        <f t="shared" ref="M391:M392" si="173">M392</f>
        <v>0</v>
      </c>
      <c r="N391" s="178">
        <f t="shared" si="137"/>
        <v>0</v>
      </c>
    </row>
    <row r="392" spans="1:14" ht="50.95" outlineLevel="4" x14ac:dyDescent="0.3">
      <c r="A392" s="189" t="s">
        <v>37</v>
      </c>
      <c r="B392" s="392" t="s">
        <v>455</v>
      </c>
      <c r="C392" s="392" t="s">
        <v>82</v>
      </c>
      <c r="D392" s="392" t="s">
        <v>1049</v>
      </c>
      <c r="E392" s="392" t="s">
        <v>38</v>
      </c>
      <c r="F392" s="462" t="s">
        <v>838</v>
      </c>
      <c r="G392" s="462">
        <f t="shared" si="172"/>
        <v>0</v>
      </c>
      <c r="H392" s="462"/>
      <c r="I392" s="462">
        <f t="shared" si="172"/>
        <v>0</v>
      </c>
      <c r="J392" s="462">
        <f t="shared" si="172"/>
        <v>0</v>
      </c>
      <c r="K392" s="462" t="e">
        <f t="shared" si="138"/>
        <v>#DIV/0!</v>
      </c>
      <c r="L392" s="462">
        <f t="shared" si="139"/>
        <v>0</v>
      </c>
      <c r="M392" s="462">
        <f t="shared" si="173"/>
        <v>0</v>
      </c>
      <c r="N392" s="178">
        <f t="shared" ref="N392:N455" si="174">M392-J392</f>
        <v>0</v>
      </c>
    </row>
    <row r="393" spans="1:14" outlineLevel="4" x14ac:dyDescent="0.3">
      <c r="A393" s="189" t="s">
        <v>74</v>
      </c>
      <c r="B393" s="392" t="s">
        <v>455</v>
      </c>
      <c r="C393" s="392" t="s">
        <v>82</v>
      </c>
      <c r="D393" s="392" t="s">
        <v>1049</v>
      </c>
      <c r="E393" s="392" t="s">
        <v>75</v>
      </c>
      <c r="F393" s="462" t="s">
        <v>838</v>
      </c>
      <c r="G393" s="462">
        <v>0</v>
      </c>
      <c r="H393" s="462"/>
      <c r="I393" s="462">
        <v>0</v>
      </c>
      <c r="J393" s="449"/>
      <c r="K393" s="462" t="e">
        <f t="shared" ref="K393:K456" si="175">J393/G393*100</f>
        <v>#DIV/0!</v>
      </c>
      <c r="L393" s="462">
        <f t="shared" ref="L393:L456" si="176">J393-G393</f>
        <v>0</v>
      </c>
      <c r="M393" s="449"/>
      <c r="N393" s="178">
        <f t="shared" si="174"/>
        <v>0</v>
      </c>
    </row>
    <row r="394" spans="1:14" ht="84.9" outlineLevel="4" x14ac:dyDescent="0.3">
      <c r="A394" s="202" t="s">
        <v>1050</v>
      </c>
      <c r="B394" s="392" t="s">
        <v>455</v>
      </c>
      <c r="C394" s="392" t="s">
        <v>82</v>
      </c>
      <c r="D394" s="392" t="s">
        <v>1051</v>
      </c>
      <c r="E394" s="392" t="s">
        <v>6</v>
      </c>
      <c r="F394" s="462"/>
      <c r="G394" s="462">
        <f t="shared" ref="G394:J395" si="177">G395</f>
        <v>32776.18</v>
      </c>
      <c r="H394" s="462"/>
      <c r="I394" s="462">
        <f t="shared" si="177"/>
        <v>0</v>
      </c>
      <c r="J394" s="462">
        <f t="shared" si="177"/>
        <v>0</v>
      </c>
      <c r="K394" s="462">
        <f t="shared" si="175"/>
        <v>0</v>
      </c>
      <c r="L394" s="462">
        <f t="shared" si="176"/>
        <v>-32776.18</v>
      </c>
      <c r="M394" s="462">
        <f t="shared" ref="M394:M395" si="178">M395</f>
        <v>0</v>
      </c>
      <c r="N394" s="178">
        <f t="shared" si="174"/>
        <v>0</v>
      </c>
    </row>
    <row r="395" spans="1:14" ht="50.95" outlineLevel="4" x14ac:dyDescent="0.3">
      <c r="A395" s="189" t="s">
        <v>37</v>
      </c>
      <c r="B395" s="392" t="s">
        <v>455</v>
      </c>
      <c r="C395" s="392" t="s">
        <v>82</v>
      </c>
      <c r="D395" s="392" t="s">
        <v>1051</v>
      </c>
      <c r="E395" s="392" t="s">
        <v>38</v>
      </c>
      <c r="F395" s="462"/>
      <c r="G395" s="462">
        <f t="shared" si="177"/>
        <v>32776.18</v>
      </c>
      <c r="H395" s="462"/>
      <c r="I395" s="462">
        <f t="shared" si="177"/>
        <v>0</v>
      </c>
      <c r="J395" s="462">
        <f t="shared" si="177"/>
        <v>0</v>
      </c>
      <c r="K395" s="462">
        <f t="shared" si="175"/>
        <v>0</v>
      </c>
      <c r="L395" s="462">
        <f t="shared" si="176"/>
        <v>-32776.18</v>
      </c>
      <c r="M395" s="462">
        <f t="shared" si="178"/>
        <v>0</v>
      </c>
      <c r="N395" s="178">
        <f t="shared" si="174"/>
        <v>0</v>
      </c>
    </row>
    <row r="396" spans="1:14" outlineLevel="4" x14ac:dyDescent="0.3">
      <c r="A396" s="189" t="s">
        <v>74</v>
      </c>
      <c r="B396" s="392" t="s">
        <v>455</v>
      </c>
      <c r="C396" s="392" t="s">
        <v>82</v>
      </c>
      <c r="D396" s="392" t="s">
        <v>1051</v>
      </c>
      <c r="E396" s="392" t="s">
        <v>75</v>
      </c>
      <c r="F396" s="462"/>
      <c r="G396" s="462">
        <v>32776.18</v>
      </c>
      <c r="H396" s="462"/>
      <c r="I396" s="462"/>
      <c r="J396" s="449"/>
      <c r="K396" s="462">
        <f t="shared" si="175"/>
        <v>0</v>
      </c>
      <c r="L396" s="462">
        <f t="shared" si="176"/>
        <v>-32776.18</v>
      </c>
      <c r="M396" s="449"/>
      <c r="N396" s="178">
        <f t="shared" si="174"/>
        <v>0</v>
      </c>
    </row>
    <row r="397" spans="1:14" outlineLevel="4" x14ac:dyDescent="0.3">
      <c r="A397" s="466" t="s">
        <v>885</v>
      </c>
      <c r="B397" s="397" t="s">
        <v>455</v>
      </c>
      <c r="C397" s="397" t="s">
        <v>82</v>
      </c>
      <c r="D397" s="397" t="s">
        <v>542</v>
      </c>
      <c r="E397" s="397" t="s">
        <v>6</v>
      </c>
      <c r="F397" s="465" t="s">
        <v>838</v>
      </c>
      <c r="G397" s="462">
        <f t="shared" ref="G397:J399" si="179">G398</f>
        <v>24628.83</v>
      </c>
      <c r="H397" s="462"/>
      <c r="I397" s="462">
        <f t="shared" si="179"/>
        <v>0</v>
      </c>
      <c r="J397" s="462">
        <f t="shared" si="179"/>
        <v>0</v>
      </c>
      <c r="K397" s="462">
        <f t="shared" si="175"/>
        <v>0</v>
      </c>
      <c r="L397" s="462">
        <f t="shared" si="176"/>
        <v>-24628.83</v>
      </c>
      <c r="M397" s="462">
        <f t="shared" ref="M397:M399" si="180">M398</f>
        <v>0</v>
      </c>
      <c r="N397" s="178">
        <f t="shared" si="174"/>
        <v>0</v>
      </c>
    </row>
    <row r="398" spans="1:14" outlineLevel="4" x14ac:dyDescent="0.3">
      <c r="A398" s="192" t="s">
        <v>970</v>
      </c>
      <c r="B398" s="392" t="s">
        <v>455</v>
      </c>
      <c r="C398" s="392" t="s">
        <v>82</v>
      </c>
      <c r="D398" s="392" t="s">
        <v>971</v>
      </c>
      <c r="E398" s="392" t="s">
        <v>6</v>
      </c>
      <c r="F398" s="462" t="s">
        <v>838</v>
      </c>
      <c r="G398" s="462">
        <f t="shared" si="179"/>
        <v>24628.83</v>
      </c>
      <c r="H398" s="462"/>
      <c r="I398" s="462">
        <f t="shared" si="179"/>
        <v>0</v>
      </c>
      <c r="J398" s="462">
        <f t="shared" si="179"/>
        <v>0</v>
      </c>
      <c r="K398" s="462">
        <f t="shared" si="175"/>
        <v>0</v>
      </c>
      <c r="L398" s="462">
        <f t="shared" si="176"/>
        <v>-24628.83</v>
      </c>
      <c r="M398" s="462">
        <f t="shared" si="180"/>
        <v>0</v>
      </c>
      <c r="N398" s="178">
        <f t="shared" si="174"/>
        <v>0</v>
      </c>
    </row>
    <row r="399" spans="1:14" ht="50.95" outlineLevel="4" x14ac:dyDescent="0.3">
      <c r="A399" s="189" t="s">
        <v>37</v>
      </c>
      <c r="B399" s="392" t="s">
        <v>455</v>
      </c>
      <c r="C399" s="392" t="s">
        <v>82</v>
      </c>
      <c r="D399" s="392" t="s">
        <v>971</v>
      </c>
      <c r="E399" s="392" t="s">
        <v>38</v>
      </c>
      <c r="F399" s="462" t="s">
        <v>838</v>
      </c>
      <c r="G399" s="462">
        <f t="shared" si="179"/>
        <v>24628.83</v>
      </c>
      <c r="H399" s="462"/>
      <c r="I399" s="462">
        <f t="shared" si="179"/>
        <v>0</v>
      </c>
      <c r="J399" s="462">
        <f t="shared" si="179"/>
        <v>0</v>
      </c>
      <c r="K399" s="462">
        <f t="shared" si="175"/>
        <v>0</v>
      </c>
      <c r="L399" s="462">
        <f t="shared" si="176"/>
        <v>-24628.83</v>
      </c>
      <c r="M399" s="462">
        <f t="shared" si="180"/>
        <v>0</v>
      </c>
      <c r="N399" s="178">
        <f t="shared" si="174"/>
        <v>0</v>
      </c>
    </row>
    <row r="400" spans="1:14" outlineLevel="4" x14ac:dyDescent="0.3">
      <c r="A400" s="189" t="s">
        <v>74</v>
      </c>
      <c r="B400" s="392" t="s">
        <v>455</v>
      </c>
      <c r="C400" s="392" t="s">
        <v>82</v>
      </c>
      <c r="D400" s="392" t="s">
        <v>971</v>
      </c>
      <c r="E400" s="392" t="s">
        <v>75</v>
      </c>
      <c r="F400" s="462" t="s">
        <v>838</v>
      </c>
      <c r="G400" s="462">
        <v>24628.83</v>
      </c>
      <c r="H400" s="462"/>
      <c r="I400" s="462"/>
      <c r="J400" s="449"/>
      <c r="K400" s="462">
        <f t="shared" si="175"/>
        <v>0</v>
      </c>
      <c r="L400" s="462">
        <f t="shared" si="176"/>
        <v>-24628.83</v>
      </c>
      <c r="M400" s="449"/>
      <c r="N400" s="178">
        <f t="shared" si="174"/>
        <v>0</v>
      </c>
    </row>
    <row r="401" spans="1:14" outlineLevel="7" x14ac:dyDescent="0.3">
      <c r="A401" s="233" t="s">
        <v>85</v>
      </c>
      <c r="B401" s="397" t="s">
        <v>455</v>
      </c>
      <c r="C401" s="397" t="s">
        <v>86</v>
      </c>
      <c r="D401" s="397" t="s">
        <v>126</v>
      </c>
      <c r="E401" s="397" t="s">
        <v>6</v>
      </c>
      <c r="F401" s="473">
        <f>F402+F407+F417</f>
        <v>5715146.5099999998</v>
      </c>
      <c r="G401" s="465">
        <f>G402+G407+G425+G440</f>
        <v>8630645.6699999999</v>
      </c>
      <c r="H401" s="465"/>
      <c r="I401" s="465">
        <f>I402+I407+I425+I440</f>
        <v>6070645.6699999999</v>
      </c>
      <c r="J401" s="465">
        <f>J402+J407+J425+J440</f>
        <v>6694834.0199999996</v>
      </c>
      <c r="K401" s="462">
        <f t="shared" si="175"/>
        <v>77.570488651517081</v>
      </c>
      <c r="L401" s="462">
        <f t="shared" si="176"/>
        <v>-1935811.6500000004</v>
      </c>
      <c r="M401" s="465">
        <f>M402+M407+M425+M440</f>
        <v>6694834.0199999996</v>
      </c>
      <c r="N401" s="178">
        <f t="shared" si="174"/>
        <v>0</v>
      </c>
    </row>
    <row r="402" spans="1:14" outlineLevel="7" x14ac:dyDescent="0.3">
      <c r="A402" s="189" t="s">
        <v>87</v>
      </c>
      <c r="B402" s="392" t="s">
        <v>455</v>
      </c>
      <c r="C402" s="392" t="s">
        <v>88</v>
      </c>
      <c r="D402" s="392" t="s">
        <v>126</v>
      </c>
      <c r="E402" s="392" t="s">
        <v>6</v>
      </c>
      <c r="F402" s="471">
        <f t="shared" ref="F402:J405" si="181">F403</f>
        <v>5368146.51</v>
      </c>
      <c r="G402" s="462">
        <f t="shared" si="181"/>
        <v>5533145.6699999999</v>
      </c>
      <c r="H402" s="462"/>
      <c r="I402" s="462">
        <f t="shared" si="181"/>
        <v>5533145.6699999999</v>
      </c>
      <c r="J402" s="462">
        <f t="shared" si="181"/>
        <v>6157334.0199999996</v>
      </c>
      <c r="K402" s="462">
        <f t="shared" si="175"/>
        <v>111.2808949416291</v>
      </c>
      <c r="L402" s="462">
        <f t="shared" si="176"/>
        <v>624188.34999999963</v>
      </c>
      <c r="M402" s="462">
        <f t="shared" ref="M402:M405" si="182">M403</f>
        <v>6157334.0199999996</v>
      </c>
      <c r="N402" s="178">
        <f t="shared" si="174"/>
        <v>0</v>
      </c>
    </row>
    <row r="403" spans="1:14" ht="34" outlineLevel="7" x14ac:dyDescent="0.3">
      <c r="A403" s="233" t="s">
        <v>132</v>
      </c>
      <c r="B403" s="397" t="s">
        <v>455</v>
      </c>
      <c r="C403" s="397" t="s">
        <v>88</v>
      </c>
      <c r="D403" s="397" t="s">
        <v>127</v>
      </c>
      <c r="E403" s="397" t="s">
        <v>6</v>
      </c>
      <c r="F403" s="473">
        <f t="shared" si="181"/>
        <v>5368146.51</v>
      </c>
      <c r="G403" s="465">
        <f t="shared" si="181"/>
        <v>5533145.6699999999</v>
      </c>
      <c r="H403" s="465"/>
      <c r="I403" s="465">
        <f t="shared" si="181"/>
        <v>5533145.6699999999</v>
      </c>
      <c r="J403" s="465">
        <f t="shared" si="181"/>
        <v>6157334.0199999996</v>
      </c>
      <c r="K403" s="462">
        <f t="shared" si="175"/>
        <v>111.2808949416291</v>
      </c>
      <c r="L403" s="462">
        <f t="shared" si="176"/>
        <v>624188.34999999963</v>
      </c>
      <c r="M403" s="465">
        <f t="shared" si="182"/>
        <v>6157334.0199999996</v>
      </c>
      <c r="N403" s="178">
        <f t="shared" si="174"/>
        <v>0</v>
      </c>
    </row>
    <row r="404" spans="1:14" s="224" customFormat="1" ht="26.5" customHeight="1" outlineLevel="7" x14ac:dyDescent="0.3">
      <c r="A404" s="189" t="s">
        <v>89</v>
      </c>
      <c r="B404" s="392" t="s">
        <v>455</v>
      </c>
      <c r="C404" s="392" t="s">
        <v>88</v>
      </c>
      <c r="D404" s="392" t="s">
        <v>142</v>
      </c>
      <c r="E404" s="392" t="s">
        <v>6</v>
      </c>
      <c r="F404" s="471">
        <f t="shared" si="181"/>
        <v>5368146.51</v>
      </c>
      <c r="G404" s="462">
        <f t="shared" si="181"/>
        <v>5533145.6699999999</v>
      </c>
      <c r="H404" s="462"/>
      <c r="I404" s="462">
        <f t="shared" si="181"/>
        <v>5533145.6699999999</v>
      </c>
      <c r="J404" s="462">
        <f t="shared" si="181"/>
        <v>6157334.0199999996</v>
      </c>
      <c r="K404" s="462">
        <f t="shared" si="175"/>
        <v>111.2808949416291</v>
      </c>
      <c r="L404" s="462">
        <f t="shared" si="176"/>
        <v>624188.34999999963</v>
      </c>
      <c r="M404" s="462">
        <f t="shared" si="182"/>
        <v>6157334.0199999996</v>
      </c>
      <c r="N404" s="178">
        <f t="shared" si="174"/>
        <v>0</v>
      </c>
    </row>
    <row r="405" spans="1:14" ht="25.5" customHeight="1" outlineLevel="7" x14ac:dyDescent="0.3">
      <c r="A405" s="189" t="s">
        <v>90</v>
      </c>
      <c r="B405" s="392" t="s">
        <v>455</v>
      </c>
      <c r="C405" s="392" t="s">
        <v>88</v>
      </c>
      <c r="D405" s="392" t="s">
        <v>142</v>
      </c>
      <c r="E405" s="392" t="s">
        <v>91</v>
      </c>
      <c r="F405" s="471">
        <f t="shared" si="181"/>
        <v>5368146.51</v>
      </c>
      <c r="G405" s="462">
        <f t="shared" si="181"/>
        <v>5533145.6699999999</v>
      </c>
      <c r="H405" s="462"/>
      <c r="I405" s="462">
        <f t="shared" si="181"/>
        <v>5533145.6699999999</v>
      </c>
      <c r="J405" s="462">
        <f t="shared" si="181"/>
        <v>6157334.0199999996</v>
      </c>
      <c r="K405" s="462">
        <f t="shared" si="175"/>
        <v>111.2808949416291</v>
      </c>
      <c r="L405" s="462">
        <f t="shared" si="176"/>
        <v>624188.34999999963</v>
      </c>
      <c r="M405" s="462">
        <f t="shared" si="182"/>
        <v>6157334.0199999996</v>
      </c>
      <c r="N405" s="178">
        <f t="shared" si="174"/>
        <v>0</v>
      </c>
    </row>
    <row r="406" spans="1:14" ht="34" outlineLevel="7" x14ac:dyDescent="0.3">
      <c r="A406" s="189" t="s">
        <v>92</v>
      </c>
      <c r="B406" s="392" t="s">
        <v>455</v>
      </c>
      <c r="C406" s="392" t="s">
        <v>88</v>
      </c>
      <c r="D406" s="392" t="s">
        <v>142</v>
      </c>
      <c r="E406" s="392" t="s">
        <v>93</v>
      </c>
      <c r="F406" s="475">
        <v>5368146.51</v>
      </c>
      <c r="G406" s="449">
        <f>'потребность 2023 (5)'!K426</f>
        <v>5533145.6699999999</v>
      </c>
      <c r="H406" s="449"/>
      <c r="I406" s="449">
        <v>5533145.6699999999</v>
      </c>
      <c r="J406" s="449">
        <v>6157334.0199999996</v>
      </c>
      <c r="K406" s="462">
        <f t="shared" si="175"/>
        <v>111.2808949416291</v>
      </c>
      <c r="L406" s="462">
        <f t="shared" si="176"/>
        <v>624188.34999999963</v>
      </c>
      <c r="M406" s="449">
        <v>6157334.0199999996</v>
      </c>
      <c r="N406" s="178">
        <f t="shared" si="174"/>
        <v>0</v>
      </c>
    </row>
    <row r="407" spans="1:14" outlineLevel="7" x14ac:dyDescent="0.3">
      <c r="A407" s="189" t="s">
        <v>94</v>
      </c>
      <c r="B407" s="392" t="s">
        <v>455</v>
      </c>
      <c r="C407" s="392" t="s">
        <v>95</v>
      </c>
      <c r="D407" s="392" t="s">
        <v>126</v>
      </c>
      <c r="E407" s="392" t="s">
        <v>6</v>
      </c>
      <c r="F407" s="471">
        <f>F408</f>
        <v>173500</v>
      </c>
      <c r="G407" s="462">
        <f>G408+G418+G413</f>
        <v>2973500</v>
      </c>
      <c r="H407" s="462"/>
      <c r="I407" s="462">
        <f>I408+I418+I413</f>
        <v>423500</v>
      </c>
      <c r="J407" s="462">
        <f>J408+J418+J413</f>
        <v>423500</v>
      </c>
      <c r="K407" s="462">
        <f t="shared" si="175"/>
        <v>14.24247519757861</v>
      </c>
      <c r="L407" s="462">
        <f t="shared" si="176"/>
        <v>-2550000</v>
      </c>
      <c r="M407" s="462">
        <f>M408+M418+M413</f>
        <v>423500</v>
      </c>
      <c r="N407" s="178">
        <f t="shared" si="174"/>
        <v>0</v>
      </c>
    </row>
    <row r="408" spans="1:14" ht="50.95" outlineLevel="7" x14ac:dyDescent="0.3">
      <c r="A408" s="233" t="s">
        <v>1016</v>
      </c>
      <c r="B408" s="392" t="s">
        <v>455</v>
      </c>
      <c r="C408" s="397" t="s">
        <v>95</v>
      </c>
      <c r="D408" s="397" t="s">
        <v>129</v>
      </c>
      <c r="E408" s="397" t="s">
        <v>6</v>
      </c>
      <c r="F408" s="477">
        <f>F413</f>
        <v>173500</v>
      </c>
      <c r="G408" s="465">
        <f t="shared" ref="G408:J411" si="183">G409</f>
        <v>150000</v>
      </c>
      <c r="H408" s="465"/>
      <c r="I408" s="465">
        <f t="shared" si="183"/>
        <v>150000</v>
      </c>
      <c r="J408" s="465">
        <f t="shared" si="183"/>
        <v>150000</v>
      </c>
      <c r="K408" s="462">
        <f t="shared" si="175"/>
        <v>100</v>
      </c>
      <c r="L408" s="462">
        <f t="shared" si="176"/>
        <v>0</v>
      </c>
      <c r="M408" s="465">
        <f t="shared" ref="M408:M411" si="184">M409</f>
        <v>150000</v>
      </c>
      <c r="N408" s="178">
        <f t="shared" si="174"/>
        <v>0</v>
      </c>
    </row>
    <row r="409" spans="1:14" ht="34" outlineLevel="7" x14ac:dyDescent="0.3">
      <c r="A409" s="189" t="s">
        <v>355</v>
      </c>
      <c r="B409" s="392" t="s">
        <v>455</v>
      </c>
      <c r="C409" s="392" t="s">
        <v>95</v>
      </c>
      <c r="D409" s="392" t="s">
        <v>404</v>
      </c>
      <c r="E409" s="392" t="s">
        <v>6</v>
      </c>
      <c r="F409" s="449">
        <v>0</v>
      </c>
      <c r="G409" s="462">
        <f t="shared" si="183"/>
        <v>150000</v>
      </c>
      <c r="H409" s="462"/>
      <c r="I409" s="462">
        <f t="shared" si="183"/>
        <v>150000</v>
      </c>
      <c r="J409" s="462">
        <f t="shared" si="183"/>
        <v>150000</v>
      </c>
      <c r="K409" s="462">
        <f t="shared" si="175"/>
        <v>100</v>
      </c>
      <c r="L409" s="462">
        <f t="shared" si="176"/>
        <v>0</v>
      </c>
      <c r="M409" s="462">
        <f t="shared" si="184"/>
        <v>150000</v>
      </c>
      <c r="N409" s="178">
        <f t="shared" si="174"/>
        <v>0</v>
      </c>
    </row>
    <row r="410" spans="1:14" ht="34" outlineLevel="7" x14ac:dyDescent="0.3">
      <c r="A410" s="189" t="s">
        <v>99</v>
      </c>
      <c r="B410" s="392" t="s">
        <v>455</v>
      </c>
      <c r="C410" s="392" t="s">
        <v>95</v>
      </c>
      <c r="D410" s="392" t="s">
        <v>388</v>
      </c>
      <c r="E410" s="392" t="s">
        <v>6</v>
      </c>
      <c r="F410" s="449">
        <v>0</v>
      </c>
      <c r="G410" s="462">
        <f t="shared" si="183"/>
        <v>150000</v>
      </c>
      <c r="H410" s="462"/>
      <c r="I410" s="462">
        <f t="shared" si="183"/>
        <v>150000</v>
      </c>
      <c r="J410" s="462">
        <f t="shared" si="183"/>
        <v>150000</v>
      </c>
      <c r="K410" s="462">
        <f t="shared" si="175"/>
        <v>100</v>
      </c>
      <c r="L410" s="462">
        <f t="shared" si="176"/>
        <v>0</v>
      </c>
      <c r="M410" s="462">
        <f t="shared" si="184"/>
        <v>150000</v>
      </c>
      <c r="N410" s="178">
        <f t="shared" si="174"/>
        <v>0</v>
      </c>
    </row>
    <row r="411" spans="1:14" ht="34" outlineLevel="7" x14ac:dyDescent="0.3">
      <c r="A411" s="189" t="s">
        <v>90</v>
      </c>
      <c r="B411" s="392" t="s">
        <v>455</v>
      </c>
      <c r="C411" s="392" t="s">
        <v>95</v>
      </c>
      <c r="D411" s="392" t="s">
        <v>388</v>
      </c>
      <c r="E411" s="392" t="s">
        <v>91</v>
      </c>
      <c r="F411" s="449">
        <v>0</v>
      </c>
      <c r="G411" s="462">
        <f t="shared" si="183"/>
        <v>150000</v>
      </c>
      <c r="H411" s="462"/>
      <c r="I411" s="462">
        <f t="shared" si="183"/>
        <v>150000</v>
      </c>
      <c r="J411" s="462">
        <f t="shared" si="183"/>
        <v>150000</v>
      </c>
      <c r="K411" s="462">
        <f t="shared" si="175"/>
        <v>100</v>
      </c>
      <c r="L411" s="462">
        <f t="shared" si="176"/>
        <v>0</v>
      </c>
      <c r="M411" s="462">
        <f t="shared" si="184"/>
        <v>150000</v>
      </c>
      <c r="N411" s="178">
        <f t="shared" si="174"/>
        <v>0</v>
      </c>
    </row>
    <row r="412" spans="1:14" ht="34" outlineLevel="7" x14ac:dyDescent="0.3">
      <c r="A412" s="189" t="s">
        <v>97</v>
      </c>
      <c r="B412" s="392" t="s">
        <v>455</v>
      </c>
      <c r="C412" s="392" t="s">
        <v>95</v>
      </c>
      <c r="D412" s="392" t="s">
        <v>388</v>
      </c>
      <c r="E412" s="392" t="s">
        <v>98</v>
      </c>
      <c r="F412" s="449">
        <v>0</v>
      </c>
      <c r="G412" s="449">
        <f>'потребность 2023 (5)'!K432</f>
        <v>150000</v>
      </c>
      <c r="H412" s="449"/>
      <c r="I412" s="449">
        <v>150000</v>
      </c>
      <c r="J412" s="449">
        <v>150000</v>
      </c>
      <c r="K412" s="462">
        <f t="shared" si="175"/>
        <v>100</v>
      </c>
      <c r="L412" s="462">
        <f t="shared" si="176"/>
        <v>0</v>
      </c>
      <c r="M412" s="449">
        <v>150000</v>
      </c>
      <c r="N412" s="178">
        <f t="shared" si="174"/>
        <v>0</v>
      </c>
    </row>
    <row r="413" spans="1:14" ht="50.95" outlineLevel="1" x14ac:dyDescent="0.3">
      <c r="A413" s="233" t="s">
        <v>1036</v>
      </c>
      <c r="B413" s="392" t="s">
        <v>455</v>
      </c>
      <c r="C413" s="397" t="s">
        <v>95</v>
      </c>
      <c r="D413" s="397" t="s">
        <v>356</v>
      </c>
      <c r="E413" s="397" t="s">
        <v>6</v>
      </c>
      <c r="F413" s="476">
        <f>F414</f>
        <v>173500</v>
      </c>
      <c r="G413" s="467">
        <f t="shared" ref="G413:J416" si="185">G414</f>
        <v>173500</v>
      </c>
      <c r="H413" s="467"/>
      <c r="I413" s="467">
        <f t="shared" si="185"/>
        <v>173500</v>
      </c>
      <c r="J413" s="467">
        <f t="shared" si="185"/>
        <v>173500</v>
      </c>
      <c r="K413" s="462">
        <f t="shared" si="175"/>
        <v>100</v>
      </c>
      <c r="L413" s="462">
        <f t="shared" si="176"/>
        <v>0</v>
      </c>
      <c r="M413" s="467">
        <f t="shared" ref="M413:M416" si="186">M414</f>
        <v>173500</v>
      </c>
      <c r="N413" s="178">
        <f t="shared" si="174"/>
        <v>0</v>
      </c>
    </row>
    <row r="414" spans="1:14" ht="44.5" customHeight="1" outlineLevel="1" x14ac:dyDescent="0.3">
      <c r="A414" s="189" t="s">
        <v>373</v>
      </c>
      <c r="B414" s="392" t="s">
        <v>455</v>
      </c>
      <c r="C414" s="392" t="s">
        <v>95</v>
      </c>
      <c r="D414" s="392" t="s">
        <v>357</v>
      </c>
      <c r="E414" s="392" t="s">
        <v>6</v>
      </c>
      <c r="F414" s="471">
        <f>F415</f>
        <v>173500</v>
      </c>
      <c r="G414" s="449">
        <f t="shared" si="185"/>
        <v>173500</v>
      </c>
      <c r="H414" s="449"/>
      <c r="I414" s="449">
        <f t="shared" si="185"/>
        <v>173500</v>
      </c>
      <c r="J414" s="449">
        <f t="shared" si="185"/>
        <v>173500</v>
      </c>
      <c r="K414" s="462">
        <f t="shared" si="175"/>
        <v>100</v>
      </c>
      <c r="L414" s="462">
        <f t="shared" si="176"/>
        <v>0</v>
      </c>
      <c r="M414" s="449">
        <f t="shared" si="186"/>
        <v>173500</v>
      </c>
      <c r="N414" s="178">
        <f t="shared" si="174"/>
        <v>0</v>
      </c>
    </row>
    <row r="415" spans="1:14" ht="35.5" customHeight="1" outlineLevel="1" x14ac:dyDescent="0.3">
      <c r="A415" s="189" t="s">
        <v>847</v>
      </c>
      <c r="B415" s="392" t="s">
        <v>455</v>
      </c>
      <c r="C415" s="392" t="s">
        <v>95</v>
      </c>
      <c r="D415" s="392" t="s">
        <v>358</v>
      </c>
      <c r="E415" s="392" t="s">
        <v>6</v>
      </c>
      <c r="F415" s="476">
        <f>F416</f>
        <v>173500</v>
      </c>
      <c r="G415" s="462">
        <f t="shared" si="185"/>
        <v>173500</v>
      </c>
      <c r="H415" s="462"/>
      <c r="I415" s="462">
        <f t="shared" si="185"/>
        <v>173500</v>
      </c>
      <c r="J415" s="462">
        <f t="shared" si="185"/>
        <v>173500</v>
      </c>
      <c r="K415" s="462">
        <f t="shared" si="175"/>
        <v>100</v>
      </c>
      <c r="L415" s="462">
        <f t="shared" si="176"/>
        <v>0</v>
      </c>
      <c r="M415" s="462">
        <f t="shared" si="186"/>
        <v>173500</v>
      </c>
      <c r="N415" s="178">
        <f t="shared" si="174"/>
        <v>0</v>
      </c>
    </row>
    <row r="416" spans="1:14" ht="34" outlineLevel="1" x14ac:dyDescent="0.3">
      <c r="A416" s="189" t="s">
        <v>90</v>
      </c>
      <c r="B416" s="392" t="s">
        <v>455</v>
      </c>
      <c r="C416" s="392" t="s">
        <v>95</v>
      </c>
      <c r="D416" s="392" t="s">
        <v>358</v>
      </c>
      <c r="E416" s="392" t="s">
        <v>91</v>
      </c>
      <c r="F416" s="475">
        <f>F417</f>
        <v>173500</v>
      </c>
      <c r="G416" s="449">
        <f t="shared" si="185"/>
        <v>173500</v>
      </c>
      <c r="H416" s="449"/>
      <c r="I416" s="449">
        <f t="shared" si="185"/>
        <v>173500</v>
      </c>
      <c r="J416" s="449">
        <f t="shared" si="185"/>
        <v>173500</v>
      </c>
      <c r="K416" s="462">
        <f t="shared" si="175"/>
        <v>100</v>
      </c>
      <c r="L416" s="462">
        <f t="shared" si="176"/>
        <v>0</v>
      </c>
      <c r="M416" s="449">
        <f t="shared" si="186"/>
        <v>173500</v>
      </c>
      <c r="N416" s="178">
        <f t="shared" si="174"/>
        <v>0</v>
      </c>
    </row>
    <row r="417" spans="1:14" ht="34" outlineLevel="1" x14ac:dyDescent="0.3">
      <c r="A417" s="189" t="s">
        <v>97</v>
      </c>
      <c r="B417" s="392" t="s">
        <v>455</v>
      </c>
      <c r="C417" s="392" t="s">
        <v>95</v>
      </c>
      <c r="D417" s="392" t="s">
        <v>358</v>
      </c>
      <c r="E417" s="392" t="s">
        <v>98</v>
      </c>
      <c r="F417" s="475">
        <v>173500</v>
      </c>
      <c r="G417" s="462">
        <v>173500</v>
      </c>
      <c r="H417" s="462"/>
      <c r="I417" s="462">
        <v>173500</v>
      </c>
      <c r="J417" s="449">
        <v>173500</v>
      </c>
      <c r="K417" s="462">
        <f t="shared" si="175"/>
        <v>100</v>
      </c>
      <c r="L417" s="462">
        <f t="shared" si="176"/>
        <v>0</v>
      </c>
      <c r="M417" s="449">
        <v>173500</v>
      </c>
      <c r="N417" s="178">
        <f t="shared" si="174"/>
        <v>0</v>
      </c>
    </row>
    <row r="418" spans="1:14" ht="34" outlineLevel="1" x14ac:dyDescent="0.3">
      <c r="A418" s="233" t="s">
        <v>132</v>
      </c>
      <c r="B418" s="397" t="s">
        <v>455</v>
      </c>
      <c r="C418" s="397" t="s">
        <v>95</v>
      </c>
      <c r="D418" s="397" t="s">
        <v>127</v>
      </c>
      <c r="E418" s="397" t="s">
        <v>6</v>
      </c>
      <c r="F418" s="477">
        <f t="shared" ref="F418:J420" si="187">F419</f>
        <v>100000</v>
      </c>
      <c r="G418" s="467">
        <f>G419+G422</f>
        <v>2650000</v>
      </c>
      <c r="H418" s="467"/>
      <c r="I418" s="467">
        <f>I419+I422</f>
        <v>100000</v>
      </c>
      <c r="J418" s="467">
        <f>J419+J422</f>
        <v>100000</v>
      </c>
      <c r="K418" s="462">
        <f t="shared" si="175"/>
        <v>3.7735849056603774</v>
      </c>
      <c r="L418" s="462">
        <f t="shared" si="176"/>
        <v>-2550000</v>
      </c>
      <c r="M418" s="467">
        <f>M419+M422</f>
        <v>100000</v>
      </c>
      <c r="N418" s="178">
        <f t="shared" si="174"/>
        <v>0</v>
      </c>
    </row>
    <row r="419" spans="1:14" ht="34" outlineLevel="1" x14ac:dyDescent="0.3">
      <c r="A419" s="189" t="s">
        <v>883</v>
      </c>
      <c r="B419" s="392" t="s">
        <v>455</v>
      </c>
      <c r="C419" s="392" t="s">
        <v>95</v>
      </c>
      <c r="D419" s="392" t="s">
        <v>493</v>
      </c>
      <c r="E419" s="392" t="s">
        <v>6</v>
      </c>
      <c r="F419" s="476">
        <f t="shared" si="187"/>
        <v>100000</v>
      </c>
      <c r="G419" s="449">
        <f t="shared" si="187"/>
        <v>350000</v>
      </c>
      <c r="H419" s="449"/>
      <c r="I419" s="449">
        <f t="shared" si="187"/>
        <v>100000</v>
      </c>
      <c r="J419" s="449">
        <f t="shared" si="187"/>
        <v>100000</v>
      </c>
      <c r="K419" s="462">
        <f t="shared" si="175"/>
        <v>28.571428571428569</v>
      </c>
      <c r="L419" s="462">
        <f t="shared" si="176"/>
        <v>-250000</v>
      </c>
      <c r="M419" s="449">
        <f t="shared" ref="M419:M420" si="188">M420</f>
        <v>100000</v>
      </c>
      <c r="N419" s="178">
        <f t="shared" si="174"/>
        <v>0</v>
      </c>
    </row>
    <row r="420" spans="1:14" ht="34" outlineLevel="1" x14ac:dyDescent="0.3">
      <c r="A420" s="189" t="s">
        <v>90</v>
      </c>
      <c r="B420" s="392" t="s">
        <v>455</v>
      </c>
      <c r="C420" s="392" t="s">
        <v>95</v>
      </c>
      <c r="D420" s="392" t="s">
        <v>493</v>
      </c>
      <c r="E420" s="392" t="s">
        <v>91</v>
      </c>
      <c r="F420" s="476">
        <f t="shared" si="187"/>
        <v>100000</v>
      </c>
      <c r="G420" s="449">
        <f t="shared" si="187"/>
        <v>350000</v>
      </c>
      <c r="H420" s="449"/>
      <c r="I420" s="449">
        <f t="shared" si="187"/>
        <v>100000</v>
      </c>
      <c r="J420" s="449">
        <f t="shared" si="187"/>
        <v>100000</v>
      </c>
      <c r="K420" s="462">
        <f t="shared" si="175"/>
        <v>28.571428571428569</v>
      </c>
      <c r="L420" s="462">
        <f t="shared" si="176"/>
        <v>-250000</v>
      </c>
      <c r="M420" s="449">
        <f t="shared" si="188"/>
        <v>100000</v>
      </c>
      <c r="N420" s="178">
        <f t="shared" si="174"/>
        <v>0</v>
      </c>
    </row>
    <row r="421" spans="1:14" ht="20.25" customHeight="1" outlineLevel="1" x14ac:dyDescent="0.3">
      <c r="A421" s="189" t="s">
        <v>298</v>
      </c>
      <c r="B421" s="392" t="s">
        <v>455</v>
      </c>
      <c r="C421" s="392" t="s">
        <v>95</v>
      </c>
      <c r="D421" s="392" t="s">
        <v>493</v>
      </c>
      <c r="E421" s="392" t="s">
        <v>299</v>
      </c>
      <c r="F421" s="475">
        <v>100000</v>
      </c>
      <c r="G421" s="462">
        <f>'потребность 2023 (5)'!K441+150000+100000</f>
        <v>350000</v>
      </c>
      <c r="H421" s="462"/>
      <c r="I421" s="462">
        <v>100000</v>
      </c>
      <c r="J421" s="449">
        <v>100000</v>
      </c>
      <c r="K421" s="462">
        <f t="shared" si="175"/>
        <v>28.571428571428569</v>
      </c>
      <c r="L421" s="462">
        <f t="shared" si="176"/>
        <v>-250000</v>
      </c>
      <c r="M421" s="449">
        <v>100000</v>
      </c>
      <c r="N421" s="178">
        <f t="shared" si="174"/>
        <v>0</v>
      </c>
    </row>
    <row r="422" spans="1:14" ht="109.4" customHeight="1" outlineLevel="1" x14ac:dyDescent="0.3">
      <c r="A422" s="480" t="s">
        <v>808</v>
      </c>
      <c r="B422" s="392" t="s">
        <v>455</v>
      </c>
      <c r="C422" s="392" t="s">
        <v>95</v>
      </c>
      <c r="D422" s="392" t="s">
        <v>809</v>
      </c>
      <c r="E422" s="392" t="s">
        <v>6</v>
      </c>
      <c r="F422" s="498">
        <f>F423</f>
        <v>1620502.4</v>
      </c>
      <c r="G422" s="462">
        <f t="shared" ref="G422:J423" si="189">G423</f>
        <v>2300000</v>
      </c>
      <c r="H422" s="462"/>
      <c r="I422" s="462">
        <f t="shared" si="189"/>
        <v>0</v>
      </c>
      <c r="J422" s="462">
        <f t="shared" si="189"/>
        <v>0</v>
      </c>
      <c r="K422" s="462">
        <f t="shared" si="175"/>
        <v>0</v>
      </c>
      <c r="L422" s="462">
        <f t="shared" si="176"/>
        <v>-2300000</v>
      </c>
      <c r="M422" s="462">
        <f t="shared" ref="M422:M423" si="190">M423</f>
        <v>0</v>
      </c>
      <c r="N422" s="178">
        <f t="shared" si="174"/>
        <v>0</v>
      </c>
    </row>
    <row r="423" spans="1:14" ht="20.25" customHeight="1" outlineLevel="1" x14ac:dyDescent="0.3">
      <c r="A423" s="189" t="s">
        <v>90</v>
      </c>
      <c r="B423" s="392" t="s">
        <v>455</v>
      </c>
      <c r="C423" s="392" t="s">
        <v>95</v>
      </c>
      <c r="D423" s="392" t="s">
        <v>809</v>
      </c>
      <c r="E423" s="392" t="s">
        <v>91</v>
      </c>
      <c r="F423" s="498">
        <f>F424</f>
        <v>1620502.4</v>
      </c>
      <c r="G423" s="462">
        <f t="shared" si="189"/>
        <v>2300000</v>
      </c>
      <c r="H423" s="462"/>
      <c r="I423" s="462">
        <f t="shared" si="189"/>
        <v>0</v>
      </c>
      <c r="J423" s="462">
        <f t="shared" si="189"/>
        <v>0</v>
      </c>
      <c r="K423" s="462">
        <f t="shared" si="175"/>
        <v>0</v>
      </c>
      <c r="L423" s="462">
        <f t="shared" si="176"/>
        <v>-2300000</v>
      </c>
      <c r="M423" s="462">
        <f t="shared" si="190"/>
        <v>0</v>
      </c>
      <c r="N423" s="178">
        <f t="shared" si="174"/>
        <v>0</v>
      </c>
    </row>
    <row r="424" spans="1:14" ht="76.099999999999994" customHeight="1" outlineLevel="1" x14ac:dyDescent="0.3">
      <c r="A424" s="189" t="s">
        <v>298</v>
      </c>
      <c r="B424" s="392" t="s">
        <v>455</v>
      </c>
      <c r="C424" s="392" t="s">
        <v>95</v>
      </c>
      <c r="D424" s="392" t="s">
        <v>809</v>
      </c>
      <c r="E424" s="392" t="s">
        <v>299</v>
      </c>
      <c r="F424" s="499">
        <v>1620502.4</v>
      </c>
      <c r="G424" s="462">
        <f>1600000+150000+550000</f>
        <v>2300000</v>
      </c>
      <c r="H424" s="462"/>
      <c r="I424" s="462">
        <v>0</v>
      </c>
      <c r="J424" s="449"/>
      <c r="K424" s="462">
        <f t="shared" si="175"/>
        <v>0</v>
      </c>
      <c r="L424" s="462">
        <f t="shared" si="176"/>
        <v>-2300000</v>
      </c>
      <c r="M424" s="449"/>
      <c r="N424" s="178">
        <f t="shared" si="174"/>
        <v>0</v>
      </c>
    </row>
    <row r="425" spans="1:14" ht="23.8" customHeight="1" outlineLevel="1" x14ac:dyDescent="0.3">
      <c r="A425" s="189" t="s">
        <v>123</v>
      </c>
      <c r="B425" s="392" t="s">
        <v>455</v>
      </c>
      <c r="C425" s="392" t="s">
        <v>124</v>
      </c>
      <c r="D425" s="392" t="s">
        <v>126</v>
      </c>
      <c r="E425" s="392" t="s">
        <v>6</v>
      </c>
      <c r="F425" s="476">
        <f>F426</f>
        <v>0</v>
      </c>
      <c r="G425" s="449">
        <f t="shared" ref="G425:J426" si="191">G426</f>
        <v>0</v>
      </c>
      <c r="H425" s="449"/>
      <c r="I425" s="449">
        <f t="shared" si="191"/>
        <v>0</v>
      </c>
      <c r="J425" s="449">
        <f t="shared" si="191"/>
        <v>0</v>
      </c>
      <c r="K425" s="462" t="e">
        <f t="shared" si="175"/>
        <v>#DIV/0!</v>
      </c>
      <c r="L425" s="462">
        <f t="shared" si="176"/>
        <v>0</v>
      </c>
      <c r="M425" s="449">
        <f t="shared" ref="M425:M426" si="192">M426</f>
        <v>0</v>
      </c>
      <c r="N425" s="178">
        <f t="shared" si="174"/>
        <v>0</v>
      </c>
    </row>
    <row r="426" spans="1:14" ht="31.95" customHeight="1" outlineLevel="1" x14ac:dyDescent="0.3">
      <c r="A426" s="233" t="s">
        <v>132</v>
      </c>
      <c r="B426" s="397" t="s">
        <v>455</v>
      </c>
      <c r="C426" s="397" t="s">
        <v>124</v>
      </c>
      <c r="D426" s="397" t="s">
        <v>127</v>
      </c>
      <c r="E426" s="397" t="s">
        <v>6</v>
      </c>
      <c r="F426" s="477">
        <f>F427</f>
        <v>0</v>
      </c>
      <c r="G426" s="467">
        <f t="shared" si="191"/>
        <v>0</v>
      </c>
      <c r="H426" s="467"/>
      <c r="I426" s="467">
        <f t="shared" si="191"/>
        <v>0</v>
      </c>
      <c r="J426" s="467">
        <f t="shared" si="191"/>
        <v>0</v>
      </c>
      <c r="K426" s="462" t="e">
        <f t="shared" si="175"/>
        <v>#DIV/0!</v>
      </c>
      <c r="L426" s="462">
        <f t="shared" si="176"/>
        <v>0</v>
      </c>
      <c r="M426" s="467">
        <f t="shared" si="192"/>
        <v>0</v>
      </c>
      <c r="N426" s="178">
        <f t="shared" si="174"/>
        <v>0</v>
      </c>
    </row>
    <row r="427" spans="1:14" ht="39.4" customHeight="1" outlineLevel="1" x14ac:dyDescent="0.3">
      <c r="A427" s="189" t="s">
        <v>269</v>
      </c>
      <c r="B427" s="392" t="s">
        <v>455</v>
      </c>
      <c r="C427" s="392" t="s">
        <v>124</v>
      </c>
      <c r="D427" s="392" t="s">
        <v>268</v>
      </c>
      <c r="E427" s="392" t="s">
        <v>6</v>
      </c>
      <c r="F427" s="476">
        <v>0</v>
      </c>
      <c r="G427" s="449">
        <v>0</v>
      </c>
      <c r="H427" s="449"/>
      <c r="I427" s="449">
        <v>0</v>
      </c>
      <c r="J427" s="449">
        <f>J437+J428+J434</f>
        <v>0</v>
      </c>
      <c r="K427" s="462" t="e">
        <f t="shared" si="175"/>
        <v>#DIV/0!</v>
      </c>
      <c r="L427" s="462">
        <f t="shared" si="176"/>
        <v>0</v>
      </c>
      <c r="M427" s="449">
        <f>M437+M428+M434</f>
        <v>0</v>
      </c>
      <c r="N427" s="178">
        <f t="shared" si="174"/>
        <v>0</v>
      </c>
    </row>
    <row r="428" spans="1:14" s="224" customFormat="1" ht="35.5" customHeight="1" outlineLevel="1" x14ac:dyDescent="0.3">
      <c r="A428" s="188" t="s">
        <v>934</v>
      </c>
      <c r="B428" s="392" t="s">
        <v>455</v>
      </c>
      <c r="C428" s="392" t="s">
        <v>124</v>
      </c>
      <c r="D428" s="392" t="s">
        <v>399</v>
      </c>
      <c r="E428" s="392" t="s">
        <v>6</v>
      </c>
      <c r="F428" s="471">
        <f>F429+F431</f>
        <v>0</v>
      </c>
      <c r="G428" s="462">
        <f>G429+G431</f>
        <v>0</v>
      </c>
      <c r="H428" s="462"/>
      <c r="I428" s="462">
        <f>I429+I431</f>
        <v>37279299.5</v>
      </c>
      <c r="J428" s="462">
        <f>J429+J431</f>
        <v>0</v>
      </c>
      <c r="K428" s="462" t="e">
        <f t="shared" si="175"/>
        <v>#DIV/0!</v>
      </c>
      <c r="L428" s="462">
        <f t="shared" si="176"/>
        <v>0</v>
      </c>
      <c r="M428" s="462">
        <f>M429+M431</f>
        <v>0</v>
      </c>
      <c r="N428" s="178">
        <f t="shared" si="174"/>
        <v>0</v>
      </c>
    </row>
    <row r="429" spans="1:14" ht="53.7" customHeight="1" outlineLevel="1" x14ac:dyDescent="0.3">
      <c r="A429" s="189" t="s">
        <v>15</v>
      </c>
      <c r="B429" s="392" t="s">
        <v>455</v>
      </c>
      <c r="C429" s="392" t="s">
        <v>124</v>
      </c>
      <c r="D429" s="392" t="s">
        <v>399</v>
      </c>
      <c r="E429" s="392" t="s">
        <v>16</v>
      </c>
      <c r="F429" s="471">
        <f>F430</f>
        <v>0</v>
      </c>
      <c r="G429" s="462">
        <f>G430</f>
        <v>0</v>
      </c>
      <c r="H429" s="462"/>
      <c r="I429" s="462">
        <f>I430</f>
        <v>130000</v>
      </c>
      <c r="J429" s="462">
        <f>J430</f>
        <v>0</v>
      </c>
      <c r="K429" s="462" t="e">
        <f t="shared" si="175"/>
        <v>#DIV/0!</v>
      </c>
      <c r="L429" s="462">
        <f t="shared" si="176"/>
        <v>0</v>
      </c>
      <c r="M429" s="462">
        <f>M430</f>
        <v>0</v>
      </c>
      <c r="N429" s="178">
        <f t="shared" si="174"/>
        <v>0</v>
      </c>
    </row>
    <row r="430" spans="1:14" s="224" customFormat="1" ht="39.4" customHeight="1" outlineLevel="1" x14ac:dyDescent="0.3">
      <c r="A430" s="189" t="s">
        <v>17</v>
      </c>
      <c r="B430" s="392" t="s">
        <v>455</v>
      </c>
      <c r="C430" s="392" t="s">
        <v>124</v>
      </c>
      <c r="D430" s="392" t="s">
        <v>399</v>
      </c>
      <c r="E430" s="392" t="s">
        <v>18</v>
      </c>
      <c r="F430" s="475">
        <v>0</v>
      </c>
      <c r="G430" s="462">
        <v>0</v>
      </c>
      <c r="H430" s="462"/>
      <c r="I430" s="462">
        <v>130000</v>
      </c>
      <c r="J430" s="467"/>
      <c r="K430" s="462" t="e">
        <f t="shared" si="175"/>
        <v>#DIV/0!</v>
      </c>
      <c r="L430" s="462">
        <f t="shared" si="176"/>
        <v>0</v>
      </c>
      <c r="M430" s="467"/>
      <c r="N430" s="178">
        <f t="shared" si="174"/>
        <v>0</v>
      </c>
    </row>
    <row r="431" spans="1:14" ht="50.3" customHeight="1" outlineLevel="1" x14ac:dyDescent="0.3">
      <c r="A431" s="189" t="s">
        <v>90</v>
      </c>
      <c r="B431" s="392" t="s">
        <v>455</v>
      </c>
      <c r="C431" s="392" t="s">
        <v>124</v>
      </c>
      <c r="D431" s="392" t="s">
        <v>399</v>
      </c>
      <c r="E431" s="392" t="s">
        <v>91</v>
      </c>
      <c r="F431" s="471">
        <f>F432+F433</f>
        <v>0</v>
      </c>
      <c r="G431" s="462">
        <f>G432+G433</f>
        <v>0</v>
      </c>
      <c r="H431" s="462"/>
      <c r="I431" s="462">
        <f>I432+I433</f>
        <v>37149299.5</v>
      </c>
      <c r="J431" s="462">
        <f>J432+J433</f>
        <v>0</v>
      </c>
      <c r="K431" s="462" t="e">
        <f t="shared" si="175"/>
        <v>#DIV/0!</v>
      </c>
      <c r="L431" s="462">
        <f t="shared" si="176"/>
        <v>0</v>
      </c>
      <c r="M431" s="462">
        <f>M432+M433</f>
        <v>0</v>
      </c>
      <c r="N431" s="178">
        <f t="shared" si="174"/>
        <v>0</v>
      </c>
    </row>
    <row r="432" spans="1:14" ht="52.3" customHeight="1" outlineLevel="1" x14ac:dyDescent="0.3">
      <c r="A432" s="189" t="s">
        <v>92</v>
      </c>
      <c r="B432" s="392" t="s">
        <v>455</v>
      </c>
      <c r="C432" s="392" t="s">
        <v>124</v>
      </c>
      <c r="D432" s="392" t="s">
        <v>399</v>
      </c>
      <c r="E432" s="392" t="s">
        <v>93</v>
      </c>
      <c r="F432" s="475">
        <v>0</v>
      </c>
      <c r="G432" s="462">
        <v>0</v>
      </c>
      <c r="H432" s="462"/>
      <c r="I432" s="462">
        <f>37279299.5-I433-I430</f>
        <v>35149299.5</v>
      </c>
      <c r="J432" s="449"/>
      <c r="K432" s="462" t="e">
        <f t="shared" si="175"/>
        <v>#DIV/0!</v>
      </c>
      <c r="L432" s="462">
        <f t="shared" si="176"/>
        <v>0</v>
      </c>
      <c r="M432" s="449"/>
      <c r="N432" s="178">
        <f t="shared" si="174"/>
        <v>0</v>
      </c>
    </row>
    <row r="433" spans="1:14" ht="38.049999999999997" customHeight="1" outlineLevel="1" x14ac:dyDescent="0.3">
      <c r="A433" s="189" t="s">
        <v>97</v>
      </c>
      <c r="B433" s="392" t="s">
        <v>455</v>
      </c>
      <c r="C433" s="392" t="s">
        <v>124</v>
      </c>
      <c r="D433" s="392" t="s">
        <v>399</v>
      </c>
      <c r="E433" s="392" t="s">
        <v>98</v>
      </c>
      <c r="F433" s="475">
        <v>0</v>
      </c>
      <c r="G433" s="462">
        <v>0</v>
      </c>
      <c r="H433" s="462"/>
      <c r="I433" s="462">
        <v>2000000</v>
      </c>
      <c r="J433" s="462"/>
      <c r="K433" s="462" t="e">
        <f t="shared" si="175"/>
        <v>#DIV/0!</v>
      </c>
      <c r="L433" s="462">
        <f t="shared" si="176"/>
        <v>0</v>
      </c>
      <c r="M433" s="462"/>
      <c r="N433" s="178">
        <f t="shared" si="174"/>
        <v>0</v>
      </c>
    </row>
    <row r="434" spans="1:14" ht="31.95" customHeight="1" outlineLevel="1" x14ac:dyDescent="0.3">
      <c r="A434" s="202" t="s">
        <v>1008</v>
      </c>
      <c r="B434" s="392" t="s">
        <v>455</v>
      </c>
      <c r="C434" s="392" t="s">
        <v>124</v>
      </c>
      <c r="D434" s="392" t="s">
        <v>699</v>
      </c>
      <c r="E434" s="392" t="s">
        <v>6</v>
      </c>
      <c r="F434" s="471">
        <f>F435</f>
        <v>0</v>
      </c>
      <c r="G434" s="462">
        <f t="shared" ref="G434:J435" si="193">G435</f>
        <v>0</v>
      </c>
      <c r="H434" s="462"/>
      <c r="I434" s="462">
        <f t="shared" si="193"/>
        <v>13416480</v>
      </c>
      <c r="J434" s="462">
        <f t="shared" si="193"/>
        <v>0</v>
      </c>
      <c r="K434" s="462" t="e">
        <f t="shared" si="175"/>
        <v>#DIV/0!</v>
      </c>
      <c r="L434" s="462">
        <f t="shared" si="176"/>
        <v>0</v>
      </c>
      <c r="M434" s="462">
        <f t="shared" ref="M434:M435" si="194">M435</f>
        <v>0</v>
      </c>
      <c r="N434" s="178">
        <f t="shared" si="174"/>
        <v>0</v>
      </c>
    </row>
    <row r="435" spans="1:14" ht="33.450000000000003" customHeight="1" outlineLevel="1" x14ac:dyDescent="0.3">
      <c r="A435" s="189" t="s">
        <v>258</v>
      </c>
      <c r="B435" s="392" t="s">
        <v>455</v>
      </c>
      <c r="C435" s="392" t="s">
        <v>124</v>
      </c>
      <c r="D435" s="392" t="s">
        <v>699</v>
      </c>
      <c r="E435" s="392" t="s">
        <v>259</v>
      </c>
      <c r="F435" s="471">
        <f>F436</f>
        <v>0</v>
      </c>
      <c r="G435" s="462">
        <f t="shared" si="193"/>
        <v>0</v>
      </c>
      <c r="H435" s="462"/>
      <c r="I435" s="462">
        <f t="shared" si="193"/>
        <v>13416480</v>
      </c>
      <c r="J435" s="462">
        <f t="shared" si="193"/>
        <v>0</v>
      </c>
      <c r="K435" s="462" t="e">
        <f t="shared" si="175"/>
        <v>#DIV/0!</v>
      </c>
      <c r="L435" s="462">
        <f t="shared" si="176"/>
        <v>0</v>
      </c>
      <c r="M435" s="462">
        <f t="shared" si="194"/>
        <v>0</v>
      </c>
      <c r="N435" s="178">
        <f t="shared" si="174"/>
        <v>0</v>
      </c>
    </row>
    <row r="436" spans="1:14" ht="21.75" customHeight="1" outlineLevel="1" x14ac:dyDescent="0.3">
      <c r="A436" s="189" t="s">
        <v>260</v>
      </c>
      <c r="B436" s="392" t="s">
        <v>455</v>
      </c>
      <c r="C436" s="392" t="s">
        <v>124</v>
      </c>
      <c r="D436" s="392" t="s">
        <v>699</v>
      </c>
      <c r="E436" s="392" t="s">
        <v>261</v>
      </c>
      <c r="F436" s="475">
        <v>0</v>
      </c>
      <c r="G436" s="462">
        <v>0</v>
      </c>
      <c r="H436" s="462"/>
      <c r="I436" s="462">
        <v>13416480</v>
      </c>
      <c r="J436" s="449"/>
      <c r="K436" s="462" t="e">
        <f t="shared" si="175"/>
        <v>#DIV/0!</v>
      </c>
      <c r="L436" s="462">
        <f t="shared" si="176"/>
        <v>0</v>
      </c>
      <c r="M436" s="449"/>
      <c r="N436" s="178">
        <f t="shared" si="174"/>
        <v>0</v>
      </c>
    </row>
    <row r="437" spans="1:14" ht="28.55" customHeight="1" outlineLevel="1" x14ac:dyDescent="0.3">
      <c r="A437" s="202" t="s">
        <v>959</v>
      </c>
      <c r="B437" s="392" t="s">
        <v>455</v>
      </c>
      <c r="C437" s="392" t="s">
        <v>124</v>
      </c>
      <c r="D437" s="392" t="s">
        <v>287</v>
      </c>
      <c r="E437" s="392" t="s">
        <v>6</v>
      </c>
      <c r="F437" s="476">
        <f>F438</f>
        <v>0</v>
      </c>
      <c r="G437" s="449">
        <f t="shared" ref="G437:J438" si="195">G438</f>
        <v>0</v>
      </c>
      <c r="H437" s="449"/>
      <c r="I437" s="449">
        <f t="shared" si="195"/>
        <v>26671240.190000001</v>
      </c>
      <c r="J437" s="449">
        <f t="shared" si="195"/>
        <v>0</v>
      </c>
      <c r="K437" s="462" t="e">
        <f t="shared" si="175"/>
        <v>#DIV/0!</v>
      </c>
      <c r="L437" s="462">
        <f t="shared" si="176"/>
        <v>0</v>
      </c>
      <c r="M437" s="449">
        <f t="shared" ref="M437:M438" si="196">M438</f>
        <v>0</v>
      </c>
      <c r="N437" s="178">
        <f t="shared" si="174"/>
        <v>0</v>
      </c>
    </row>
    <row r="438" spans="1:14" ht="28.55" customHeight="1" outlineLevel="1" x14ac:dyDescent="0.3">
      <c r="A438" s="189" t="s">
        <v>258</v>
      </c>
      <c r="B438" s="392" t="s">
        <v>455</v>
      </c>
      <c r="C438" s="392" t="s">
        <v>124</v>
      </c>
      <c r="D438" s="392" t="s">
        <v>287</v>
      </c>
      <c r="E438" s="392" t="s">
        <v>259</v>
      </c>
      <c r="F438" s="476">
        <f>F439</f>
        <v>0</v>
      </c>
      <c r="G438" s="449">
        <f t="shared" si="195"/>
        <v>0</v>
      </c>
      <c r="H438" s="449"/>
      <c r="I438" s="449">
        <f t="shared" si="195"/>
        <v>26671240.190000001</v>
      </c>
      <c r="J438" s="449">
        <f t="shared" si="195"/>
        <v>0</v>
      </c>
      <c r="K438" s="462" t="e">
        <f t="shared" si="175"/>
        <v>#DIV/0!</v>
      </c>
      <c r="L438" s="462">
        <f t="shared" si="176"/>
        <v>0</v>
      </c>
      <c r="M438" s="449">
        <f t="shared" si="196"/>
        <v>0</v>
      </c>
      <c r="N438" s="178">
        <f t="shared" si="174"/>
        <v>0</v>
      </c>
    </row>
    <row r="439" spans="1:14" ht="19.2" customHeight="1" outlineLevel="1" x14ac:dyDescent="0.3">
      <c r="A439" s="189" t="s">
        <v>260</v>
      </c>
      <c r="B439" s="392" t="s">
        <v>455</v>
      </c>
      <c r="C439" s="392" t="s">
        <v>124</v>
      </c>
      <c r="D439" s="392" t="s">
        <v>287</v>
      </c>
      <c r="E439" s="392" t="s">
        <v>261</v>
      </c>
      <c r="F439" s="475">
        <v>0</v>
      </c>
      <c r="G439" s="462">
        <v>0</v>
      </c>
      <c r="H439" s="462"/>
      <c r="I439" s="462">
        <v>26671240.190000001</v>
      </c>
      <c r="J439" s="449"/>
      <c r="K439" s="462" t="e">
        <f t="shared" si="175"/>
        <v>#DIV/0!</v>
      </c>
      <c r="L439" s="462">
        <f t="shared" si="176"/>
        <v>0</v>
      </c>
      <c r="M439" s="449"/>
      <c r="N439" s="178">
        <f t="shared" si="174"/>
        <v>0</v>
      </c>
    </row>
    <row r="440" spans="1:14" ht="34" outlineLevel="1" x14ac:dyDescent="0.3">
      <c r="A440" s="189" t="s">
        <v>1052</v>
      </c>
      <c r="B440" s="392" t="s">
        <v>455</v>
      </c>
      <c r="C440" s="392" t="s">
        <v>1053</v>
      </c>
      <c r="D440" s="392" t="s">
        <v>126</v>
      </c>
      <c r="E440" s="392" t="s">
        <v>6</v>
      </c>
      <c r="F440" s="462" t="s">
        <v>838</v>
      </c>
      <c r="G440" s="462">
        <f t="shared" ref="G440:J441" si="197">G441</f>
        <v>124000</v>
      </c>
      <c r="H440" s="462"/>
      <c r="I440" s="462">
        <f t="shared" si="197"/>
        <v>114000</v>
      </c>
      <c r="J440" s="462">
        <f t="shared" si="197"/>
        <v>114000</v>
      </c>
      <c r="K440" s="462">
        <f t="shared" si="175"/>
        <v>91.935483870967744</v>
      </c>
      <c r="L440" s="462">
        <f t="shared" si="176"/>
        <v>-10000</v>
      </c>
      <c r="M440" s="462">
        <f t="shared" ref="M440:M441" si="198">M441</f>
        <v>114000</v>
      </c>
      <c r="N440" s="178">
        <f t="shared" si="174"/>
        <v>0</v>
      </c>
    </row>
    <row r="441" spans="1:14" ht="50.95" outlineLevel="1" x14ac:dyDescent="0.3">
      <c r="A441" s="233" t="s">
        <v>1035</v>
      </c>
      <c r="B441" s="392" t="s">
        <v>455</v>
      </c>
      <c r="C441" s="392" t="s">
        <v>1053</v>
      </c>
      <c r="D441" s="392" t="s">
        <v>136</v>
      </c>
      <c r="E441" s="392" t="s">
        <v>6</v>
      </c>
      <c r="F441" s="462" t="s">
        <v>838</v>
      </c>
      <c r="G441" s="462">
        <f t="shared" si="197"/>
        <v>124000</v>
      </c>
      <c r="H441" s="462"/>
      <c r="I441" s="462">
        <f t="shared" si="197"/>
        <v>114000</v>
      </c>
      <c r="J441" s="462">
        <f t="shared" si="197"/>
        <v>114000</v>
      </c>
      <c r="K441" s="462">
        <f t="shared" si="175"/>
        <v>91.935483870967744</v>
      </c>
      <c r="L441" s="462">
        <f t="shared" si="176"/>
        <v>-10000</v>
      </c>
      <c r="M441" s="462">
        <f t="shared" si="198"/>
        <v>114000</v>
      </c>
      <c r="N441" s="178">
        <f t="shared" si="174"/>
        <v>0</v>
      </c>
    </row>
    <row r="442" spans="1:14" ht="34" outlineLevel="1" x14ac:dyDescent="0.3">
      <c r="A442" s="189" t="s">
        <v>208</v>
      </c>
      <c r="B442" s="392" t="s">
        <v>455</v>
      </c>
      <c r="C442" s="392" t="s">
        <v>1053</v>
      </c>
      <c r="D442" s="392" t="s">
        <v>226</v>
      </c>
      <c r="E442" s="392" t="s">
        <v>6</v>
      </c>
      <c r="F442" s="462" t="s">
        <v>838</v>
      </c>
      <c r="G442" s="462">
        <f>G446+G449+G443</f>
        <v>124000</v>
      </c>
      <c r="H442" s="462"/>
      <c r="I442" s="462">
        <f>I446+I449+I443</f>
        <v>114000</v>
      </c>
      <c r="J442" s="462">
        <f>J446+J449+J443</f>
        <v>114000</v>
      </c>
      <c r="K442" s="462">
        <f t="shared" si="175"/>
        <v>91.935483870967744</v>
      </c>
      <c r="L442" s="462">
        <f t="shared" si="176"/>
        <v>-10000</v>
      </c>
      <c r="M442" s="462">
        <f>M446+M449+M443</f>
        <v>114000</v>
      </c>
      <c r="N442" s="178">
        <f t="shared" si="174"/>
        <v>0</v>
      </c>
    </row>
    <row r="443" spans="1:14" ht="135.19999999999999" customHeight="1" outlineLevel="1" x14ac:dyDescent="0.3">
      <c r="A443" s="189" t="s">
        <v>1065</v>
      </c>
      <c r="B443" s="392" t="s">
        <v>455</v>
      </c>
      <c r="C443" s="392" t="s">
        <v>1053</v>
      </c>
      <c r="D443" s="392" t="s">
        <v>1066</v>
      </c>
      <c r="E443" s="392" t="s">
        <v>6</v>
      </c>
      <c r="F443" s="462" t="s">
        <v>838</v>
      </c>
      <c r="G443" s="462">
        <f t="shared" ref="G443:J444" si="199">G444</f>
        <v>0</v>
      </c>
      <c r="H443" s="462"/>
      <c r="I443" s="462">
        <f t="shared" si="199"/>
        <v>0</v>
      </c>
      <c r="J443" s="462">
        <f t="shared" si="199"/>
        <v>0</v>
      </c>
      <c r="K443" s="462" t="e">
        <f t="shared" si="175"/>
        <v>#DIV/0!</v>
      </c>
      <c r="L443" s="462">
        <f t="shared" si="176"/>
        <v>0</v>
      </c>
      <c r="M443" s="462">
        <f t="shared" ref="M443:M444" si="200">M444</f>
        <v>0</v>
      </c>
      <c r="N443" s="178">
        <f t="shared" si="174"/>
        <v>0</v>
      </c>
    </row>
    <row r="444" spans="1:14" ht="50.95" outlineLevel="1" x14ac:dyDescent="0.3">
      <c r="A444" s="189" t="s">
        <v>37</v>
      </c>
      <c r="B444" s="392" t="s">
        <v>455</v>
      </c>
      <c r="C444" s="392" t="s">
        <v>1053</v>
      </c>
      <c r="D444" s="392" t="s">
        <v>1066</v>
      </c>
      <c r="E444" s="392" t="s">
        <v>38</v>
      </c>
      <c r="F444" s="462" t="s">
        <v>838</v>
      </c>
      <c r="G444" s="462">
        <f t="shared" si="199"/>
        <v>0</v>
      </c>
      <c r="H444" s="462"/>
      <c r="I444" s="462">
        <f t="shared" si="199"/>
        <v>0</v>
      </c>
      <c r="J444" s="462">
        <f t="shared" si="199"/>
        <v>0</v>
      </c>
      <c r="K444" s="462" t="e">
        <f t="shared" si="175"/>
        <v>#DIV/0!</v>
      </c>
      <c r="L444" s="462">
        <f t="shared" si="176"/>
        <v>0</v>
      </c>
      <c r="M444" s="462">
        <f t="shared" si="200"/>
        <v>0</v>
      </c>
      <c r="N444" s="178">
        <f t="shared" si="174"/>
        <v>0</v>
      </c>
    </row>
    <row r="445" spans="1:14" ht="84.9" outlineLevel="1" x14ac:dyDescent="0.3">
      <c r="A445" s="189" t="s">
        <v>1055</v>
      </c>
      <c r="B445" s="392" t="s">
        <v>455</v>
      </c>
      <c r="C445" s="392" t="s">
        <v>1053</v>
      </c>
      <c r="D445" s="392" t="s">
        <v>1066</v>
      </c>
      <c r="E445" s="392" t="s">
        <v>248</v>
      </c>
      <c r="F445" s="462" t="s">
        <v>838</v>
      </c>
      <c r="G445" s="462">
        <v>0</v>
      </c>
      <c r="H445" s="462"/>
      <c r="I445" s="462"/>
      <c r="J445" s="449"/>
      <c r="K445" s="462" t="e">
        <f t="shared" si="175"/>
        <v>#DIV/0!</v>
      </c>
      <c r="L445" s="462">
        <f t="shared" si="176"/>
        <v>0</v>
      </c>
      <c r="M445" s="449"/>
      <c r="N445" s="178">
        <f t="shared" si="174"/>
        <v>0</v>
      </c>
    </row>
    <row r="446" spans="1:14" ht="165.75" customHeight="1" outlineLevel="1" x14ac:dyDescent="0.3">
      <c r="A446" s="189" t="s">
        <v>1059</v>
      </c>
      <c r="B446" s="392" t="s">
        <v>455</v>
      </c>
      <c r="C446" s="392" t="s">
        <v>1053</v>
      </c>
      <c r="D446" s="392" t="s">
        <v>1054</v>
      </c>
      <c r="E446" s="392" t="s">
        <v>6</v>
      </c>
      <c r="F446" s="462" t="s">
        <v>838</v>
      </c>
      <c r="G446" s="462">
        <f t="shared" ref="G446:J447" si="201">G447</f>
        <v>10000</v>
      </c>
      <c r="H446" s="462"/>
      <c r="I446" s="462">
        <f t="shared" si="201"/>
        <v>0</v>
      </c>
      <c r="J446" s="462">
        <f t="shared" si="201"/>
        <v>0</v>
      </c>
      <c r="K446" s="462">
        <f t="shared" si="175"/>
        <v>0</v>
      </c>
      <c r="L446" s="462">
        <f t="shared" si="176"/>
        <v>-10000</v>
      </c>
      <c r="M446" s="462">
        <f t="shared" ref="M446:M447" si="202">M447</f>
        <v>0</v>
      </c>
      <c r="N446" s="178">
        <f t="shared" si="174"/>
        <v>0</v>
      </c>
    </row>
    <row r="447" spans="1:14" ht="50.95" outlineLevel="1" x14ac:dyDescent="0.3">
      <c r="A447" s="189" t="s">
        <v>37</v>
      </c>
      <c r="B447" s="392" t="s">
        <v>455</v>
      </c>
      <c r="C447" s="392" t="s">
        <v>1053</v>
      </c>
      <c r="D447" s="392" t="s">
        <v>1054</v>
      </c>
      <c r="E447" s="392" t="s">
        <v>38</v>
      </c>
      <c r="F447" s="462" t="s">
        <v>838</v>
      </c>
      <c r="G447" s="462">
        <f t="shared" si="201"/>
        <v>10000</v>
      </c>
      <c r="H447" s="462"/>
      <c r="I447" s="462">
        <f t="shared" si="201"/>
        <v>0</v>
      </c>
      <c r="J447" s="462">
        <f t="shared" si="201"/>
        <v>0</v>
      </c>
      <c r="K447" s="462">
        <f t="shared" si="175"/>
        <v>0</v>
      </c>
      <c r="L447" s="462">
        <f t="shared" si="176"/>
        <v>-10000</v>
      </c>
      <c r="M447" s="462">
        <f t="shared" si="202"/>
        <v>0</v>
      </c>
      <c r="N447" s="178">
        <f t="shared" si="174"/>
        <v>0</v>
      </c>
    </row>
    <row r="448" spans="1:14" ht="67.95" customHeight="1" outlineLevel="1" x14ac:dyDescent="0.3">
      <c r="A448" s="189" t="s">
        <v>1055</v>
      </c>
      <c r="B448" s="392" t="s">
        <v>455</v>
      </c>
      <c r="C448" s="392" t="s">
        <v>1053</v>
      </c>
      <c r="D448" s="392" t="s">
        <v>1054</v>
      </c>
      <c r="E448" s="392" t="s">
        <v>248</v>
      </c>
      <c r="F448" s="462" t="s">
        <v>838</v>
      </c>
      <c r="G448" s="462">
        <v>10000</v>
      </c>
      <c r="H448" s="462"/>
      <c r="I448" s="462"/>
      <c r="J448" s="449"/>
      <c r="K448" s="462">
        <f t="shared" si="175"/>
        <v>0</v>
      </c>
      <c r="L448" s="462">
        <f t="shared" si="176"/>
        <v>-10000</v>
      </c>
      <c r="M448" s="449"/>
      <c r="N448" s="178">
        <f t="shared" si="174"/>
        <v>0</v>
      </c>
    </row>
    <row r="449" spans="1:14" ht="34" outlineLevel="1" x14ac:dyDescent="0.3">
      <c r="A449" s="189" t="s">
        <v>83</v>
      </c>
      <c r="B449" s="392" t="s">
        <v>455</v>
      </c>
      <c r="C449" s="392" t="s">
        <v>1053</v>
      </c>
      <c r="D449" s="392" t="s">
        <v>140</v>
      </c>
      <c r="E449" s="392" t="s">
        <v>6</v>
      </c>
      <c r="F449" s="462">
        <v>114000</v>
      </c>
      <c r="G449" s="462">
        <f t="shared" ref="G449:J450" si="203">G450</f>
        <v>114000</v>
      </c>
      <c r="H449" s="462"/>
      <c r="I449" s="462">
        <f t="shared" si="203"/>
        <v>114000</v>
      </c>
      <c r="J449" s="462">
        <f t="shared" si="203"/>
        <v>114000</v>
      </c>
      <c r="K449" s="462">
        <f t="shared" si="175"/>
        <v>100</v>
      </c>
      <c r="L449" s="462">
        <f t="shared" si="176"/>
        <v>0</v>
      </c>
      <c r="M449" s="462">
        <f t="shared" ref="M449:M450" si="204">M450</f>
        <v>114000</v>
      </c>
      <c r="N449" s="178">
        <f t="shared" si="174"/>
        <v>0</v>
      </c>
    </row>
    <row r="450" spans="1:14" ht="50.95" outlineLevel="1" x14ac:dyDescent="0.3">
      <c r="A450" s="189" t="s">
        <v>37</v>
      </c>
      <c r="B450" s="392" t="s">
        <v>455</v>
      </c>
      <c r="C450" s="392" t="s">
        <v>1053</v>
      </c>
      <c r="D450" s="392" t="s">
        <v>140</v>
      </c>
      <c r="E450" s="392" t="s">
        <v>38</v>
      </c>
      <c r="F450" s="462">
        <v>114000</v>
      </c>
      <c r="G450" s="462">
        <f t="shared" si="203"/>
        <v>114000</v>
      </c>
      <c r="H450" s="462"/>
      <c r="I450" s="462">
        <f t="shared" si="203"/>
        <v>114000</v>
      </c>
      <c r="J450" s="462">
        <f t="shared" si="203"/>
        <v>114000</v>
      </c>
      <c r="K450" s="462">
        <f t="shared" si="175"/>
        <v>100</v>
      </c>
      <c r="L450" s="462">
        <f t="shared" si="176"/>
        <v>0</v>
      </c>
      <c r="M450" s="462">
        <f t="shared" si="204"/>
        <v>114000</v>
      </c>
      <c r="N450" s="178">
        <f t="shared" si="174"/>
        <v>0</v>
      </c>
    </row>
    <row r="451" spans="1:14" ht="50.95" outlineLevel="1" x14ac:dyDescent="0.3">
      <c r="A451" s="189" t="s">
        <v>354</v>
      </c>
      <c r="B451" s="392" t="s">
        <v>455</v>
      </c>
      <c r="C451" s="392" t="s">
        <v>1053</v>
      </c>
      <c r="D451" s="392" t="s">
        <v>140</v>
      </c>
      <c r="E451" s="392" t="s">
        <v>248</v>
      </c>
      <c r="F451" s="462">
        <v>114000</v>
      </c>
      <c r="G451" s="462">
        <v>114000</v>
      </c>
      <c r="H451" s="462"/>
      <c r="I451" s="462">
        <v>114000</v>
      </c>
      <c r="J451" s="449">
        <v>114000</v>
      </c>
      <c r="K451" s="462">
        <f t="shared" si="175"/>
        <v>100</v>
      </c>
      <c r="L451" s="462">
        <f t="shared" si="176"/>
        <v>0</v>
      </c>
      <c r="M451" s="449">
        <v>114000</v>
      </c>
      <c r="N451" s="178">
        <f t="shared" si="174"/>
        <v>0</v>
      </c>
    </row>
    <row r="452" spans="1:14" outlineLevel="1" x14ac:dyDescent="0.3">
      <c r="A452" s="233" t="s">
        <v>100</v>
      </c>
      <c r="B452" s="397" t="s">
        <v>455</v>
      </c>
      <c r="C452" s="397" t="s">
        <v>101</v>
      </c>
      <c r="D452" s="397" t="s">
        <v>126</v>
      </c>
      <c r="E452" s="397" t="s">
        <v>6</v>
      </c>
      <c r="F452" s="477">
        <f>F453</f>
        <v>7263427.2599999998</v>
      </c>
      <c r="G452" s="467">
        <f>G453</f>
        <v>18170292.07</v>
      </c>
      <c r="H452" s="467"/>
      <c r="I452" s="467">
        <f>I453</f>
        <v>719170.16</v>
      </c>
      <c r="J452" s="467">
        <f>J453</f>
        <v>719170.16</v>
      </c>
      <c r="K452" s="462">
        <f t="shared" si="175"/>
        <v>3.9579449643926394</v>
      </c>
      <c r="L452" s="462">
        <f t="shared" si="176"/>
        <v>-17451121.91</v>
      </c>
      <c r="M452" s="467">
        <f>M453</f>
        <v>719660.22</v>
      </c>
      <c r="N452" s="178">
        <f t="shared" si="174"/>
        <v>490.05999999993946</v>
      </c>
    </row>
    <row r="453" spans="1:14" ht="22.75" customHeight="1" outlineLevel="1" x14ac:dyDescent="0.3">
      <c r="A453" s="189" t="s">
        <v>291</v>
      </c>
      <c r="B453" s="392" t="s">
        <v>455</v>
      </c>
      <c r="C453" s="392" t="s">
        <v>290</v>
      </c>
      <c r="D453" s="392" t="s">
        <v>126</v>
      </c>
      <c r="E453" s="392" t="s">
        <v>6</v>
      </c>
      <c r="F453" s="476">
        <f>F454+F477</f>
        <v>7263427.2599999998</v>
      </c>
      <c r="G453" s="449">
        <f>G454+G481</f>
        <v>18170292.07</v>
      </c>
      <c r="H453" s="449"/>
      <c r="I453" s="449">
        <f>I454+I481</f>
        <v>719170.16</v>
      </c>
      <c r="J453" s="449">
        <f>J454+J481</f>
        <v>719170.16</v>
      </c>
      <c r="K453" s="462">
        <f t="shared" si="175"/>
        <v>3.9579449643926394</v>
      </c>
      <c r="L453" s="462">
        <f t="shared" si="176"/>
        <v>-17451121.91</v>
      </c>
      <c r="M453" s="449">
        <f>M454+M481</f>
        <v>719660.22</v>
      </c>
      <c r="N453" s="178">
        <f t="shared" si="174"/>
        <v>490.05999999993946</v>
      </c>
    </row>
    <row r="454" spans="1:14" ht="48.75" customHeight="1" outlineLevel="1" x14ac:dyDescent="0.3">
      <c r="A454" s="233" t="s">
        <v>1037</v>
      </c>
      <c r="B454" s="397" t="s">
        <v>455</v>
      </c>
      <c r="C454" s="397" t="s">
        <v>290</v>
      </c>
      <c r="D454" s="397" t="s">
        <v>198</v>
      </c>
      <c r="E454" s="397" t="s">
        <v>6</v>
      </c>
      <c r="F454" s="477">
        <f>F455+F470</f>
        <v>709737.65999999992</v>
      </c>
      <c r="G454" s="467">
        <f>G455</f>
        <v>18020292.07</v>
      </c>
      <c r="H454" s="467"/>
      <c r="I454" s="467">
        <f>I455</f>
        <v>669170.16</v>
      </c>
      <c r="J454" s="467">
        <f>J455</f>
        <v>669170.16</v>
      </c>
      <c r="K454" s="462">
        <f t="shared" si="175"/>
        <v>3.7134257169673059</v>
      </c>
      <c r="L454" s="462">
        <f t="shared" si="176"/>
        <v>-17351121.91</v>
      </c>
      <c r="M454" s="467">
        <f>M455</f>
        <v>669660.22</v>
      </c>
      <c r="N454" s="178">
        <f t="shared" si="174"/>
        <v>490.05999999993946</v>
      </c>
    </row>
    <row r="455" spans="1:14" ht="50.95" outlineLevel="1" x14ac:dyDescent="0.3">
      <c r="A455" s="189" t="s">
        <v>1015</v>
      </c>
      <c r="B455" s="392" t="s">
        <v>455</v>
      </c>
      <c r="C455" s="392" t="s">
        <v>290</v>
      </c>
      <c r="D455" s="392" t="s">
        <v>227</v>
      </c>
      <c r="E455" s="392" t="s">
        <v>6</v>
      </c>
      <c r="F455" s="476">
        <f>F456+F461+F464+F467</f>
        <v>709737.65999999992</v>
      </c>
      <c r="G455" s="449">
        <f>G456+G461+G464+G470+G473+G467+G476</f>
        <v>18020292.07</v>
      </c>
      <c r="H455" s="449"/>
      <c r="I455" s="449">
        <f>I456+I461+I464+I470+I473+I467+I476</f>
        <v>669170.16</v>
      </c>
      <c r="J455" s="449">
        <f>J456+J461+J464+J470+J473+J467+J476</f>
        <v>669170.16</v>
      </c>
      <c r="K455" s="462">
        <f t="shared" si="175"/>
        <v>3.7134257169673059</v>
      </c>
      <c r="L455" s="462">
        <f t="shared" si="176"/>
        <v>-17351121.91</v>
      </c>
      <c r="M455" s="449">
        <f>M456+M461+M464+M470+M473+M467+M476</f>
        <v>669660.22</v>
      </c>
      <c r="N455" s="178">
        <f t="shared" si="174"/>
        <v>490.05999999993946</v>
      </c>
    </row>
    <row r="456" spans="1:14" ht="20.25" customHeight="1" outlineLevel="1" x14ac:dyDescent="0.3">
      <c r="A456" s="189" t="s">
        <v>102</v>
      </c>
      <c r="B456" s="392" t="s">
        <v>455</v>
      </c>
      <c r="C456" s="392" t="s">
        <v>290</v>
      </c>
      <c r="D456" s="392" t="s">
        <v>199</v>
      </c>
      <c r="E456" s="392" t="s">
        <v>6</v>
      </c>
      <c r="F456" s="476">
        <f>F457+F459</f>
        <v>703842.96</v>
      </c>
      <c r="G456" s="449">
        <f>G457+G459</f>
        <v>661000</v>
      </c>
      <c r="H456" s="449"/>
      <c r="I456" s="449">
        <f>I457+I459</f>
        <v>661000</v>
      </c>
      <c r="J456" s="449">
        <f>J457+J459</f>
        <v>661000</v>
      </c>
      <c r="K456" s="462">
        <f t="shared" si="175"/>
        <v>100</v>
      </c>
      <c r="L456" s="462">
        <f t="shared" si="176"/>
        <v>0</v>
      </c>
      <c r="M456" s="449">
        <f>M457+M459</f>
        <v>661000</v>
      </c>
      <c r="N456" s="178">
        <f t="shared" ref="N456:N519" si="205">M456-J456</f>
        <v>0</v>
      </c>
    </row>
    <row r="457" spans="1:14" ht="21.25" customHeight="1" outlineLevel="1" x14ac:dyDescent="0.3">
      <c r="A457" s="189" t="s">
        <v>15</v>
      </c>
      <c r="B457" s="392" t="s">
        <v>455</v>
      </c>
      <c r="C457" s="392" t="s">
        <v>290</v>
      </c>
      <c r="D457" s="392" t="s">
        <v>199</v>
      </c>
      <c r="E457" s="392" t="s">
        <v>16</v>
      </c>
      <c r="F457" s="476">
        <f>F458</f>
        <v>674142.96</v>
      </c>
      <c r="G457" s="449">
        <f>G458</f>
        <v>631000</v>
      </c>
      <c r="H457" s="449"/>
      <c r="I457" s="449">
        <f>I458</f>
        <v>631000</v>
      </c>
      <c r="J457" s="449">
        <f>J458</f>
        <v>631000</v>
      </c>
      <c r="K457" s="462">
        <f t="shared" ref="K457:K520" si="206">J457/G457*100</f>
        <v>100</v>
      </c>
      <c r="L457" s="462">
        <f t="shared" ref="L457:L520" si="207">J457-G457</f>
        <v>0</v>
      </c>
      <c r="M457" s="449">
        <f>M458</f>
        <v>631000</v>
      </c>
      <c r="N457" s="178">
        <f t="shared" si="205"/>
        <v>0</v>
      </c>
    </row>
    <row r="458" spans="1:14" s="224" customFormat="1" ht="50.95" outlineLevel="1" x14ac:dyDescent="0.3">
      <c r="A458" s="189" t="s">
        <v>17</v>
      </c>
      <c r="B458" s="392" t="s">
        <v>455</v>
      </c>
      <c r="C458" s="392" t="s">
        <v>290</v>
      </c>
      <c r="D458" s="392" t="s">
        <v>199</v>
      </c>
      <c r="E458" s="392" t="s">
        <v>18</v>
      </c>
      <c r="F458" s="475">
        <v>674142.96</v>
      </c>
      <c r="G458" s="449">
        <f>'потребность 2023 (5)'!K463</f>
        <v>631000</v>
      </c>
      <c r="H458" s="449"/>
      <c r="I458" s="449">
        <v>631000</v>
      </c>
      <c r="J458" s="467">
        <v>631000</v>
      </c>
      <c r="K458" s="462">
        <f t="shared" si="206"/>
        <v>100</v>
      </c>
      <c r="L458" s="462">
        <f t="shared" si="207"/>
        <v>0</v>
      </c>
      <c r="M458" s="467">
        <v>631000</v>
      </c>
      <c r="N458" s="178">
        <f t="shared" si="205"/>
        <v>0</v>
      </c>
    </row>
    <row r="459" spans="1:14" ht="24.8" customHeight="1" outlineLevel="2" x14ac:dyDescent="0.3">
      <c r="A459" s="189" t="s">
        <v>265</v>
      </c>
      <c r="B459" s="392" t="s">
        <v>455</v>
      </c>
      <c r="C459" s="392" t="s">
        <v>290</v>
      </c>
      <c r="D459" s="392" t="s">
        <v>199</v>
      </c>
      <c r="E459" s="392" t="s">
        <v>20</v>
      </c>
      <c r="F459" s="476">
        <f>F460</f>
        <v>29700</v>
      </c>
      <c r="G459" s="449">
        <f>G460</f>
        <v>30000</v>
      </c>
      <c r="H459" s="449"/>
      <c r="I459" s="449">
        <f>I460</f>
        <v>30000</v>
      </c>
      <c r="J459" s="449">
        <f>J460</f>
        <v>30000</v>
      </c>
      <c r="K459" s="462">
        <f t="shared" si="206"/>
        <v>100</v>
      </c>
      <c r="L459" s="462">
        <f t="shared" si="207"/>
        <v>0</v>
      </c>
      <c r="M459" s="449">
        <f>M460</f>
        <v>30000</v>
      </c>
      <c r="N459" s="178">
        <f t="shared" si="205"/>
        <v>0</v>
      </c>
    </row>
    <row r="460" spans="1:14" s="224" customFormat="1" ht="36.700000000000003" customHeight="1" outlineLevel="3" x14ac:dyDescent="0.3">
      <c r="A460" s="189" t="s">
        <v>266</v>
      </c>
      <c r="B460" s="392" t="s">
        <v>455</v>
      </c>
      <c r="C460" s="392" t="s">
        <v>290</v>
      </c>
      <c r="D460" s="392" t="s">
        <v>199</v>
      </c>
      <c r="E460" s="392" t="s">
        <v>22</v>
      </c>
      <c r="F460" s="475">
        <v>29700</v>
      </c>
      <c r="G460" s="449">
        <f>'потребность 2023 (5)'!K465</f>
        <v>30000</v>
      </c>
      <c r="H460" s="449"/>
      <c r="I460" s="449">
        <v>30000</v>
      </c>
      <c r="J460" s="467">
        <v>30000</v>
      </c>
      <c r="K460" s="462">
        <f t="shared" si="206"/>
        <v>100</v>
      </c>
      <c r="L460" s="462">
        <f t="shared" si="207"/>
        <v>0</v>
      </c>
      <c r="M460" s="467">
        <v>30000</v>
      </c>
      <c r="N460" s="178">
        <f t="shared" si="205"/>
        <v>0</v>
      </c>
    </row>
    <row r="461" spans="1:14" s="224" customFormat="1" ht="48.9" customHeight="1" outlineLevel="3" x14ac:dyDescent="0.3">
      <c r="A461" s="189" t="s">
        <v>955</v>
      </c>
      <c r="B461" s="392" t="s">
        <v>455</v>
      </c>
      <c r="C461" s="392" t="s">
        <v>290</v>
      </c>
      <c r="D461" s="298" t="s">
        <v>860</v>
      </c>
      <c r="E461" s="298" t="s">
        <v>6</v>
      </c>
      <c r="F461" s="476"/>
      <c r="G461" s="449"/>
      <c r="H461" s="449"/>
      <c r="I461" s="449"/>
      <c r="J461" s="449"/>
      <c r="K461" s="462" t="e">
        <f t="shared" si="206"/>
        <v>#DIV/0!</v>
      </c>
      <c r="L461" s="462">
        <f t="shared" si="207"/>
        <v>0</v>
      </c>
      <c r="M461" s="449"/>
      <c r="N461" s="178">
        <f t="shared" si="205"/>
        <v>0</v>
      </c>
    </row>
    <row r="462" spans="1:14" s="224" customFormat="1" ht="27.7" customHeight="1" outlineLevel="3" x14ac:dyDescent="0.3">
      <c r="A462" s="189" t="s">
        <v>15</v>
      </c>
      <c r="B462" s="392" t="s">
        <v>455</v>
      </c>
      <c r="C462" s="392" t="s">
        <v>290</v>
      </c>
      <c r="D462" s="298" t="s">
        <v>860</v>
      </c>
      <c r="E462" s="298" t="s">
        <v>16</v>
      </c>
      <c r="F462" s="476"/>
      <c r="G462" s="449"/>
      <c r="H462" s="449"/>
      <c r="I462" s="449"/>
      <c r="J462" s="449"/>
      <c r="K462" s="462" t="e">
        <f t="shared" si="206"/>
        <v>#DIV/0!</v>
      </c>
      <c r="L462" s="462">
        <f t="shared" si="207"/>
        <v>0</v>
      </c>
      <c r="M462" s="449"/>
      <c r="N462" s="178">
        <f t="shared" si="205"/>
        <v>0</v>
      </c>
    </row>
    <row r="463" spans="1:14" s="224" customFormat="1" ht="49.75" customHeight="1" outlineLevel="3" x14ac:dyDescent="0.3">
      <c r="A463" s="189" t="s">
        <v>17</v>
      </c>
      <c r="B463" s="392" t="s">
        <v>455</v>
      </c>
      <c r="C463" s="392" t="s">
        <v>290</v>
      </c>
      <c r="D463" s="298" t="s">
        <v>860</v>
      </c>
      <c r="E463" s="298" t="s">
        <v>18</v>
      </c>
      <c r="F463" s="475"/>
      <c r="G463" s="449"/>
      <c r="H463" s="449"/>
      <c r="I463" s="449"/>
      <c r="J463" s="467"/>
      <c r="K463" s="462" t="e">
        <f t="shared" si="206"/>
        <v>#DIV/0!</v>
      </c>
      <c r="L463" s="462">
        <f t="shared" si="207"/>
        <v>0</v>
      </c>
      <c r="M463" s="467"/>
      <c r="N463" s="178">
        <f t="shared" si="205"/>
        <v>0</v>
      </c>
    </row>
    <row r="464" spans="1:14" s="224" customFormat="1" ht="53.15" customHeight="1" outlineLevel="3" x14ac:dyDescent="0.3">
      <c r="A464" s="189" t="s">
        <v>861</v>
      </c>
      <c r="B464" s="392" t="s">
        <v>455</v>
      </c>
      <c r="C464" s="392" t="s">
        <v>290</v>
      </c>
      <c r="D464" s="298" t="s">
        <v>862</v>
      </c>
      <c r="E464" s="298" t="s">
        <v>6</v>
      </c>
      <c r="F464" s="476">
        <f>F465</f>
        <v>5894.7</v>
      </c>
      <c r="G464" s="449">
        <f t="shared" ref="G464:J465" si="208">G465</f>
        <v>3482.15</v>
      </c>
      <c r="H464" s="449"/>
      <c r="I464" s="449">
        <f t="shared" si="208"/>
        <v>8170.16</v>
      </c>
      <c r="J464" s="449">
        <f t="shared" si="208"/>
        <v>8170.16</v>
      </c>
      <c r="K464" s="462">
        <f t="shared" si="206"/>
        <v>234.62975460563155</v>
      </c>
      <c r="L464" s="462">
        <f t="shared" si="207"/>
        <v>4688.01</v>
      </c>
      <c r="M464" s="449">
        <f t="shared" ref="M464:M465" si="209">M465</f>
        <v>1160.2200000000003</v>
      </c>
      <c r="N464" s="178">
        <f t="shared" si="205"/>
        <v>-7009.94</v>
      </c>
    </row>
    <row r="465" spans="1:14" s="224" customFormat="1" ht="22.95" customHeight="1" outlineLevel="3" x14ac:dyDescent="0.3">
      <c r="A465" s="189" t="s">
        <v>15</v>
      </c>
      <c r="B465" s="392" t="s">
        <v>455</v>
      </c>
      <c r="C465" s="392" t="s">
        <v>290</v>
      </c>
      <c r="D465" s="298" t="s">
        <v>862</v>
      </c>
      <c r="E465" s="298" t="s">
        <v>16</v>
      </c>
      <c r="F465" s="476">
        <f>F466</f>
        <v>5894.7</v>
      </c>
      <c r="G465" s="449">
        <f t="shared" si="208"/>
        <v>3482.15</v>
      </c>
      <c r="H465" s="449"/>
      <c r="I465" s="449">
        <f t="shared" si="208"/>
        <v>8170.16</v>
      </c>
      <c r="J465" s="449">
        <f t="shared" si="208"/>
        <v>8170.16</v>
      </c>
      <c r="K465" s="462">
        <f t="shared" si="206"/>
        <v>234.62975460563155</v>
      </c>
      <c r="L465" s="462">
        <f t="shared" si="207"/>
        <v>4688.01</v>
      </c>
      <c r="M465" s="449">
        <f t="shared" si="209"/>
        <v>1160.2200000000003</v>
      </c>
      <c r="N465" s="178">
        <f t="shared" si="205"/>
        <v>-7009.94</v>
      </c>
    </row>
    <row r="466" spans="1:14" s="224" customFormat="1" ht="35.5" customHeight="1" outlineLevel="3" x14ac:dyDescent="0.3">
      <c r="A466" s="189" t="s">
        <v>17</v>
      </c>
      <c r="B466" s="392" t="s">
        <v>455</v>
      </c>
      <c r="C466" s="392" t="s">
        <v>290</v>
      </c>
      <c r="D466" s="298" t="s">
        <v>862</v>
      </c>
      <c r="E466" s="298" t="s">
        <v>18</v>
      </c>
      <c r="F466" s="475">
        <v>5894.7</v>
      </c>
      <c r="G466" s="449">
        <f>'потребность 2023 (5)'!K483</f>
        <v>3482.15</v>
      </c>
      <c r="H466" s="449"/>
      <c r="I466" s="449">
        <v>8170.16</v>
      </c>
      <c r="J466" s="467">
        <v>8170.16</v>
      </c>
      <c r="K466" s="462">
        <f t="shared" si="206"/>
        <v>234.62975460563155</v>
      </c>
      <c r="L466" s="462">
        <f t="shared" si="207"/>
        <v>4688.01</v>
      </c>
      <c r="M466" s="467">
        <f>8170.16-7009.94</f>
        <v>1160.2200000000003</v>
      </c>
      <c r="N466" s="178">
        <f t="shared" si="205"/>
        <v>-7009.94</v>
      </c>
    </row>
    <row r="467" spans="1:14" ht="70" customHeight="1" outlineLevel="5" x14ac:dyDescent="0.3">
      <c r="A467" s="189" t="s">
        <v>976</v>
      </c>
      <c r="B467" s="392" t="s">
        <v>455</v>
      </c>
      <c r="C467" s="392" t="s">
        <v>290</v>
      </c>
      <c r="D467" s="392" t="s">
        <v>977</v>
      </c>
      <c r="E467" s="392" t="s">
        <v>6</v>
      </c>
      <c r="F467" s="462"/>
      <c r="G467" s="462">
        <f t="shared" ref="G467:J468" si="210">G468</f>
        <v>1117341.92</v>
      </c>
      <c r="H467" s="462"/>
      <c r="I467" s="462">
        <f t="shared" si="210"/>
        <v>0</v>
      </c>
      <c r="J467" s="462">
        <f t="shared" si="210"/>
        <v>0</v>
      </c>
      <c r="K467" s="462">
        <f t="shared" si="206"/>
        <v>0</v>
      </c>
      <c r="L467" s="462">
        <f t="shared" si="207"/>
        <v>-1117341.92</v>
      </c>
      <c r="M467" s="462">
        <f t="shared" ref="M467:M468" si="211">M468</f>
        <v>0</v>
      </c>
      <c r="N467" s="178">
        <f t="shared" si="205"/>
        <v>0</v>
      </c>
    </row>
    <row r="468" spans="1:14" ht="50.95" outlineLevel="6" x14ac:dyDescent="0.3">
      <c r="A468" s="189" t="s">
        <v>258</v>
      </c>
      <c r="B468" s="392" t="s">
        <v>455</v>
      </c>
      <c r="C468" s="392" t="s">
        <v>290</v>
      </c>
      <c r="D468" s="392" t="s">
        <v>977</v>
      </c>
      <c r="E468" s="392" t="s">
        <v>259</v>
      </c>
      <c r="F468" s="462"/>
      <c r="G468" s="462">
        <f t="shared" si="210"/>
        <v>1117341.92</v>
      </c>
      <c r="H468" s="462"/>
      <c r="I468" s="462">
        <f t="shared" si="210"/>
        <v>0</v>
      </c>
      <c r="J468" s="462">
        <f t="shared" si="210"/>
        <v>0</v>
      </c>
      <c r="K468" s="462">
        <f t="shared" si="206"/>
        <v>0</v>
      </c>
      <c r="L468" s="462">
        <f t="shared" si="207"/>
        <v>-1117341.92</v>
      </c>
      <c r="M468" s="462">
        <f t="shared" si="211"/>
        <v>0</v>
      </c>
      <c r="N468" s="178">
        <f t="shared" si="205"/>
        <v>0</v>
      </c>
    </row>
    <row r="469" spans="1:14" outlineLevel="7" x14ac:dyDescent="0.3">
      <c r="A469" s="189" t="s">
        <v>260</v>
      </c>
      <c r="B469" s="392" t="s">
        <v>455</v>
      </c>
      <c r="C469" s="392" t="s">
        <v>290</v>
      </c>
      <c r="D469" s="392" t="s">
        <v>977</v>
      </c>
      <c r="E469" s="392" t="s">
        <v>261</v>
      </c>
      <c r="F469" s="462"/>
      <c r="G469" s="449">
        <f>1117341.92</f>
        <v>1117341.92</v>
      </c>
      <c r="H469" s="449"/>
      <c r="I469" s="449"/>
      <c r="J469" s="449"/>
      <c r="K469" s="462">
        <f t="shared" si="206"/>
        <v>0</v>
      </c>
      <c r="L469" s="462">
        <f t="shared" si="207"/>
        <v>-1117341.92</v>
      </c>
      <c r="M469" s="449"/>
      <c r="N469" s="178">
        <f t="shared" si="205"/>
        <v>0</v>
      </c>
    </row>
    <row r="470" spans="1:14" ht="50.95" customHeight="1" outlineLevel="7" x14ac:dyDescent="0.3">
      <c r="A470" s="189" t="s">
        <v>848</v>
      </c>
      <c r="B470" s="392" t="s">
        <v>455</v>
      </c>
      <c r="C470" s="392" t="s">
        <v>290</v>
      </c>
      <c r="D470" s="392" t="s">
        <v>867</v>
      </c>
      <c r="E470" s="392" t="s">
        <v>6</v>
      </c>
      <c r="F470" s="476">
        <f>F471</f>
        <v>0</v>
      </c>
      <c r="G470" s="449">
        <f t="shared" ref="G470:J471" si="212">G471</f>
        <v>0</v>
      </c>
      <c r="H470" s="449"/>
      <c r="I470" s="449">
        <f t="shared" si="212"/>
        <v>0</v>
      </c>
      <c r="J470" s="449">
        <f t="shared" si="212"/>
        <v>0</v>
      </c>
      <c r="K470" s="462" t="e">
        <f t="shared" si="206"/>
        <v>#DIV/0!</v>
      </c>
      <c r="L470" s="462">
        <f t="shared" si="207"/>
        <v>0</v>
      </c>
      <c r="M470" s="449">
        <f t="shared" ref="M470:M471" si="213">M471</f>
        <v>0</v>
      </c>
      <c r="N470" s="178">
        <f t="shared" si="205"/>
        <v>0</v>
      </c>
    </row>
    <row r="471" spans="1:14" ht="34" outlineLevel="7" x14ac:dyDescent="0.3">
      <c r="A471" s="189" t="s">
        <v>15</v>
      </c>
      <c r="B471" s="392" t="s">
        <v>455</v>
      </c>
      <c r="C471" s="392" t="s">
        <v>290</v>
      </c>
      <c r="D471" s="392" t="s">
        <v>867</v>
      </c>
      <c r="E471" s="392" t="s">
        <v>16</v>
      </c>
      <c r="F471" s="476">
        <f>F472</f>
        <v>0</v>
      </c>
      <c r="G471" s="449">
        <f t="shared" si="212"/>
        <v>0</v>
      </c>
      <c r="H471" s="449"/>
      <c r="I471" s="449">
        <f t="shared" si="212"/>
        <v>0</v>
      </c>
      <c r="J471" s="449">
        <f t="shared" si="212"/>
        <v>0</v>
      </c>
      <c r="K471" s="462" t="e">
        <f t="shared" si="206"/>
        <v>#DIV/0!</v>
      </c>
      <c r="L471" s="462">
        <f t="shared" si="207"/>
        <v>0</v>
      </c>
      <c r="M471" s="449">
        <f t="shared" si="213"/>
        <v>0</v>
      </c>
      <c r="N471" s="178">
        <f t="shared" si="205"/>
        <v>0</v>
      </c>
    </row>
    <row r="472" spans="1:14" ht="50.95" outlineLevel="7" x14ac:dyDescent="0.3">
      <c r="A472" s="189" t="s">
        <v>17</v>
      </c>
      <c r="B472" s="392" t="s">
        <v>455</v>
      </c>
      <c r="C472" s="392" t="s">
        <v>290</v>
      </c>
      <c r="D472" s="392" t="s">
        <v>867</v>
      </c>
      <c r="E472" s="392" t="s">
        <v>18</v>
      </c>
      <c r="F472" s="475">
        <v>0</v>
      </c>
      <c r="G472" s="449">
        <v>0</v>
      </c>
      <c r="H472" s="449"/>
      <c r="I472" s="449"/>
      <c r="J472" s="449"/>
      <c r="K472" s="462" t="e">
        <f t="shared" si="206"/>
        <v>#DIV/0!</v>
      </c>
      <c r="L472" s="462">
        <f t="shared" si="207"/>
        <v>0</v>
      </c>
      <c r="M472" s="449"/>
      <c r="N472" s="178">
        <f t="shared" si="205"/>
        <v>0</v>
      </c>
    </row>
    <row r="473" spans="1:14" ht="67.95" outlineLevel="7" x14ac:dyDescent="0.3">
      <c r="A473" s="189" t="s">
        <v>787</v>
      </c>
      <c r="B473" s="392" t="s">
        <v>455</v>
      </c>
      <c r="C473" s="392" t="s">
        <v>290</v>
      </c>
      <c r="D473" s="392" t="s">
        <v>868</v>
      </c>
      <c r="E473" s="392" t="s">
        <v>6</v>
      </c>
      <c r="F473" s="476">
        <f>F474</f>
        <v>79468.45</v>
      </c>
      <c r="G473" s="449">
        <f t="shared" ref="G473:J474" si="214">G474</f>
        <v>53055</v>
      </c>
      <c r="H473" s="449"/>
      <c r="I473" s="449">
        <f t="shared" si="214"/>
        <v>0</v>
      </c>
      <c r="J473" s="449">
        <f t="shared" si="214"/>
        <v>0</v>
      </c>
      <c r="K473" s="462">
        <f t="shared" si="206"/>
        <v>0</v>
      </c>
      <c r="L473" s="462">
        <f t="shared" si="207"/>
        <v>-53055</v>
      </c>
      <c r="M473" s="449">
        <f t="shared" ref="M473:M474" si="215">M474</f>
        <v>7500</v>
      </c>
      <c r="N473" s="178">
        <f t="shared" si="205"/>
        <v>7500</v>
      </c>
    </row>
    <row r="474" spans="1:14" ht="34" outlineLevel="7" x14ac:dyDescent="0.3">
      <c r="A474" s="189" t="s">
        <v>15</v>
      </c>
      <c r="B474" s="392" t="s">
        <v>455</v>
      </c>
      <c r="C474" s="392" t="s">
        <v>290</v>
      </c>
      <c r="D474" s="392" t="s">
        <v>868</v>
      </c>
      <c r="E474" s="392" t="s">
        <v>16</v>
      </c>
      <c r="F474" s="476">
        <f>F475</f>
        <v>79468.45</v>
      </c>
      <c r="G474" s="449">
        <f t="shared" si="214"/>
        <v>53055</v>
      </c>
      <c r="H474" s="449"/>
      <c r="I474" s="449">
        <f t="shared" si="214"/>
        <v>0</v>
      </c>
      <c r="J474" s="449">
        <f t="shared" si="214"/>
        <v>0</v>
      </c>
      <c r="K474" s="462">
        <f t="shared" si="206"/>
        <v>0</v>
      </c>
      <c r="L474" s="462">
        <f t="shared" si="207"/>
        <v>-53055</v>
      </c>
      <c r="M474" s="449">
        <f t="shared" si="215"/>
        <v>7500</v>
      </c>
      <c r="N474" s="178">
        <f t="shared" si="205"/>
        <v>7500</v>
      </c>
    </row>
    <row r="475" spans="1:14" ht="25.5" customHeight="1" outlineLevel="7" x14ac:dyDescent="0.3">
      <c r="A475" s="189" t="s">
        <v>17</v>
      </c>
      <c r="B475" s="392" t="s">
        <v>455</v>
      </c>
      <c r="C475" s="392" t="s">
        <v>290</v>
      </c>
      <c r="D475" s="392" t="s">
        <v>868</v>
      </c>
      <c r="E475" s="392" t="s">
        <v>18</v>
      </c>
      <c r="F475" s="475">
        <v>79468.45</v>
      </c>
      <c r="G475" s="449">
        <f>'потребность 2023 (5)'!K493-15300</f>
        <v>53055</v>
      </c>
      <c r="H475" s="449"/>
      <c r="I475" s="449"/>
      <c r="J475" s="449"/>
      <c r="K475" s="462">
        <f t="shared" si="206"/>
        <v>0</v>
      </c>
      <c r="L475" s="462">
        <f t="shared" si="207"/>
        <v>-53055</v>
      </c>
      <c r="M475" s="449">
        <v>7500</v>
      </c>
      <c r="N475" s="178">
        <f t="shared" si="205"/>
        <v>7500</v>
      </c>
    </row>
    <row r="476" spans="1:14" ht="55.7" customHeight="1" outlineLevel="7" x14ac:dyDescent="0.3">
      <c r="A476" s="189" t="s">
        <v>1074</v>
      </c>
      <c r="B476" s="392" t="s">
        <v>455</v>
      </c>
      <c r="C476" s="392" t="s">
        <v>290</v>
      </c>
      <c r="D476" s="392" t="s">
        <v>1060</v>
      </c>
      <c r="E476" s="392" t="s">
        <v>6</v>
      </c>
      <c r="F476" s="476">
        <f>F477</f>
        <v>6553689.5999999996</v>
      </c>
      <c r="G476" s="449">
        <f>G477+G479</f>
        <v>16185413</v>
      </c>
      <c r="H476" s="449"/>
      <c r="I476" s="449">
        <f>I477+I479</f>
        <v>0</v>
      </c>
      <c r="J476" s="449">
        <f>J477+J479</f>
        <v>0</v>
      </c>
      <c r="K476" s="462">
        <f t="shared" si="206"/>
        <v>0</v>
      </c>
      <c r="L476" s="462">
        <f t="shared" si="207"/>
        <v>-16185413</v>
      </c>
      <c r="M476" s="449">
        <f>M477+M479</f>
        <v>0</v>
      </c>
      <c r="N476" s="178">
        <f t="shared" si="205"/>
        <v>0</v>
      </c>
    </row>
    <row r="477" spans="1:14" ht="40.75" customHeight="1" outlineLevel="7" x14ac:dyDescent="0.3">
      <c r="A477" s="189" t="s">
        <v>15</v>
      </c>
      <c r="B477" s="392" t="s">
        <v>455</v>
      </c>
      <c r="C477" s="392" t="s">
        <v>290</v>
      </c>
      <c r="D477" s="392" t="s">
        <v>1060</v>
      </c>
      <c r="E477" s="392" t="s">
        <v>16</v>
      </c>
      <c r="F477" s="476">
        <f>F478</f>
        <v>6553689.5999999996</v>
      </c>
      <c r="G477" s="449">
        <f>G478</f>
        <v>224481.72</v>
      </c>
      <c r="H477" s="449"/>
      <c r="I477" s="449">
        <f>I478</f>
        <v>0</v>
      </c>
      <c r="J477" s="449">
        <f>J478</f>
        <v>0</v>
      </c>
      <c r="K477" s="462">
        <f t="shared" si="206"/>
        <v>0</v>
      </c>
      <c r="L477" s="462">
        <f t="shared" si="207"/>
        <v>-224481.72</v>
      </c>
      <c r="M477" s="449">
        <f>M478</f>
        <v>0</v>
      </c>
      <c r="N477" s="178">
        <f t="shared" si="205"/>
        <v>0</v>
      </c>
    </row>
    <row r="478" spans="1:14" ht="25.5" customHeight="1" outlineLevel="7" x14ac:dyDescent="0.3">
      <c r="A478" s="189" t="s">
        <v>17</v>
      </c>
      <c r="B478" s="392" t="s">
        <v>455</v>
      </c>
      <c r="C478" s="392" t="s">
        <v>290</v>
      </c>
      <c r="D478" s="392" t="s">
        <v>1060</v>
      </c>
      <c r="E478" s="392" t="s">
        <v>18</v>
      </c>
      <c r="F478" s="475">
        <v>6553689.5999999996</v>
      </c>
      <c r="G478" s="449">
        <v>224481.72</v>
      </c>
      <c r="H478" s="449"/>
      <c r="I478" s="449"/>
      <c r="J478" s="449"/>
      <c r="K478" s="462">
        <f t="shared" si="206"/>
        <v>0</v>
      </c>
      <c r="L478" s="462">
        <f t="shared" si="207"/>
        <v>-224481.72</v>
      </c>
      <c r="M478" s="449"/>
      <c r="N478" s="178">
        <f t="shared" si="205"/>
        <v>0</v>
      </c>
    </row>
    <row r="479" spans="1:14" ht="38.9" customHeight="1" outlineLevel="7" x14ac:dyDescent="0.3">
      <c r="A479" s="189" t="s">
        <v>258</v>
      </c>
      <c r="B479" s="392" t="s">
        <v>455</v>
      </c>
      <c r="C479" s="392" t="s">
        <v>290</v>
      </c>
      <c r="D479" s="392" t="s">
        <v>1060</v>
      </c>
      <c r="E479" s="392" t="s">
        <v>259</v>
      </c>
      <c r="F479" s="462">
        <v>0</v>
      </c>
      <c r="G479" s="449">
        <f>G480</f>
        <v>15960931.279999999</v>
      </c>
      <c r="H479" s="449"/>
      <c r="I479" s="449">
        <f>I480</f>
        <v>0</v>
      </c>
      <c r="J479" s="449">
        <f>J480</f>
        <v>0</v>
      </c>
      <c r="K479" s="462">
        <f t="shared" si="206"/>
        <v>0</v>
      </c>
      <c r="L479" s="462">
        <f t="shared" si="207"/>
        <v>-15960931.279999999</v>
      </c>
      <c r="M479" s="449">
        <f>M480</f>
        <v>0</v>
      </c>
      <c r="N479" s="178">
        <f t="shared" si="205"/>
        <v>0</v>
      </c>
    </row>
    <row r="480" spans="1:14" ht="25.5" customHeight="1" outlineLevel="7" x14ac:dyDescent="0.3">
      <c r="A480" s="189" t="s">
        <v>260</v>
      </c>
      <c r="B480" s="392" t="s">
        <v>455</v>
      </c>
      <c r="C480" s="392" t="s">
        <v>290</v>
      </c>
      <c r="D480" s="392" t="s">
        <v>1060</v>
      </c>
      <c r="E480" s="392" t="s">
        <v>261</v>
      </c>
      <c r="F480" s="462">
        <v>0</v>
      </c>
      <c r="G480" s="449">
        <f>5000000+11185413-224481.72</f>
        <v>15960931.279999999</v>
      </c>
      <c r="H480" s="449"/>
      <c r="I480" s="449"/>
      <c r="J480" s="449"/>
      <c r="K480" s="462">
        <f t="shared" si="206"/>
        <v>0</v>
      </c>
      <c r="L480" s="462">
        <f t="shared" si="207"/>
        <v>-15960931.279999999</v>
      </c>
      <c r="M480" s="449"/>
      <c r="N480" s="178">
        <f t="shared" si="205"/>
        <v>0</v>
      </c>
    </row>
    <row r="481" spans="1:14" s="461" customFormat="1" ht="45" customHeight="1" x14ac:dyDescent="0.3">
      <c r="A481" s="233" t="s">
        <v>1025</v>
      </c>
      <c r="B481" s="397" t="s">
        <v>455</v>
      </c>
      <c r="C481" s="397" t="s">
        <v>290</v>
      </c>
      <c r="D481" s="397" t="s">
        <v>419</v>
      </c>
      <c r="E481" s="397" t="s">
        <v>6</v>
      </c>
      <c r="F481" s="471">
        <f t="shared" ref="F481:J484" si="216">F482</f>
        <v>50000</v>
      </c>
      <c r="G481" s="462">
        <f t="shared" si="216"/>
        <v>150000</v>
      </c>
      <c r="H481" s="462"/>
      <c r="I481" s="462">
        <f t="shared" si="216"/>
        <v>50000</v>
      </c>
      <c r="J481" s="462">
        <f t="shared" si="216"/>
        <v>50000</v>
      </c>
      <c r="K481" s="462">
        <f t="shared" si="206"/>
        <v>33.333333333333329</v>
      </c>
      <c r="L481" s="462">
        <f t="shared" si="207"/>
        <v>-100000</v>
      </c>
      <c r="M481" s="462">
        <f t="shared" ref="M481:M484" si="217">M482</f>
        <v>50000</v>
      </c>
      <c r="N481" s="178">
        <f t="shared" si="205"/>
        <v>0</v>
      </c>
    </row>
    <row r="482" spans="1:14" outlineLevel="1" x14ac:dyDescent="0.3">
      <c r="A482" s="383" t="s">
        <v>420</v>
      </c>
      <c r="B482" s="392" t="s">
        <v>455</v>
      </c>
      <c r="C482" s="392" t="s">
        <v>290</v>
      </c>
      <c r="D482" s="392" t="s">
        <v>421</v>
      </c>
      <c r="E482" s="392" t="s">
        <v>6</v>
      </c>
      <c r="F482" s="471">
        <f t="shared" si="216"/>
        <v>50000</v>
      </c>
      <c r="G482" s="462">
        <f t="shared" si="216"/>
        <v>150000</v>
      </c>
      <c r="H482" s="462"/>
      <c r="I482" s="462">
        <f t="shared" si="216"/>
        <v>50000</v>
      </c>
      <c r="J482" s="462">
        <f t="shared" si="216"/>
        <v>50000</v>
      </c>
      <c r="K482" s="462">
        <f t="shared" si="206"/>
        <v>33.333333333333329</v>
      </c>
      <c r="L482" s="462">
        <f t="shared" si="207"/>
        <v>-100000</v>
      </c>
      <c r="M482" s="462">
        <f t="shared" si="217"/>
        <v>50000</v>
      </c>
      <c r="N482" s="178">
        <f t="shared" si="205"/>
        <v>0</v>
      </c>
    </row>
    <row r="483" spans="1:14" ht="37.549999999999997" customHeight="1" outlineLevel="2" x14ac:dyDescent="0.3">
      <c r="A483" s="189" t="s">
        <v>422</v>
      </c>
      <c r="B483" s="392" t="s">
        <v>455</v>
      </c>
      <c r="C483" s="392" t="s">
        <v>290</v>
      </c>
      <c r="D483" s="392" t="s">
        <v>423</v>
      </c>
      <c r="E483" s="392" t="s">
        <v>6</v>
      </c>
      <c r="F483" s="471">
        <f t="shared" si="216"/>
        <v>50000</v>
      </c>
      <c r="G483" s="462">
        <f t="shared" si="216"/>
        <v>150000</v>
      </c>
      <c r="H483" s="462"/>
      <c r="I483" s="462">
        <f t="shared" si="216"/>
        <v>50000</v>
      </c>
      <c r="J483" s="462">
        <f t="shared" si="216"/>
        <v>50000</v>
      </c>
      <c r="K483" s="462">
        <f t="shared" si="206"/>
        <v>33.333333333333329</v>
      </c>
      <c r="L483" s="462">
        <f t="shared" si="207"/>
        <v>-100000</v>
      </c>
      <c r="M483" s="462">
        <f t="shared" si="217"/>
        <v>50000</v>
      </c>
      <c r="N483" s="178">
        <f t="shared" si="205"/>
        <v>0</v>
      </c>
    </row>
    <row r="484" spans="1:14" ht="34" outlineLevel="4" x14ac:dyDescent="0.3">
      <c r="A484" s="189" t="s">
        <v>15</v>
      </c>
      <c r="B484" s="392" t="s">
        <v>455</v>
      </c>
      <c r="C484" s="392" t="s">
        <v>290</v>
      </c>
      <c r="D484" s="392" t="s">
        <v>423</v>
      </c>
      <c r="E484" s="392" t="s">
        <v>16</v>
      </c>
      <c r="F484" s="471">
        <f t="shared" si="216"/>
        <v>50000</v>
      </c>
      <c r="G484" s="462">
        <f t="shared" si="216"/>
        <v>150000</v>
      </c>
      <c r="H484" s="462"/>
      <c r="I484" s="462">
        <f t="shared" si="216"/>
        <v>50000</v>
      </c>
      <c r="J484" s="462">
        <f t="shared" si="216"/>
        <v>50000</v>
      </c>
      <c r="K484" s="462">
        <f t="shared" si="206"/>
        <v>33.333333333333329</v>
      </c>
      <c r="L484" s="462">
        <f t="shared" si="207"/>
        <v>-100000</v>
      </c>
      <c r="M484" s="462">
        <f t="shared" si="217"/>
        <v>50000</v>
      </c>
      <c r="N484" s="178">
        <f t="shared" si="205"/>
        <v>0</v>
      </c>
    </row>
    <row r="485" spans="1:14" ht="50.95" outlineLevel="5" x14ac:dyDescent="0.3">
      <c r="A485" s="189" t="s">
        <v>17</v>
      </c>
      <c r="B485" s="392" t="s">
        <v>455</v>
      </c>
      <c r="C485" s="392" t="s">
        <v>290</v>
      </c>
      <c r="D485" s="392" t="s">
        <v>423</v>
      </c>
      <c r="E485" s="392" t="s">
        <v>18</v>
      </c>
      <c r="F485" s="475">
        <v>50000</v>
      </c>
      <c r="G485" s="449">
        <f>'потребность 2023 (5)'!K504+100000</f>
        <v>150000</v>
      </c>
      <c r="H485" s="449"/>
      <c r="I485" s="449">
        <v>50000</v>
      </c>
      <c r="J485" s="449">
        <v>50000</v>
      </c>
      <c r="K485" s="462">
        <f t="shared" si="206"/>
        <v>33.333333333333329</v>
      </c>
      <c r="L485" s="462">
        <f t="shared" si="207"/>
        <v>-100000</v>
      </c>
      <c r="M485" s="449">
        <v>50000</v>
      </c>
      <c r="N485" s="178">
        <f t="shared" si="205"/>
        <v>0</v>
      </c>
    </row>
    <row r="486" spans="1:14" outlineLevel="6" x14ac:dyDescent="0.3">
      <c r="A486" s="233" t="s">
        <v>103</v>
      </c>
      <c r="B486" s="392" t="s">
        <v>455</v>
      </c>
      <c r="C486" s="397" t="s">
        <v>104</v>
      </c>
      <c r="D486" s="397" t="s">
        <v>126</v>
      </c>
      <c r="E486" s="397" t="s">
        <v>6</v>
      </c>
      <c r="F486" s="473">
        <f t="shared" ref="F486:J491" si="218">F487</f>
        <v>3357000</v>
      </c>
      <c r="G486" s="465">
        <f t="shared" si="218"/>
        <v>3357000</v>
      </c>
      <c r="H486" s="465"/>
      <c r="I486" s="465">
        <f t="shared" si="218"/>
        <v>2500000</v>
      </c>
      <c r="J486" s="465">
        <f t="shared" si="218"/>
        <v>3597234.46</v>
      </c>
      <c r="K486" s="462">
        <f t="shared" si="206"/>
        <v>107.15622460530234</v>
      </c>
      <c r="L486" s="462">
        <f t="shared" si="207"/>
        <v>240234.45999999996</v>
      </c>
      <c r="M486" s="465">
        <f t="shared" ref="M486:M491" si="219">M487</f>
        <v>3597234.46</v>
      </c>
      <c r="N486" s="178">
        <f t="shared" si="205"/>
        <v>0</v>
      </c>
    </row>
    <row r="487" spans="1:14" outlineLevel="7" x14ac:dyDescent="0.3">
      <c r="A487" s="189" t="s">
        <v>105</v>
      </c>
      <c r="B487" s="392" t="s">
        <v>455</v>
      </c>
      <c r="C487" s="392" t="s">
        <v>106</v>
      </c>
      <c r="D487" s="392" t="s">
        <v>126</v>
      </c>
      <c r="E487" s="392" t="s">
        <v>6</v>
      </c>
      <c r="F487" s="471">
        <f t="shared" si="218"/>
        <v>3357000</v>
      </c>
      <c r="G487" s="462">
        <f t="shared" si="218"/>
        <v>3357000</v>
      </c>
      <c r="H487" s="462"/>
      <c r="I487" s="462">
        <f t="shared" si="218"/>
        <v>2500000</v>
      </c>
      <c r="J487" s="462">
        <f t="shared" si="218"/>
        <v>3597234.46</v>
      </c>
      <c r="K487" s="462">
        <f t="shared" si="206"/>
        <v>107.15622460530234</v>
      </c>
      <c r="L487" s="462">
        <f t="shared" si="207"/>
        <v>240234.45999999996</v>
      </c>
      <c r="M487" s="462">
        <f t="shared" si="219"/>
        <v>3597234.46</v>
      </c>
      <c r="N487" s="178">
        <f t="shared" si="205"/>
        <v>0</v>
      </c>
    </row>
    <row r="488" spans="1:14" ht="50.95" outlineLevel="5" x14ac:dyDescent="0.3">
      <c r="A488" s="233" t="s">
        <v>1028</v>
      </c>
      <c r="B488" s="392" t="s">
        <v>455</v>
      </c>
      <c r="C488" s="397" t="s">
        <v>106</v>
      </c>
      <c r="D488" s="397" t="s">
        <v>305</v>
      </c>
      <c r="E488" s="397" t="s">
        <v>6</v>
      </c>
      <c r="F488" s="473">
        <f>F489</f>
        <v>3357000</v>
      </c>
      <c r="G488" s="465">
        <f>G489</f>
        <v>3357000</v>
      </c>
      <c r="H488" s="465"/>
      <c r="I488" s="465">
        <f>I489</f>
        <v>2500000</v>
      </c>
      <c r="J488" s="465">
        <f>J489</f>
        <v>3597234.46</v>
      </c>
      <c r="K488" s="462">
        <f t="shared" si="206"/>
        <v>107.15622460530234</v>
      </c>
      <c r="L488" s="462">
        <f t="shared" si="207"/>
        <v>240234.45999999996</v>
      </c>
      <c r="M488" s="465">
        <f>M489</f>
        <v>3597234.46</v>
      </c>
      <c r="N488" s="178">
        <f t="shared" si="205"/>
        <v>0</v>
      </c>
    </row>
    <row r="489" spans="1:14" ht="34" outlineLevel="6" x14ac:dyDescent="0.3">
      <c r="A489" s="189" t="s">
        <v>315</v>
      </c>
      <c r="B489" s="392" t="s">
        <v>455</v>
      </c>
      <c r="C489" s="392" t="s">
        <v>106</v>
      </c>
      <c r="D489" s="392" t="s">
        <v>306</v>
      </c>
      <c r="E489" s="392" t="s">
        <v>6</v>
      </c>
      <c r="F489" s="471">
        <f t="shared" si="218"/>
        <v>3357000</v>
      </c>
      <c r="G489" s="462">
        <f t="shared" si="218"/>
        <v>3357000</v>
      </c>
      <c r="H489" s="462"/>
      <c r="I489" s="462">
        <f t="shared" si="218"/>
        <v>2500000</v>
      </c>
      <c r="J489" s="462">
        <f t="shared" si="218"/>
        <v>3597234.46</v>
      </c>
      <c r="K489" s="462">
        <f t="shared" si="206"/>
        <v>107.15622460530234</v>
      </c>
      <c r="L489" s="462">
        <f t="shared" si="207"/>
        <v>240234.45999999996</v>
      </c>
      <c r="M489" s="462">
        <f t="shared" si="219"/>
        <v>3597234.46</v>
      </c>
      <c r="N489" s="178">
        <f t="shared" si="205"/>
        <v>0</v>
      </c>
    </row>
    <row r="490" spans="1:14" ht="50.95" outlineLevel="7" x14ac:dyDescent="0.3">
      <c r="A490" s="189" t="s">
        <v>107</v>
      </c>
      <c r="B490" s="392" t="s">
        <v>455</v>
      </c>
      <c r="C490" s="392" t="s">
        <v>106</v>
      </c>
      <c r="D490" s="392" t="s">
        <v>307</v>
      </c>
      <c r="E490" s="392" t="s">
        <v>6</v>
      </c>
      <c r="F490" s="471">
        <f t="shared" si="218"/>
        <v>3357000</v>
      </c>
      <c r="G490" s="462">
        <f t="shared" si="218"/>
        <v>3357000</v>
      </c>
      <c r="H490" s="462"/>
      <c r="I490" s="462">
        <f t="shared" si="218"/>
        <v>2500000</v>
      </c>
      <c r="J490" s="462">
        <f t="shared" si="218"/>
        <v>3597234.46</v>
      </c>
      <c r="K490" s="462">
        <f t="shared" si="206"/>
        <v>107.15622460530234</v>
      </c>
      <c r="L490" s="462">
        <f t="shared" si="207"/>
        <v>240234.45999999996</v>
      </c>
      <c r="M490" s="462">
        <f t="shared" si="219"/>
        <v>3597234.46</v>
      </c>
      <c r="N490" s="178">
        <f t="shared" si="205"/>
        <v>0</v>
      </c>
    </row>
    <row r="491" spans="1:14" ht="50.95" outlineLevel="6" x14ac:dyDescent="0.3">
      <c r="A491" s="189" t="s">
        <v>37</v>
      </c>
      <c r="B491" s="392" t="s">
        <v>455</v>
      </c>
      <c r="C491" s="392" t="s">
        <v>106</v>
      </c>
      <c r="D491" s="392" t="s">
        <v>307</v>
      </c>
      <c r="E491" s="392" t="s">
        <v>38</v>
      </c>
      <c r="F491" s="471">
        <f t="shared" si="218"/>
        <v>3357000</v>
      </c>
      <c r="G491" s="462">
        <f t="shared" si="218"/>
        <v>3357000</v>
      </c>
      <c r="H491" s="462"/>
      <c r="I491" s="462">
        <f t="shared" si="218"/>
        <v>2500000</v>
      </c>
      <c r="J491" s="462">
        <f t="shared" si="218"/>
        <v>3597234.46</v>
      </c>
      <c r="K491" s="462">
        <f t="shared" si="206"/>
        <v>107.15622460530234</v>
      </c>
      <c r="L491" s="462">
        <f t="shared" si="207"/>
        <v>240234.45999999996</v>
      </c>
      <c r="M491" s="462">
        <f t="shared" si="219"/>
        <v>3597234.46</v>
      </c>
      <c r="N491" s="178">
        <f t="shared" si="205"/>
        <v>0</v>
      </c>
    </row>
    <row r="492" spans="1:14" ht="20.25" customHeight="1" outlineLevel="7" x14ac:dyDescent="0.3">
      <c r="A492" s="189" t="s">
        <v>39</v>
      </c>
      <c r="B492" s="392" t="s">
        <v>455</v>
      </c>
      <c r="C492" s="392" t="s">
        <v>106</v>
      </c>
      <c r="D492" s="392" t="s">
        <v>307</v>
      </c>
      <c r="E492" s="392" t="s">
        <v>40</v>
      </c>
      <c r="F492" s="475">
        <v>3357000</v>
      </c>
      <c r="G492" s="462">
        <f>'потребность 2023 (5)'!K511</f>
        <v>3357000</v>
      </c>
      <c r="H492" s="462"/>
      <c r="I492" s="462">
        <v>2500000</v>
      </c>
      <c r="J492" s="449">
        <v>3597234.46</v>
      </c>
      <c r="K492" s="462">
        <f t="shared" si="206"/>
        <v>107.15622460530234</v>
      </c>
      <c r="L492" s="462">
        <f t="shared" si="207"/>
        <v>240234.45999999996</v>
      </c>
      <c r="M492" s="449">
        <v>3597234.46</v>
      </c>
      <c r="N492" s="178">
        <f t="shared" si="205"/>
        <v>0</v>
      </c>
    </row>
    <row r="493" spans="1:14" ht="29.9" customHeight="1" outlineLevel="6" x14ac:dyDescent="0.3">
      <c r="A493" s="186" t="s">
        <v>481</v>
      </c>
      <c r="B493" s="458" t="s">
        <v>456</v>
      </c>
      <c r="C493" s="458" t="s">
        <v>5</v>
      </c>
      <c r="D493" s="458" t="s">
        <v>126</v>
      </c>
      <c r="E493" s="458" t="s">
        <v>6</v>
      </c>
      <c r="F493" s="481">
        <f>F494</f>
        <v>5509254.1400000006</v>
      </c>
      <c r="G493" s="459">
        <f>G494</f>
        <v>5646668.2999999998</v>
      </c>
      <c r="H493" s="459"/>
      <c r="I493" s="459">
        <f>I494</f>
        <v>5723967.9299999997</v>
      </c>
      <c r="J493" s="459">
        <f>J494</f>
        <v>6308611.0899999999</v>
      </c>
      <c r="K493" s="462">
        <f t="shared" si="206"/>
        <v>111.72271425966353</v>
      </c>
      <c r="L493" s="462">
        <f t="shared" si="207"/>
        <v>661942.79</v>
      </c>
      <c r="M493" s="459">
        <f>M494</f>
        <v>6308611.0899999999</v>
      </c>
      <c r="N493" s="178">
        <f t="shared" si="205"/>
        <v>0</v>
      </c>
    </row>
    <row r="494" spans="1:14" outlineLevel="7" x14ac:dyDescent="0.3">
      <c r="A494" s="189" t="s">
        <v>7</v>
      </c>
      <c r="B494" s="392" t="s">
        <v>456</v>
      </c>
      <c r="C494" s="392" t="s">
        <v>8</v>
      </c>
      <c r="D494" s="392" t="s">
        <v>126</v>
      </c>
      <c r="E494" s="392" t="s">
        <v>6</v>
      </c>
      <c r="F494" s="471">
        <f>F495+F510</f>
        <v>5509254.1400000006</v>
      </c>
      <c r="G494" s="462">
        <f>G495+G510</f>
        <v>5646668.2999999998</v>
      </c>
      <c r="H494" s="462"/>
      <c r="I494" s="462">
        <f>I495+I510</f>
        <v>5723967.9299999997</v>
      </c>
      <c r="J494" s="462">
        <f>J495+J510</f>
        <v>6308611.0899999999</v>
      </c>
      <c r="K494" s="462">
        <f t="shared" si="206"/>
        <v>111.72271425966353</v>
      </c>
      <c r="L494" s="462">
        <f t="shared" si="207"/>
        <v>661942.79</v>
      </c>
      <c r="M494" s="462">
        <f>M495+M510</f>
        <v>6308611.0899999999</v>
      </c>
      <c r="N494" s="178">
        <f t="shared" si="205"/>
        <v>0</v>
      </c>
    </row>
    <row r="495" spans="1:14" ht="67.95" outlineLevel="5" x14ac:dyDescent="0.3">
      <c r="A495" s="189" t="s">
        <v>108</v>
      </c>
      <c r="B495" s="392" t="s">
        <v>456</v>
      </c>
      <c r="C495" s="392" t="s">
        <v>109</v>
      </c>
      <c r="D495" s="392" t="s">
        <v>126</v>
      </c>
      <c r="E495" s="392" t="s">
        <v>6</v>
      </c>
      <c r="F495" s="471">
        <f>F496</f>
        <v>5356508.6400000006</v>
      </c>
      <c r="G495" s="462">
        <f>G496</f>
        <v>5429388.2999999998</v>
      </c>
      <c r="H495" s="462"/>
      <c r="I495" s="462">
        <f>I496</f>
        <v>5581195.9299999997</v>
      </c>
      <c r="J495" s="462">
        <f>J496</f>
        <v>6155611.0899999999</v>
      </c>
      <c r="K495" s="462">
        <f t="shared" si="206"/>
        <v>113.37577549942412</v>
      </c>
      <c r="L495" s="462">
        <f t="shared" si="207"/>
        <v>726222.79</v>
      </c>
      <c r="M495" s="462">
        <f>M496</f>
        <v>6155611.0899999999</v>
      </c>
      <c r="N495" s="178">
        <f t="shared" si="205"/>
        <v>0</v>
      </c>
    </row>
    <row r="496" spans="1:14" ht="34" outlineLevel="6" x14ac:dyDescent="0.3">
      <c r="A496" s="189" t="s">
        <v>132</v>
      </c>
      <c r="B496" s="392" t="s">
        <v>456</v>
      </c>
      <c r="C496" s="392" t="s">
        <v>109</v>
      </c>
      <c r="D496" s="392" t="s">
        <v>127</v>
      </c>
      <c r="E496" s="392" t="s">
        <v>6</v>
      </c>
      <c r="F496" s="471">
        <f>F497+F500+F507</f>
        <v>5356508.6400000006</v>
      </c>
      <c r="G496" s="462">
        <f>G497+G500+G507</f>
        <v>5429388.2999999998</v>
      </c>
      <c r="H496" s="462"/>
      <c r="I496" s="462">
        <f>I497+I500+I507</f>
        <v>5581195.9299999997</v>
      </c>
      <c r="J496" s="462">
        <f>J497+J500+J507</f>
        <v>6155611.0899999999</v>
      </c>
      <c r="K496" s="462">
        <f t="shared" si="206"/>
        <v>113.37577549942412</v>
      </c>
      <c r="L496" s="462">
        <f t="shared" si="207"/>
        <v>726222.79</v>
      </c>
      <c r="M496" s="462">
        <f>M497+M500+M507</f>
        <v>6155611.0899999999</v>
      </c>
      <c r="N496" s="178">
        <f t="shared" si="205"/>
        <v>0</v>
      </c>
    </row>
    <row r="497" spans="1:14" ht="34" outlineLevel="7" x14ac:dyDescent="0.3">
      <c r="A497" s="189" t="s">
        <v>482</v>
      </c>
      <c r="B497" s="392" t="s">
        <v>456</v>
      </c>
      <c r="C497" s="392" t="s">
        <v>109</v>
      </c>
      <c r="D497" s="392" t="s">
        <v>483</v>
      </c>
      <c r="E497" s="392" t="s">
        <v>6</v>
      </c>
      <c r="F497" s="471">
        <f>F498</f>
        <v>2497158.35</v>
      </c>
      <c r="G497" s="462">
        <f t="shared" ref="G497:J498" si="220">G498</f>
        <v>2537974.2999999998</v>
      </c>
      <c r="H497" s="462"/>
      <c r="I497" s="462">
        <f t="shared" si="220"/>
        <v>2639493.27</v>
      </c>
      <c r="J497" s="462">
        <f t="shared" si="220"/>
        <v>2872093.52</v>
      </c>
      <c r="K497" s="462">
        <f t="shared" si="206"/>
        <v>113.16479918650084</v>
      </c>
      <c r="L497" s="462">
        <f t="shared" si="207"/>
        <v>334119.2200000002</v>
      </c>
      <c r="M497" s="462">
        <f t="shared" ref="M497:M498" si="221">M498</f>
        <v>2872093.52</v>
      </c>
      <c r="N497" s="178">
        <f t="shared" si="205"/>
        <v>0</v>
      </c>
    </row>
    <row r="498" spans="1:14" ht="37.549999999999997" customHeight="1" outlineLevel="2" x14ac:dyDescent="0.3">
      <c r="A498" s="189" t="s">
        <v>11</v>
      </c>
      <c r="B498" s="392" t="s">
        <v>456</v>
      </c>
      <c r="C498" s="392" t="s">
        <v>109</v>
      </c>
      <c r="D498" s="392" t="s">
        <v>483</v>
      </c>
      <c r="E498" s="392" t="s">
        <v>12</v>
      </c>
      <c r="F498" s="471">
        <f>F499</f>
        <v>2497158.35</v>
      </c>
      <c r="G498" s="462">
        <f t="shared" si="220"/>
        <v>2537974.2999999998</v>
      </c>
      <c r="H498" s="462"/>
      <c r="I498" s="462">
        <f t="shared" si="220"/>
        <v>2639493.27</v>
      </c>
      <c r="J498" s="462">
        <f t="shared" si="220"/>
        <v>2872093.52</v>
      </c>
      <c r="K498" s="462">
        <f t="shared" si="206"/>
        <v>113.16479918650084</v>
      </c>
      <c r="L498" s="462">
        <f t="shared" si="207"/>
        <v>334119.2200000002</v>
      </c>
      <c r="M498" s="462">
        <f t="shared" si="221"/>
        <v>2872093.52</v>
      </c>
      <c r="N498" s="178">
        <f t="shared" si="205"/>
        <v>0</v>
      </c>
    </row>
    <row r="499" spans="1:14" ht="34" outlineLevel="4" x14ac:dyDescent="0.3">
      <c r="A499" s="189" t="s">
        <v>13</v>
      </c>
      <c r="B499" s="392" t="s">
        <v>456</v>
      </c>
      <c r="C499" s="392" t="s">
        <v>109</v>
      </c>
      <c r="D499" s="392" t="s">
        <v>483</v>
      </c>
      <c r="E499" s="392" t="s">
        <v>14</v>
      </c>
      <c r="F499" s="475">
        <v>2497158.35</v>
      </c>
      <c r="G499" s="449">
        <f>'потребность 2023 (5)'!K518</f>
        <v>2537974.2999999998</v>
      </c>
      <c r="H499" s="449"/>
      <c r="I499" s="449">
        <v>2639493.27</v>
      </c>
      <c r="J499" s="449">
        <v>2872093.52</v>
      </c>
      <c r="K499" s="462">
        <f t="shared" si="206"/>
        <v>113.16479918650084</v>
      </c>
      <c r="L499" s="462">
        <f t="shared" si="207"/>
        <v>334119.2200000002</v>
      </c>
      <c r="M499" s="449">
        <v>2872093.52</v>
      </c>
      <c r="N499" s="178">
        <f t="shared" si="205"/>
        <v>0</v>
      </c>
    </row>
    <row r="500" spans="1:14" ht="67.95" outlineLevel="5" x14ac:dyDescent="0.3">
      <c r="A500" s="189" t="s">
        <v>449</v>
      </c>
      <c r="B500" s="392" t="s">
        <v>456</v>
      </c>
      <c r="C500" s="392" t="s">
        <v>109</v>
      </c>
      <c r="D500" s="392" t="s">
        <v>450</v>
      </c>
      <c r="E500" s="392" t="s">
        <v>6</v>
      </c>
      <c r="F500" s="471">
        <f>F501+F503+F505</f>
        <v>2679350.29</v>
      </c>
      <c r="G500" s="462">
        <f>G501+G503+G505</f>
        <v>2711414</v>
      </c>
      <c r="H500" s="462"/>
      <c r="I500" s="462">
        <f>I501+I503+I505</f>
        <v>2761702.66</v>
      </c>
      <c r="J500" s="462">
        <f>J501+J503+J505</f>
        <v>3103517.57</v>
      </c>
      <c r="K500" s="462">
        <f t="shared" si="206"/>
        <v>114.46122097178815</v>
      </c>
      <c r="L500" s="462">
        <f t="shared" si="207"/>
        <v>392103.56999999983</v>
      </c>
      <c r="M500" s="462">
        <f>M501+M503+M505</f>
        <v>3103517.57</v>
      </c>
      <c r="N500" s="178">
        <f t="shared" si="205"/>
        <v>0</v>
      </c>
    </row>
    <row r="501" spans="1:14" ht="101.9" outlineLevel="6" x14ac:dyDescent="0.3">
      <c r="A501" s="189" t="s">
        <v>11</v>
      </c>
      <c r="B501" s="392" t="s">
        <v>456</v>
      </c>
      <c r="C501" s="392" t="s">
        <v>109</v>
      </c>
      <c r="D501" s="392" t="s">
        <v>450</v>
      </c>
      <c r="E501" s="392" t="s">
        <v>12</v>
      </c>
      <c r="F501" s="471">
        <f>F502</f>
        <v>2488444.35</v>
      </c>
      <c r="G501" s="462">
        <f>G502</f>
        <v>2560414</v>
      </c>
      <c r="H501" s="462"/>
      <c r="I501" s="462">
        <f>I502</f>
        <v>2544862.66</v>
      </c>
      <c r="J501" s="462">
        <f>J502</f>
        <v>2871517.57</v>
      </c>
      <c r="K501" s="462">
        <f t="shared" si="206"/>
        <v>112.15051823650393</v>
      </c>
      <c r="L501" s="462">
        <f t="shared" si="207"/>
        <v>311103.56999999983</v>
      </c>
      <c r="M501" s="462">
        <f>M502</f>
        <v>2871517.57</v>
      </c>
      <c r="N501" s="178">
        <f t="shared" si="205"/>
        <v>0</v>
      </c>
    </row>
    <row r="502" spans="1:14" ht="34" outlineLevel="7" x14ac:dyDescent="0.3">
      <c r="A502" s="189" t="s">
        <v>13</v>
      </c>
      <c r="B502" s="392" t="s">
        <v>456</v>
      </c>
      <c r="C502" s="392" t="s">
        <v>109</v>
      </c>
      <c r="D502" s="392" t="s">
        <v>450</v>
      </c>
      <c r="E502" s="392" t="s">
        <v>14</v>
      </c>
      <c r="F502" s="475">
        <v>2488444.35</v>
      </c>
      <c r="G502" s="462">
        <f>'потребность 2023 (5)'!K521</f>
        <v>2560414</v>
      </c>
      <c r="H502" s="462"/>
      <c r="I502" s="462">
        <v>2544862.66</v>
      </c>
      <c r="J502" s="449">
        <v>2871517.57</v>
      </c>
      <c r="K502" s="462">
        <f t="shared" si="206"/>
        <v>112.15051823650393</v>
      </c>
      <c r="L502" s="462">
        <f t="shared" si="207"/>
        <v>311103.56999999983</v>
      </c>
      <c r="M502" s="449">
        <v>2871517.57</v>
      </c>
      <c r="N502" s="178">
        <f t="shared" si="205"/>
        <v>0</v>
      </c>
    </row>
    <row r="503" spans="1:14" ht="34" outlineLevel="7" x14ac:dyDescent="0.3">
      <c r="A503" s="189" t="s">
        <v>15</v>
      </c>
      <c r="B503" s="392" t="s">
        <v>456</v>
      </c>
      <c r="C503" s="392" t="s">
        <v>109</v>
      </c>
      <c r="D503" s="392" t="s">
        <v>450</v>
      </c>
      <c r="E503" s="392" t="s">
        <v>16</v>
      </c>
      <c r="F503" s="471">
        <f>F504</f>
        <v>190905.94</v>
      </c>
      <c r="G503" s="462">
        <f>G504</f>
        <v>146000</v>
      </c>
      <c r="H503" s="462"/>
      <c r="I503" s="462">
        <f>I504</f>
        <v>211840</v>
      </c>
      <c r="J503" s="462">
        <f>J504</f>
        <v>227000</v>
      </c>
      <c r="K503" s="462">
        <f t="shared" si="206"/>
        <v>155.47945205479451</v>
      </c>
      <c r="L503" s="462">
        <f t="shared" si="207"/>
        <v>81000</v>
      </c>
      <c r="M503" s="462">
        <f>M504</f>
        <v>227000</v>
      </c>
      <c r="N503" s="178">
        <f t="shared" si="205"/>
        <v>0</v>
      </c>
    </row>
    <row r="504" spans="1:14" ht="50.95" outlineLevel="7" x14ac:dyDescent="0.3">
      <c r="A504" s="189" t="s">
        <v>17</v>
      </c>
      <c r="B504" s="392" t="s">
        <v>456</v>
      </c>
      <c r="C504" s="392" t="s">
        <v>109</v>
      </c>
      <c r="D504" s="392" t="s">
        <v>450</v>
      </c>
      <c r="E504" s="392" t="s">
        <v>18</v>
      </c>
      <c r="F504" s="475">
        <v>190905.94</v>
      </c>
      <c r="G504" s="449">
        <f>'потребность 2023 (5)'!K523-20000-80000</f>
        <v>146000</v>
      </c>
      <c r="H504" s="449"/>
      <c r="I504" s="449">
        <v>211840</v>
      </c>
      <c r="J504" s="449">
        <v>227000</v>
      </c>
      <c r="K504" s="462">
        <f t="shared" si="206"/>
        <v>155.47945205479451</v>
      </c>
      <c r="L504" s="462">
        <f t="shared" si="207"/>
        <v>81000</v>
      </c>
      <c r="M504" s="449">
        <v>227000</v>
      </c>
      <c r="N504" s="178">
        <f t="shared" si="205"/>
        <v>0</v>
      </c>
    </row>
    <row r="505" spans="1:14" outlineLevel="2" x14ac:dyDescent="0.3">
      <c r="A505" s="189" t="s">
        <v>19</v>
      </c>
      <c r="B505" s="392" t="s">
        <v>456</v>
      </c>
      <c r="C505" s="392" t="s">
        <v>109</v>
      </c>
      <c r="D505" s="392" t="s">
        <v>450</v>
      </c>
      <c r="E505" s="392" t="s">
        <v>20</v>
      </c>
      <c r="F505" s="471">
        <f>F506</f>
        <v>0</v>
      </c>
      <c r="G505" s="462">
        <f>G506</f>
        <v>5000</v>
      </c>
      <c r="H505" s="462"/>
      <c r="I505" s="462">
        <f>I506</f>
        <v>5000</v>
      </c>
      <c r="J505" s="462">
        <f>J506</f>
        <v>5000</v>
      </c>
      <c r="K505" s="462">
        <f t="shared" si="206"/>
        <v>100</v>
      </c>
      <c r="L505" s="462">
        <f t="shared" si="207"/>
        <v>0</v>
      </c>
      <c r="M505" s="462">
        <f>M506</f>
        <v>5000</v>
      </c>
      <c r="N505" s="178">
        <f t="shared" si="205"/>
        <v>0</v>
      </c>
    </row>
    <row r="506" spans="1:14" s="224" customFormat="1" outlineLevel="3" x14ac:dyDescent="0.3">
      <c r="A506" s="189" t="s">
        <v>21</v>
      </c>
      <c r="B506" s="392" t="s">
        <v>456</v>
      </c>
      <c r="C506" s="392" t="s">
        <v>109</v>
      </c>
      <c r="D506" s="392" t="s">
        <v>450</v>
      </c>
      <c r="E506" s="392" t="s">
        <v>22</v>
      </c>
      <c r="F506" s="500">
        <v>0</v>
      </c>
      <c r="G506" s="449">
        <f>'потребность 2023 (5)'!K525</f>
        <v>5000</v>
      </c>
      <c r="H506" s="449"/>
      <c r="I506" s="449">
        <v>5000</v>
      </c>
      <c r="J506" s="467">
        <v>5000</v>
      </c>
      <c r="K506" s="462">
        <f t="shared" si="206"/>
        <v>100</v>
      </c>
      <c r="L506" s="462">
        <f t="shared" si="207"/>
        <v>0</v>
      </c>
      <c r="M506" s="467">
        <v>5000</v>
      </c>
      <c r="N506" s="178">
        <f t="shared" si="205"/>
        <v>0</v>
      </c>
    </row>
    <row r="507" spans="1:14" ht="34" outlineLevel="4" x14ac:dyDescent="0.3">
      <c r="A507" s="189" t="s">
        <v>485</v>
      </c>
      <c r="B507" s="392" t="s">
        <v>456</v>
      </c>
      <c r="C507" s="392" t="s">
        <v>109</v>
      </c>
      <c r="D507" s="392" t="s">
        <v>484</v>
      </c>
      <c r="E507" s="392" t="s">
        <v>6</v>
      </c>
      <c r="F507" s="471">
        <f>F508</f>
        <v>180000</v>
      </c>
      <c r="G507" s="462">
        <f t="shared" ref="G507:J508" si="222">G508</f>
        <v>180000</v>
      </c>
      <c r="H507" s="462"/>
      <c r="I507" s="462">
        <f t="shared" si="222"/>
        <v>180000</v>
      </c>
      <c r="J507" s="462">
        <f t="shared" si="222"/>
        <v>180000</v>
      </c>
      <c r="K507" s="462">
        <f t="shared" si="206"/>
        <v>100</v>
      </c>
      <c r="L507" s="462">
        <f t="shared" si="207"/>
        <v>0</v>
      </c>
      <c r="M507" s="462">
        <f t="shared" ref="M507:M508" si="223">M508</f>
        <v>180000</v>
      </c>
      <c r="N507" s="178">
        <f t="shared" si="205"/>
        <v>0</v>
      </c>
    </row>
    <row r="508" spans="1:14" ht="101.9" outlineLevel="5" x14ac:dyDescent="0.3">
      <c r="A508" s="189" t="s">
        <v>11</v>
      </c>
      <c r="B508" s="392" t="s">
        <v>456</v>
      </c>
      <c r="C508" s="392" t="s">
        <v>109</v>
      </c>
      <c r="D508" s="392" t="s">
        <v>484</v>
      </c>
      <c r="E508" s="392" t="s">
        <v>12</v>
      </c>
      <c r="F508" s="471">
        <f>F509</f>
        <v>180000</v>
      </c>
      <c r="G508" s="462">
        <f t="shared" si="222"/>
        <v>180000</v>
      </c>
      <c r="H508" s="462"/>
      <c r="I508" s="462">
        <f t="shared" si="222"/>
        <v>180000</v>
      </c>
      <c r="J508" s="462">
        <f t="shared" si="222"/>
        <v>180000</v>
      </c>
      <c r="K508" s="462">
        <f t="shared" si="206"/>
        <v>100</v>
      </c>
      <c r="L508" s="462">
        <f t="shared" si="207"/>
        <v>0</v>
      </c>
      <c r="M508" s="462">
        <f t="shared" si="223"/>
        <v>180000</v>
      </c>
      <c r="N508" s="178">
        <f t="shared" si="205"/>
        <v>0</v>
      </c>
    </row>
    <row r="509" spans="1:14" ht="31.75" customHeight="1" outlineLevel="6" x14ac:dyDescent="0.3">
      <c r="A509" s="189" t="s">
        <v>13</v>
      </c>
      <c r="B509" s="392" t="s">
        <v>456</v>
      </c>
      <c r="C509" s="392" t="s">
        <v>109</v>
      </c>
      <c r="D509" s="392" t="s">
        <v>484</v>
      </c>
      <c r="E509" s="392" t="s">
        <v>14</v>
      </c>
      <c r="F509" s="475">
        <v>180000</v>
      </c>
      <c r="G509" s="449">
        <f>'потребность 2023 (5)'!K528</f>
        <v>180000</v>
      </c>
      <c r="H509" s="449"/>
      <c r="I509" s="449">
        <v>180000</v>
      </c>
      <c r="J509" s="462">
        <v>180000</v>
      </c>
      <c r="K509" s="462">
        <f t="shared" si="206"/>
        <v>100</v>
      </c>
      <c r="L509" s="462">
        <f t="shared" si="207"/>
        <v>0</v>
      </c>
      <c r="M509" s="462">
        <v>180000</v>
      </c>
      <c r="N509" s="178">
        <f t="shared" si="205"/>
        <v>0</v>
      </c>
    </row>
    <row r="510" spans="1:14" s="461" customFormat="1" x14ac:dyDescent="0.3">
      <c r="A510" s="189" t="s">
        <v>23</v>
      </c>
      <c r="B510" s="392" t="s">
        <v>456</v>
      </c>
      <c r="C510" s="392" t="s">
        <v>24</v>
      </c>
      <c r="D510" s="392" t="s">
        <v>126</v>
      </c>
      <c r="E510" s="392" t="s">
        <v>6</v>
      </c>
      <c r="F510" s="471">
        <f>F511+F516</f>
        <v>152745.5</v>
      </c>
      <c r="G510" s="462">
        <f>G511+G516</f>
        <v>217280</v>
      </c>
      <c r="H510" s="462"/>
      <c r="I510" s="462">
        <f>I511+I516</f>
        <v>142772</v>
      </c>
      <c r="J510" s="462">
        <f>J511+J516</f>
        <v>153000</v>
      </c>
      <c r="K510" s="462">
        <f t="shared" si="206"/>
        <v>70.416053019145807</v>
      </c>
      <c r="L510" s="462">
        <f t="shared" si="207"/>
        <v>-64280</v>
      </c>
      <c r="M510" s="462">
        <f>M511+M516</f>
        <v>153000</v>
      </c>
      <c r="N510" s="178">
        <f t="shared" si="205"/>
        <v>0</v>
      </c>
    </row>
    <row r="511" spans="1:14" s="224" customFormat="1" ht="50.95" outlineLevel="1" x14ac:dyDescent="0.3">
      <c r="A511" s="233" t="s">
        <v>1020</v>
      </c>
      <c r="B511" s="397" t="s">
        <v>456</v>
      </c>
      <c r="C511" s="397" t="s">
        <v>24</v>
      </c>
      <c r="D511" s="397" t="s">
        <v>128</v>
      </c>
      <c r="E511" s="397" t="s">
        <v>6</v>
      </c>
      <c r="F511" s="473">
        <f t="shared" ref="F511:J514" si="224">F512</f>
        <v>0</v>
      </c>
      <c r="G511" s="465">
        <f t="shared" si="224"/>
        <v>13620</v>
      </c>
      <c r="H511" s="465"/>
      <c r="I511" s="465">
        <f t="shared" si="224"/>
        <v>34612</v>
      </c>
      <c r="J511" s="462">
        <f t="shared" si="224"/>
        <v>21000</v>
      </c>
      <c r="K511" s="462">
        <f t="shared" si="206"/>
        <v>154.18502202643171</v>
      </c>
      <c r="L511" s="462">
        <f t="shared" si="207"/>
        <v>7380</v>
      </c>
      <c r="M511" s="462">
        <f t="shared" ref="M511:M514" si="225">M512</f>
        <v>21000</v>
      </c>
      <c r="N511" s="178">
        <f t="shared" si="205"/>
        <v>0</v>
      </c>
    </row>
    <row r="512" spans="1:14" ht="50.95" outlineLevel="2" x14ac:dyDescent="0.3">
      <c r="A512" s="189" t="s">
        <v>729</v>
      </c>
      <c r="B512" s="392" t="s">
        <v>456</v>
      </c>
      <c r="C512" s="392" t="s">
        <v>24</v>
      </c>
      <c r="D512" s="392" t="s">
        <v>303</v>
      </c>
      <c r="E512" s="392" t="s">
        <v>6</v>
      </c>
      <c r="F512" s="471">
        <f t="shared" si="224"/>
        <v>0</v>
      </c>
      <c r="G512" s="462">
        <f t="shared" si="224"/>
        <v>13620</v>
      </c>
      <c r="H512" s="462"/>
      <c r="I512" s="462">
        <f t="shared" si="224"/>
        <v>34612</v>
      </c>
      <c r="J512" s="462">
        <f t="shared" si="224"/>
        <v>21000</v>
      </c>
      <c r="K512" s="462">
        <f t="shared" si="206"/>
        <v>154.18502202643171</v>
      </c>
      <c r="L512" s="462">
        <f t="shared" si="207"/>
        <v>7380</v>
      </c>
      <c r="M512" s="462">
        <f t="shared" si="225"/>
        <v>21000</v>
      </c>
      <c r="N512" s="178">
        <f t="shared" si="205"/>
        <v>0</v>
      </c>
    </row>
    <row r="513" spans="1:14" s="224" customFormat="1" outlineLevel="3" x14ac:dyDescent="0.3">
      <c r="A513" s="189" t="s">
        <v>309</v>
      </c>
      <c r="B513" s="392" t="s">
        <v>456</v>
      </c>
      <c r="C513" s="392" t="s">
        <v>24</v>
      </c>
      <c r="D513" s="392" t="s">
        <v>304</v>
      </c>
      <c r="E513" s="392" t="s">
        <v>6</v>
      </c>
      <c r="F513" s="471">
        <f t="shared" si="224"/>
        <v>0</v>
      </c>
      <c r="G513" s="462">
        <f t="shared" si="224"/>
        <v>13620</v>
      </c>
      <c r="H513" s="462"/>
      <c r="I513" s="462">
        <f t="shared" si="224"/>
        <v>34612</v>
      </c>
      <c r="J513" s="462">
        <f t="shared" si="224"/>
        <v>21000</v>
      </c>
      <c r="K513" s="462">
        <f t="shared" si="206"/>
        <v>154.18502202643171</v>
      </c>
      <c r="L513" s="462">
        <f t="shared" si="207"/>
        <v>7380</v>
      </c>
      <c r="M513" s="462">
        <f t="shared" si="225"/>
        <v>21000</v>
      </c>
      <c r="N513" s="178">
        <f t="shared" si="205"/>
        <v>0</v>
      </c>
    </row>
    <row r="514" spans="1:14" ht="34" outlineLevel="4" x14ac:dyDescent="0.3">
      <c r="A514" s="189" t="s">
        <v>15</v>
      </c>
      <c r="B514" s="392" t="s">
        <v>456</v>
      </c>
      <c r="C514" s="392" t="s">
        <v>24</v>
      </c>
      <c r="D514" s="392" t="s">
        <v>304</v>
      </c>
      <c r="E514" s="392" t="s">
        <v>16</v>
      </c>
      <c r="F514" s="471">
        <f t="shared" si="224"/>
        <v>0</v>
      </c>
      <c r="G514" s="462">
        <f t="shared" si="224"/>
        <v>13620</v>
      </c>
      <c r="H514" s="462"/>
      <c r="I514" s="462">
        <f t="shared" si="224"/>
        <v>34612</v>
      </c>
      <c r="J514" s="462">
        <f t="shared" si="224"/>
        <v>21000</v>
      </c>
      <c r="K514" s="462">
        <f t="shared" si="206"/>
        <v>154.18502202643171</v>
      </c>
      <c r="L514" s="462">
        <f t="shared" si="207"/>
        <v>7380</v>
      </c>
      <c r="M514" s="462">
        <f t="shared" si="225"/>
        <v>21000</v>
      </c>
      <c r="N514" s="178">
        <f t="shared" si="205"/>
        <v>0</v>
      </c>
    </row>
    <row r="515" spans="1:14" ht="50.95" outlineLevel="4" x14ac:dyDescent="0.3">
      <c r="A515" s="189" t="s">
        <v>17</v>
      </c>
      <c r="B515" s="392" t="s">
        <v>456</v>
      </c>
      <c r="C515" s="392" t="s">
        <v>24</v>
      </c>
      <c r="D515" s="392" t="s">
        <v>304</v>
      </c>
      <c r="E515" s="392" t="s">
        <v>18</v>
      </c>
      <c r="F515" s="486">
        <v>0</v>
      </c>
      <c r="G515" s="462">
        <f>'потребность 2023 (5)'!K539-19660</f>
        <v>13620</v>
      </c>
      <c r="H515" s="462"/>
      <c r="I515" s="462">
        <v>34612</v>
      </c>
      <c r="J515" s="449">
        <v>21000</v>
      </c>
      <c r="K515" s="462">
        <f t="shared" si="206"/>
        <v>154.18502202643171</v>
      </c>
      <c r="L515" s="462">
        <f t="shared" si="207"/>
        <v>7380</v>
      </c>
      <c r="M515" s="449">
        <v>21000</v>
      </c>
      <c r="N515" s="178">
        <f t="shared" si="205"/>
        <v>0</v>
      </c>
    </row>
    <row r="516" spans="1:14" ht="34" outlineLevel="5" x14ac:dyDescent="0.3">
      <c r="A516" s="233" t="s">
        <v>132</v>
      </c>
      <c r="B516" s="397" t="s">
        <v>456</v>
      </c>
      <c r="C516" s="397" t="s">
        <v>24</v>
      </c>
      <c r="D516" s="397" t="s">
        <v>127</v>
      </c>
      <c r="E516" s="397" t="s">
        <v>6</v>
      </c>
      <c r="F516" s="477">
        <f t="shared" ref="F516:J518" si="226">F517</f>
        <v>152745.5</v>
      </c>
      <c r="G516" s="467">
        <f t="shared" si="226"/>
        <v>203660</v>
      </c>
      <c r="H516" s="467"/>
      <c r="I516" s="467">
        <f t="shared" si="226"/>
        <v>108160</v>
      </c>
      <c r="J516" s="467">
        <f t="shared" si="226"/>
        <v>132000</v>
      </c>
      <c r="K516" s="462">
        <f t="shared" si="206"/>
        <v>64.813905528822545</v>
      </c>
      <c r="L516" s="462">
        <f t="shared" si="207"/>
        <v>-71660</v>
      </c>
      <c r="M516" s="467">
        <f t="shared" ref="M516:M518" si="227">M517</f>
        <v>132000</v>
      </c>
      <c r="N516" s="178">
        <f t="shared" si="205"/>
        <v>0</v>
      </c>
    </row>
    <row r="517" spans="1:14" ht="34" outlineLevel="6" x14ac:dyDescent="0.3">
      <c r="A517" s="189" t="s">
        <v>486</v>
      </c>
      <c r="B517" s="392" t="s">
        <v>456</v>
      </c>
      <c r="C517" s="392" t="s">
        <v>24</v>
      </c>
      <c r="D517" s="240">
        <v>9909970201</v>
      </c>
      <c r="E517" s="392" t="s">
        <v>6</v>
      </c>
      <c r="F517" s="476">
        <f t="shared" si="226"/>
        <v>152745.5</v>
      </c>
      <c r="G517" s="449">
        <f t="shared" si="226"/>
        <v>203660</v>
      </c>
      <c r="H517" s="449"/>
      <c r="I517" s="449">
        <f t="shared" si="226"/>
        <v>108160</v>
      </c>
      <c r="J517" s="449">
        <f t="shared" si="226"/>
        <v>132000</v>
      </c>
      <c r="K517" s="462">
        <f t="shared" si="206"/>
        <v>64.813905528822545</v>
      </c>
      <c r="L517" s="462">
        <f t="shared" si="207"/>
        <v>-71660</v>
      </c>
      <c r="M517" s="449">
        <f t="shared" si="227"/>
        <v>132000</v>
      </c>
      <c r="N517" s="178">
        <f t="shared" si="205"/>
        <v>0</v>
      </c>
    </row>
    <row r="518" spans="1:14" ht="34" outlineLevel="7" x14ac:dyDescent="0.3">
      <c r="A518" s="189" t="s">
        <v>15</v>
      </c>
      <c r="B518" s="392" t="s">
        <v>456</v>
      </c>
      <c r="C518" s="392" t="s">
        <v>24</v>
      </c>
      <c r="D518" s="240">
        <v>9909970201</v>
      </c>
      <c r="E518" s="392" t="s">
        <v>16</v>
      </c>
      <c r="F518" s="476">
        <f t="shared" si="226"/>
        <v>152745.5</v>
      </c>
      <c r="G518" s="449">
        <f t="shared" si="226"/>
        <v>203660</v>
      </c>
      <c r="H518" s="449"/>
      <c r="I518" s="449">
        <f t="shared" si="226"/>
        <v>108160</v>
      </c>
      <c r="J518" s="449">
        <f t="shared" si="226"/>
        <v>132000</v>
      </c>
      <c r="K518" s="462">
        <f t="shared" si="206"/>
        <v>64.813905528822545</v>
      </c>
      <c r="L518" s="462">
        <f t="shared" si="207"/>
        <v>-71660</v>
      </c>
      <c r="M518" s="449">
        <f t="shared" si="227"/>
        <v>132000</v>
      </c>
      <c r="N518" s="178">
        <f t="shared" si="205"/>
        <v>0</v>
      </c>
    </row>
    <row r="519" spans="1:14" ht="45" customHeight="1" outlineLevel="7" x14ac:dyDescent="0.3">
      <c r="A519" s="189" t="s">
        <v>17</v>
      </c>
      <c r="B519" s="392" t="s">
        <v>456</v>
      </c>
      <c r="C519" s="392" t="s">
        <v>24</v>
      </c>
      <c r="D519" s="240">
        <v>9909970201</v>
      </c>
      <c r="E519" s="392" t="s">
        <v>18</v>
      </c>
      <c r="F519" s="475">
        <v>152745.5</v>
      </c>
      <c r="G519" s="462">
        <f>'потребность 2023 (5)'!K543+99660</f>
        <v>203660</v>
      </c>
      <c r="H519" s="462"/>
      <c r="I519" s="462">
        <v>108160</v>
      </c>
      <c r="J519" s="449">
        <v>132000</v>
      </c>
      <c r="K519" s="462">
        <f t="shared" si="206"/>
        <v>64.813905528822545</v>
      </c>
      <c r="L519" s="462">
        <f t="shared" si="207"/>
        <v>-71660</v>
      </c>
      <c r="M519" s="449">
        <v>132000</v>
      </c>
      <c r="N519" s="178">
        <f t="shared" si="205"/>
        <v>0</v>
      </c>
    </row>
    <row r="520" spans="1:14" ht="50.95" outlineLevel="7" x14ac:dyDescent="0.3">
      <c r="A520" s="186" t="s">
        <v>498</v>
      </c>
      <c r="B520" s="458" t="s">
        <v>490</v>
      </c>
      <c r="C520" s="458" t="s">
        <v>5</v>
      </c>
      <c r="D520" s="458" t="s">
        <v>126</v>
      </c>
      <c r="E520" s="458" t="s">
        <v>6</v>
      </c>
      <c r="F520" s="481" t="e">
        <f>F521+F650+F666</f>
        <v>#REF!</v>
      </c>
      <c r="G520" s="459">
        <f>G521+G685+G701</f>
        <v>224516761.55000001</v>
      </c>
      <c r="H520" s="459"/>
      <c r="I520" s="459" t="e">
        <f>I521+I685+I701</f>
        <v>#REF!</v>
      </c>
      <c r="J520" s="459">
        <f>J521+J685+J701</f>
        <v>258983152.15000004</v>
      </c>
      <c r="K520" s="462">
        <f t="shared" si="206"/>
        <v>115.35136635770704</v>
      </c>
      <c r="L520" s="462">
        <f t="shared" si="207"/>
        <v>34466390.600000024</v>
      </c>
      <c r="M520" s="459">
        <f>M521+M685+M701</f>
        <v>233123663.99000001</v>
      </c>
      <c r="N520" s="178">
        <f t="shared" ref="N520:N583" si="228">M520-J520</f>
        <v>-25859488.160000026</v>
      </c>
    </row>
    <row r="521" spans="1:14" outlineLevel="7" x14ac:dyDescent="0.3">
      <c r="A521" s="233" t="s">
        <v>69</v>
      </c>
      <c r="B521" s="397" t="s">
        <v>490</v>
      </c>
      <c r="C521" s="397" t="s">
        <v>70</v>
      </c>
      <c r="D521" s="397" t="s">
        <v>126</v>
      </c>
      <c r="E521" s="397" t="s">
        <v>6</v>
      </c>
      <c r="F521" s="473" t="e">
        <f>F522+F545+F610+F590</f>
        <v>#REF!</v>
      </c>
      <c r="G521" s="465">
        <f>G522+G560+G634+G656+G610</f>
        <v>222901461.55000001</v>
      </c>
      <c r="H521" s="465"/>
      <c r="I521" s="465" t="e">
        <f>I522+I560+I634+I656+I610</f>
        <v>#REF!</v>
      </c>
      <c r="J521" s="465">
        <f>J522+J560+J634+J656+J610</f>
        <v>257083152.15000004</v>
      </c>
      <c r="K521" s="462">
        <f t="shared" ref="K521:K584" si="229">J521/G521*100</f>
        <v>115.33488850288789</v>
      </c>
      <c r="L521" s="462">
        <f t="shared" ref="L521:L584" si="230">J521-G521</f>
        <v>34181690.600000024</v>
      </c>
      <c r="M521" s="465">
        <f>M522+M560+M634+M656+M610</f>
        <v>231223663.99000001</v>
      </c>
      <c r="N521" s="178">
        <f t="shared" si="228"/>
        <v>-25859488.160000026</v>
      </c>
    </row>
    <row r="522" spans="1:14" outlineLevel="7" x14ac:dyDescent="0.3">
      <c r="A522" s="189" t="s">
        <v>110</v>
      </c>
      <c r="B522" s="392" t="s">
        <v>490</v>
      </c>
      <c r="C522" s="392" t="s">
        <v>111</v>
      </c>
      <c r="D522" s="392" t="s">
        <v>126</v>
      </c>
      <c r="E522" s="392" t="s">
        <v>6</v>
      </c>
      <c r="F522" s="471">
        <f>F523</f>
        <v>43562077.859999999</v>
      </c>
      <c r="G522" s="462">
        <f t="shared" ref="G522:J523" si="231">G523</f>
        <v>60001396.549999997</v>
      </c>
      <c r="H522" s="462"/>
      <c r="I522" s="462">
        <f t="shared" si="231"/>
        <v>49423001.300000004</v>
      </c>
      <c r="J522" s="462">
        <f t="shared" si="231"/>
        <v>60251377.210000001</v>
      </c>
      <c r="K522" s="462">
        <f t="shared" si="229"/>
        <v>100.41662473604542</v>
      </c>
      <c r="L522" s="462">
        <f t="shared" si="230"/>
        <v>249980.66000000387</v>
      </c>
      <c r="M522" s="462">
        <f t="shared" ref="M522:M523" si="232">M523</f>
        <v>54586438.18</v>
      </c>
      <c r="N522" s="178">
        <f t="shared" si="228"/>
        <v>-5664939.0300000012</v>
      </c>
    </row>
    <row r="523" spans="1:14" ht="50.95" outlineLevel="7" x14ac:dyDescent="0.3">
      <c r="A523" s="233" t="s">
        <v>1017</v>
      </c>
      <c r="B523" s="397" t="s">
        <v>490</v>
      </c>
      <c r="C523" s="397" t="s">
        <v>111</v>
      </c>
      <c r="D523" s="397" t="s">
        <v>138</v>
      </c>
      <c r="E523" s="397" t="s">
        <v>6</v>
      </c>
      <c r="F523" s="473">
        <f>F524</f>
        <v>43562077.859999999</v>
      </c>
      <c r="G523" s="465">
        <f t="shared" si="231"/>
        <v>60001396.549999997</v>
      </c>
      <c r="H523" s="465"/>
      <c r="I523" s="465">
        <f t="shared" si="231"/>
        <v>49423001.300000004</v>
      </c>
      <c r="J523" s="465">
        <f t="shared" si="231"/>
        <v>60251377.210000001</v>
      </c>
      <c r="K523" s="462">
        <f t="shared" si="229"/>
        <v>100.41662473604542</v>
      </c>
      <c r="L523" s="462">
        <f t="shared" si="230"/>
        <v>249980.66000000387</v>
      </c>
      <c r="M523" s="465">
        <f t="shared" si="232"/>
        <v>54586438.18</v>
      </c>
      <c r="N523" s="178">
        <f t="shared" si="228"/>
        <v>-5664939.0300000012</v>
      </c>
    </row>
    <row r="524" spans="1:14" ht="50.95" outlineLevel="7" x14ac:dyDescent="0.3">
      <c r="A524" s="189" t="s">
        <v>1038</v>
      </c>
      <c r="B524" s="392" t="s">
        <v>490</v>
      </c>
      <c r="C524" s="392" t="s">
        <v>111</v>
      </c>
      <c r="D524" s="392" t="s">
        <v>139</v>
      </c>
      <c r="E524" s="392" t="s">
        <v>6</v>
      </c>
      <c r="F524" s="471">
        <f>F525+F532</f>
        <v>43562077.859999999</v>
      </c>
      <c r="G524" s="462">
        <f>G525+G532</f>
        <v>60001396.549999997</v>
      </c>
      <c r="H524" s="462"/>
      <c r="I524" s="462">
        <f>I525+I532</f>
        <v>49423001.300000004</v>
      </c>
      <c r="J524" s="462">
        <f>J525+J532</f>
        <v>60251377.210000001</v>
      </c>
      <c r="K524" s="462">
        <f t="shared" si="229"/>
        <v>100.41662473604542</v>
      </c>
      <c r="L524" s="462">
        <f t="shared" si="230"/>
        <v>249980.66000000387</v>
      </c>
      <c r="M524" s="462">
        <f>M525+M532</f>
        <v>54586438.18</v>
      </c>
      <c r="N524" s="178">
        <f t="shared" si="228"/>
        <v>-5664939.0300000012</v>
      </c>
    </row>
    <row r="525" spans="1:14" ht="50.95" outlineLevel="7" x14ac:dyDescent="0.3">
      <c r="A525" s="189" t="s">
        <v>200</v>
      </c>
      <c r="B525" s="392" t="s">
        <v>490</v>
      </c>
      <c r="C525" s="392" t="s">
        <v>111</v>
      </c>
      <c r="D525" s="392" t="s">
        <v>216</v>
      </c>
      <c r="E525" s="392" t="s">
        <v>6</v>
      </c>
      <c r="F525" s="471">
        <f>F526+F529</f>
        <v>43562077.859999999</v>
      </c>
      <c r="G525" s="462">
        <f>G526+G529</f>
        <v>52633669.18</v>
      </c>
      <c r="H525" s="462"/>
      <c r="I525" s="462">
        <f>I526+I529</f>
        <v>48688062.090000004</v>
      </c>
      <c r="J525" s="462">
        <f>J526+J529</f>
        <v>59616438</v>
      </c>
      <c r="K525" s="462">
        <f t="shared" si="229"/>
        <v>113.26673387735877</v>
      </c>
      <c r="L525" s="462">
        <f t="shared" si="230"/>
        <v>6982768.8200000003</v>
      </c>
      <c r="M525" s="462">
        <f>M526+M529</f>
        <v>54428438.18</v>
      </c>
      <c r="N525" s="178">
        <f t="shared" si="228"/>
        <v>-5187999.82</v>
      </c>
    </row>
    <row r="526" spans="1:14" ht="67.95" outlineLevel="7" x14ac:dyDescent="0.3">
      <c r="A526" s="189" t="s">
        <v>113</v>
      </c>
      <c r="B526" s="392" t="s">
        <v>490</v>
      </c>
      <c r="C526" s="392" t="s">
        <v>111</v>
      </c>
      <c r="D526" s="392" t="s">
        <v>144</v>
      </c>
      <c r="E526" s="392" t="s">
        <v>6</v>
      </c>
      <c r="F526" s="471">
        <f>F527</f>
        <v>43562077.859999999</v>
      </c>
      <c r="G526" s="462">
        <f t="shared" ref="G526:J527" si="233">G527</f>
        <v>52633669.18</v>
      </c>
      <c r="H526" s="462"/>
      <c r="I526" s="462">
        <f t="shared" si="233"/>
        <v>48688062.090000004</v>
      </c>
      <c r="J526" s="462">
        <f t="shared" si="233"/>
        <v>59616438</v>
      </c>
      <c r="K526" s="462">
        <f t="shared" si="229"/>
        <v>113.26673387735877</v>
      </c>
      <c r="L526" s="462">
        <f t="shared" si="230"/>
        <v>6982768.8200000003</v>
      </c>
      <c r="M526" s="462">
        <f t="shared" ref="M526:M527" si="234">M527</f>
        <v>54428438.18</v>
      </c>
      <c r="N526" s="178">
        <f t="shared" si="228"/>
        <v>-5187999.82</v>
      </c>
    </row>
    <row r="527" spans="1:14" ht="50.95" outlineLevel="7" x14ac:dyDescent="0.3">
      <c r="A527" s="189" t="s">
        <v>37</v>
      </c>
      <c r="B527" s="392" t="s">
        <v>490</v>
      </c>
      <c r="C527" s="392" t="s">
        <v>111</v>
      </c>
      <c r="D527" s="392" t="s">
        <v>144</v>
      </c>
      <c r="E527" s="392" t="s">
        <v>38</v>
      </c>
      <c r="F527" s="471">
        <f>F528</f>
        <v>43562077.859999999</v>
      </c>
      <c r="G527" s="462">
        <f t="shared" si="233"/>
        <v>52633669.18</v>
      </c>
      <c r="H527" s="462"/>
      <c r="I527" s="462">
        <f t="shared" si="233"/>
        <v>48688062.090000004</v>
      </c>
      <c r="J527" s="462">
        <f t="shared" si="233"/>
        <v>59616438</v>
      </c>
      <c r="K527" s="462">
        <f t="shared" si="229"/>
        <v>113.26673387735877</v>
      </c>
      <c r="L527" s="462">
        <f t="shared" si="230"/>
        <v>6982768.8200000003</v>
      </c>
      <c r="M527" s="462">
        <f t="shared" si="234"/>
        <v>54428438.18</v>
      </c>
      <c r="N527" s="178">
        <f t="shared" si="228"/>
        <v>-5187999.82</v>
      </c>
    </row>
    <row r="528" spans="1:14" outlineLevel="7" x14ac:dyDescent="0.3">
      <c r="A528" s="189" t="s">
        <v>74</v>
      </c>
      <c r="B528" s="392" t="s">
        <v>490</v>
      </c>
      <c r="C528" s="392" t="s">
        <v>111</v>
      </c>
      <c r="D528" s="392" t="s">
        <v>144</v>
      </c>
      <c r="E528" s="392" t="s">
        <v>75</v>
      </c>
      <c r="F528" s="475">
        <v>43562077.859999999</v>
      </c>
      <c r="G528" s="449">
        <f>'потребность 2023 (5)'!K557+3522880-390000+581100+3.88</f>
        <v>52633669.18</v>
      </c>
      <c r="H528" s="449"/>
      <c r="I528" s="449">
        <v>48688062.090000004</v>
      </c>
      <c r="J528" s="449">
        <v>59616438</v>
      </c>
      <c r="K528" s="462">
        <f t="shared" si="229"/>
        <v>113.26673387735877</v>
      </c>
      <c r="L528" s="462">
        <f t="shared" si="230"/>
        <v>6982768.8200000003</v>
      </c>
      <c r="M528" s="449">
        <f>59616438-1423000-4241939.03+476939.21</f>
        <v>54428438.18</v>
      </c>
      <c r="N528" s="178">
        <f t="shared" si="228"/>
        <v>-5187999.82</v>
      </c>
    </row>
    <row r="529" spans="1:14" ht="84.9" outlineLevel="7" x14ac:dyDescent="0.3">
      <c r="A529" s="202" t="s">
        <v>935</v>
      </c>
      <c r="B529" s="392" t="s">
        <v>490</v>
      </c>
      <c r="C529" s="392" t="s">
        <v>111</v>
      </c>
      <c r="D529" s="392" t="s">
        <v>145</v>
      </c>
      <c r="E529" s="392" t="s">
        <v>6</v>
      </c>
      <c r="F529" s="471">
        <f>F530</f>
        <v>0</v>
      </c>
      <c r="G529" s="462">
        <f t="shared" ref="G529:J530" si="235">G530</f>
        <v>0</v>
      </c>
      <c r="H529" s="462"/>
      <c r="I529" s="462">
        <f t="shared" si="235"/>
        <v>0</v>
      </c>
      <c r="J529" s="462">
        <f t="shared" si="235"/>
        <v>0</v>
      </c>
      <c r="K529" s="462" t="e">
        <f t="shared" si="229"/>
        <v>#DIV/0!</v>
      </c>
      <c r="L529" s="462">
        <f t="shared" si="230"/>
        <v>0</v>
      </c>
      <c r="M529" s="462">
        <f t="shared" ref="M529:M530" si="236">M530</f>
        <v>0</v>
      </c>
      <c r="N529" s="178">
        <f t="shared" si="228"/>
        <v>0</v>
      </c>
    </row>
    <row r="530" spans="1:14" ht="50.95" outlineLevel="7" x14ac:dyDescent="0.3">
      <c r="A530" s="189" t="s">
        <v>37</v>
      </c>
      <c r="B530" s="392" t="s">
        <v>490</v>
      </c>
      <c r="C530" s="392" t="s">
        <v>111</v>
      </c>
      <c r="D530" s="392" t="s">
        <v>145</v>
      </c>
      <c r="E530" s="392" t="s">
        <v>38</v>
      </c>
      <c r="F530" s="471">
        <f>F531</f>
        <v>0</v>
      </c>
      <c r="G530" s="462">
        <f t="shared" si="235"/>
        <v>0</v>
      </c>
      <c r="H530" s="462"/>
      <c r="I530" s="462">
        <f t="shared" si="235"/>
        <v>0</v>
      </c>
      <c r="J530" s="462">
        <f t="shared" si="235"/>
        <v>0</v>
      </c>
      <c r="K530" s="462" t="e">
        <f t="shared" si="229"/>
        <v>#DIV/0!</v>
      </c>
      <c r="L530" s="462">
        <f t="shared" si="230"/>
        <v>0</v>
      </c>
      <c r="M530" s="462">
        <f t="shared" si="236"/>
        <v>0</v>
      </c>
      <c r="N530" s="178">
        <f t="shared" si="228"/>
        <v>0</v>
      </c>
    </row>
    <row r="531" spans="1:14" ht="24.8" customHeight="1" outlineLevel="7" x14ac:dyDescent="0.3">
      <c r="A531" s="189" t="s">
        <v>74</v>
      </c>
      <c r="B531" s="392" t="s">
        <v>490</v>
      </c>
      <c r="C531" s="392" t="s">
        <v>111</v>
      </c>
      <c r="D531" s="392" t="s">
        <v>145</v>
      </c>
      <c r="E531" s="392" t="s">
        <v>75</v>
      </c>
      <c r="F531" s="475">
        <v>0</v>
      </c>
      <c r="G531" s="449">
        <v>0</v>
      </c>
      <c r="H531" s="449"/>
      <c r="I531" s="449">
        <v>0</v>
      </c>
      <c r="J531" s="449"/>
      <c r="K531" s="462" t="e">
        <f t="shared" si="229"/>
        <v>#DIV/0!</v>
      </c>
      <c r="L531" s="462">
        <f t="shared" si="230"/>
        <v>0</v>
      </c>
      <c r="M531" s="449"/>
      <c r="N531" s="178">
        <f t="shared" si="228"/>
        <v>0</v>
      </c>
    </row>
    <row r="532" spans="1:14" ht="34" outlineLevel="7" x14ac:dyDescent="0.3">
      <c r="A532" s="189" t="s">
        <v>201</v>
      </c>
      <c r="B532" s="392" t="s">
        <v>490</v>
      </c>
      <c r="C532" s="392" t="s">
        <v>111</v>
      </c>
      <c r="D532" s="392" t="s">
        <v>218</v>
      </c>
      <c r="E532" s="392" t="s">
        <v>6</v>
      </c>
      <c r="F532" s="462"/>
      <c r="G532" s="449">
        <f>G557+G533+G536+G539+G548+G551+G545+G542</f>
        <v>7367727.3700000001</v>
      </c>
      <c r="H532" s="449"/>
      <c r="I532" s="449">
        <f>I557+I533+I536+I539+I548+I551+I545+I542</f>
        <v>734939.21</v>
      </c>
      <c r="J532" s="449">
        <f>J557+J533+J536+J539+J548+J551+J545+J542</f>
        <v>634939.21</v>
      </c>
      <c r="K532" s="462">
        <f t="shared" si="229"/>
        <v>8.6178434422716688</v>
      </c>
      <c r="L532" s="462">
        <f t="shared" si="230"/>
        <v>-6732788.1600000001</v>
      </c>
      <c r="M532" s="449">
        <f>M557+M533+M536+M539+M548+M551+M545+M542</f>
        <v>158000</v>
      </c>
      <c r="N532" s="178">
        <f t="shared" si="228"/>
        <v>-476939.20999999996</v>
      </c>
    </row>
    <row r="533" spans="1:14" ht="50.95" outlineLevel="7" x14ac:dyDescent="0.3">
      <c r="A533" s="189" t="s">
        <v>274</v>
      </c>
      <c r="B533" s="392" t="s">
        <v>490</v>
      </c>
      <c r="C533" s="392" t="s">
        <v>111</v>
      </c>
      <c r="D533" s="392" t="s">
        <v>275</v>
      </c>
      <c r="E533" s="392" t="s">
        <v>6</v>
      </c>
      <c r="F533" s="462"/>
      <c r="G533" s="449">
        <f t="shared" ref="G533:J534" si="237">G534</f>
        <v>0</v>
      </c>
      <c r="H533" s="449"/>
      <c r="I533" s="449">
        <f t="shared" si="237"/>
        <v>100000</v>
      </c>
      <c r="J533" s="449">
        <f t="shared" si="237"/>
        <v>0</v>
      </c>
      <c r="K533" s="462" t="e">
        <f t="shared" si="229"/>
        <v>#DIV/0!</v>
      </c>
      <c r="L533" s="462">
        <f t="shared" si="230"/>
        <v>0</v>
      </c>
      <c r="M533" s="449">
        <f t="shared" ref="M533:M534" si="238">M534</f>
        <v>0</v>
      </c>
      <c r="N533" s="178">
        <f t="shared" si="228"/>
        <v>0</v>
      </c>
    </row>
    <row r="534" spans="1:14" ht="22.75" customHeight="1" outlineLevel="7" x14ac:dyDescent="0.3">
      <c r="A534" s="189" t="s">
        <v>37</v>
      </c>
      <c r="B534" s="392" t="s">
        <v>490</v>
      </c>
      <c r="C534" s="392" t="s">
        <v>111</v>
      </c>
      <c r="D534" s="392" t="s">
        <v>275</v>
      </c>
      <c r="E534" s="392" t="s">
        <v>38</v>
      </c>
      <c r="F534" s="462"/>
      <c r="G534" s="449">
        <f t="shared" si="237"/>
        <v>0</v>
      </c>
      <c r="H534" s="449"/>
      <c r="I534" s="449">
        <f t="shared" si="237"/>
        <v>100000</v>
      </c>
      <c r="J534" s="449">
        <f t="shared" si="237"/>
        <v>0</v>
      </c>
      <c r="K534" s="462" t="e">
        <f t="shared" si="229"/>
        <v>#DIV/0!</v>
      </c>
      <c r="L534" s="462">
        <f t="shared" si="230"/>
        <v>0</v>
      </c>
      <c r="M534" s="449">
        <f t="shared" si="238"/>
        <v>0</v>
      </c>
      <c r="N534" s="178">
        <f t="shared" si="228"/>
        <v>0</v>
      </c>
    </row>
    <row r="535" spans="1:14" outlineLevel="7" x14ac:dyDescent="0.3">
      <c r="A535" s="189" t="s">
        <v>74</v>
      </c>
      <c r="B535" s="392" t="s">
        <v>490</v>
      </c>
      <c r="C535" s="392" t="s">
        <v>111</v>
      </c>
      <c r="D535" s="392" t="s">
        <v>275</v>
      </c>
      <c r="E535" s="392" t="s">
        <v>75</v>
      </c>
      <c r="F535" s="462"/>
      <c r="G535" s="449">
        <f>'потребность 2023 (5)'!K564-100000</f>
        <v>0</v>
      </c>
      <c r="H535" s="449"/>
      <c r="I535" s="449">
        <v>100000</v>
      </c>
      <c r="J535" s="449">
        <v>0</v>
      </c>
      <c r="K535" s="462" t="e">
        <f t="shared" si="229"/>
        <v>#DIV/0!</v>
      </c>
      <c r="L535" s="462">
        <f t="shared" si="230"/>
        <v>0</v>
      </c>
      <c r="M535" s="449">
        <v>0</v>
      </c>
      <c r="N535" s="178">
        <f t="shared" si="228"/>
        <v>0</v>
      </c>
    </row>
    <row r="536" spans="1:14" ht="34" outlineLevel="7" x14ac:dyDescent="0.3">
      <c r="A536" s="189" t="s">
        <v>262</v>
      </c>
      <c r="B536" s="392" t="s">
        <v>490</v>
      </c>
      <c r="C536" s="392" t="s">
        <v>111</v>
      </c>
      <c r="D536" s="392" t="s">
        <v>276</v>
      </c>
      <c r="E536" s="392" t="s">
        <v>6</v>
      </c>
      <c r="F536" s="476">
        <f>F537</f>
        <v>86780.44</v>
      </c>
      <c r="G536" s="449">
        <f t="shared" ref="G536:J537" si="239">G537</f>
        <v>158000</v>
      </c>
      <c r="H536" s="449"/>
      <c r="I536" s="449">
        <f t="shared" si="239"/>
        <v>158000</v>
      </c>
      <c r="J536" s="449">
        <f t="shared" si="239"/>
        <v>158000</v>
      </c>
      <c r="K536" s="462">
        <f t="shared" si="229"/>
        <v>100</v>
      </c>
      <c r="L536" s="462">
        <f t="shared" si="230"/>
        <v>0</v>
      </c>
      <c r="M536" s="449">
        <f t="shared" ref="M536:M537" si="240">M537</f>
        <v>158000</v>
      </c>
      <c r="N536" s="178">
        <f t="shared" si="228"/>
        <v>0</v>
      </c>
    </row>
    <row r="537" spans="1:14" ht="50.95" outlineLevel="7" x14ac:dyDescent="0.3">
      <c r="A537" s="189" t="s">
        <v>37</v>
      </c>
      <c r="B537" s="392" t="s">
        <v>490</v>
      </c>
      <c r="C537" s="392" t="s">
        <v>111</v>
      </c>
      <c r="D537" s="392" t="s">
        <v>276</v>
      </c>
      <c r="E537" s="392" t="s">
        <v>38</v>
      </c>
      <c r="F537" s="476">
        <f>F538</f>
        <v>86780.44</v>
      </c>
      <c r="G537" s="449">
        <f t="shared" si="239"/>
        <v>158000</v>
      </c>
      <c r="H537" s="449"/>
      <c r="I537" s="449">
        <f t="shared" si="239"/>
        <v>158000</v>
      </c>
      <c r="J537" s="449">
        <f t="shared" si="239"/>
        <v>158000</v>
      </c>
      <c r="K537" s="462">
        <f t="shared" si="229"/>
        <v>100</v>
      </c>
      <c r="L537" s="462">
        <f t="shared" si="230"/>
        <v>0</v>
      </c>
      <c r="M537" s="449">
        <f t="shared" si="240"/>
        <v>158000</v>
      </c>
      <c r="N537" s="178">
        <f t="shared" si="228"/>
        <v>0</v>
      </c>
    </row>
    <row r="538" spans="1:14" outlineLevel="7" x14ac:dyDescent="0.3">
      <c r="A538" s="189" t="s">
        <v>74</v>
      </c>
      <c r="B538" s="392" t="s">
        <v>490</v>
      </c>
      <c r="C538" s="392" t="s">
        <v>111</v>
      </c>
      <c r="D538" s="392" t="s">
        <v>276</v>
      </c>
      <c r="E538" s="392" t="s">
        <v>75</v>
      </c>
      <c r="F538" s="475">
        <v>86780.44</v>
      </c>
      <c r="G538" s="449">
        <f>'потребность 2023 (5)'!K567</f>
        <v>158000</v>
      </c>
      <c r="H538" s="449"/>
      <c r="I538" s="449">
        <v>158000</v>
      </c>
      <c r="J538" s="449">
        <v>158000</v>
      </c>
      <c r="K538" s="462">
        <f t="shared" si="229"/>
        <v>100</v>
      </c>
      <c r="L538" s="462">
        <f t="shared" si="230"/>
        <v>0</v>
      </c>
      <c r="M538" s="449">
        <v>158000</v>
      </c>
      <c r="N538" s="178">
        <f t="shared" si="228"/>
        <v>0</v>
      </c>
    </row>
    <row r="539" spans="1:14" ht="50.95" outlineLevel="7" x14ac:dyDescent="0.3">
      <c r="A539" s="189" t="s">
        <v>461</v>
      </c>
      <c r="B539" s="392" t="s">
        <v>490</v>
      </c>
      <c r="C539" s="392" t="s">
        <v>111</v>
      </c>
      <c r="D539" s="392" t="s">
        <v>488</v>
      </c>
      <c r="E539" s="392" t="s">
        <v>6</v>
      </c>
      <c r="F539" s="476">
        <f>F540</f>
        <v>61700</v>
      </c>
      <c r="G539" s="449">
        <f t="shared" ref="G539:J540" si="241">G540</f>
        <v>685000</v>
      </c>
      <c r="H539" s="449"/>
      <c r="I539" s="449">
        <f t="shared" si="241"/>
        <v>0</v>
      </c>
      <c r="J539" s="449">
        <f t="shared" si="241"/>
        <v>0</v>
      </c>
      <c r="K539" s="462">
        <f t="shared" si="229"/>
        <v>0</v>
      </c>
      <c r="L539" s="462">
        <f t="shared" si="230"/>
        <v>-685000</v>
      </c>
      <c r="M539" s="449">
        <f t="shared" ref="M539:M540" si="242">M540</f>
        <v>0</v>
      </c>
      <c r="N539" s="178">
        <f t="shared" si="228"/>
        <v>0</v>
      </c>
    </row>
    <row r="540" spans="1:14" ht="50.95" outlineLevel="7" x14ac:dyDescent="0.3">
      <c r="A540" s="189" t="s">
        <v>37</v>
      </c>
      <c r="B540" s="392" t="s">
        <v>490</v>
      </c>
      <c r="C540" s="392" t="s">
        <v>111</v>
      </c>
      <c r="D540" s="392" t="s">
        <v>488</v>
      </c>
      <c r="E540" s="392" t="s">
        <v>38</v>
      </c>
      <c r="F540" s="476">
        <f>F541</f>
        <v>61700</v>
      </c>
      <c r="G540" s="449">
        <f t="shared" si="241"/>
        <v>685000</v>
      </c>
      <c r="H540" s="449"/>
      <c r="I540" s="449">
        <f t="shared" si="241"/>
        <v>0</v>
      </c>
      <c r="J540" s="449">
        <f t="shared" si="241"/>
        <v>0</v>
      </c>
      <c r="K540" s="462">
        <f t="shared" si="229"/>
        <v>0</v>
      </c>
      <c r="L540" s="462">
        <f t="shared" si="230"/>
        <v>-685000</v>
      </c>
      <c r="M540" s="449">
        <f t="shared" si="242"/>
        <v>0</v>
      </c>
      <c r="N540" s="178">
        <f t="shared" si="228"/>
        <v>0</v>
      </c>
    </row>
    <row r="541" spans="1:14" outlineLevel="7" x14ac:dyDescent="0.3">
      <c r="A541" s="189" t="s">
        <v>74</v>
      </c>
      <c r="B541" s="392" t="s">
        <v>490</v>
      </c>
      <c r="C541" s="392" t="s">
        <v>111</v>
      </c>
      <c r="D541" s="392" t="s">
        <v>488</v>
      </c>
      <c r="E541" s="392" t="s">
        <v>75</v>
      </c>
      <c r="F541" s="475">
        <v>61700</v>
      </c>
      <c r="G541" s="449">
        <f>2200000-2038000+2000+521000</f>
        <v>685000</v>
      </c>
      <c r="H541" s="449"/>
      <c r="I541" s="449">
        <v>0</v>
      </c>
      <c r="J541" s="449">
        <v>0</v>
      </c>
      <c r="K541" s="462">
        <f t="shared" si="229"/>
        <v>0</v>
      </c>
      <c r="L541" s="462">
        <f t="shared" si="230"/>
        <v>-685000</v>
      </c>
      <c r="M541" s="449">
        <v>0</v>
      </c>
      <c r="N541" s="178">
        <f t="shared" si="228"/>
        <v>0</v>
      </c>
    </row>
    <row r="542" spans="1:14" ht="56.4" customHeight="1" outlineLevel="7" x14ac:dyDescent="0.3">
      <c r="A542" s="189" t="s">
        <v>956</v>
      </c>
      <c r="B542" s="392" t="s">
        <v>490</v>
      </c>
      <c r="C542" s="392" t="s">
        <v>111</v>
      </c>
      <c r="D542" s="392" t="s">
        <v>1063</v>
      </c>
      <c r="E542" s="392" t="s">
        <v>6</v>
      </c>
      <c r="F542" s="462" t="s">
        <v>838</v>
      </c>
      <c r="G542" s="449">
        <f t="shared" ref="G542:J543" si="243">G543</f>
        <v>0</v>
      </c>
      <c r="H542" s="449"/>
      <c r="I542" s="449">
        <f t="shared" si="243"/>
        <v>0</v>
      </c>
      <c r="J542" s="449">
        <f t="shared" si="243"/>
        <v>0</v>
      </c>
      <c r="K542" s="462" t="e">
        <f t="shared" si="229"/>
        <v>#DIV/0!</v>
      </c>
      <c r="L542" s="462">
        <f t="shared" si="230"/>
        <v>0</v>
      </c>
      <c r="M542" s="449">
        <f t="shared" ref="M542:M543" si="244">M543</f>
        <v>0</v>
      </c>
      <c r="N542" s="178">
        <f t="shared" si="228"/>
        <v>0</v>
      </c>
    </row>
    <row r="543" spans="1:14" ht="50.95" outlineLevel="7" x14ac:dyDescent="0.3">
      <c r="A543" s="189" t="s">
        <v>37</v>
      </c>
      <c r="B543" s="392" t="s">
        <v>490</v>
      </c>
      <c r="C543" s="392" t="s">
        <v>111</v>
      </c>
      <c r="D543" s="392" t="s">
        <v>1063</v>
      </c>
      <c r="E543" s="392" t="s">
        <v>38</v>
      </c>
      <c r="F543" s="462" t="s">
        <v>838</v>
      </c>
      <c r="G543" s="449">
        <f t="shared" si="243"/>
        <v>0</v>
      </c>
      <c r="H543" s="449"/>
      <c r="I543" s="449">
        <f t="shared" si="243"/>
        <v>0</v>
      </c>
      <c r="J543" s="449">
        <f t="shared" si="243"/>
        <v>0</v>
      </c>
      <c r="K543" s="462" t="e">
        <f t="shared" si="229"/>
        <v>#DIV/0!</v>
      </c>
      <c r="L543" s="462">
        <f t="shared" si="230"/>
        <v>0</v>
      </c>
      <c r="M543" s="449">
        <f t="shared" si="244"/>
        <v>0</v>
      </c>
      <c r="N543" s="178">
        <f t="shared" si="228"/>
        <v>0</v>
      </c>
    </row>
    <row r="544" spans="1:14" outlineLevel="7" x14ac:dyDescent="0.3">
      <c r="A544" s="189" t="s">
        <v>74</v>
      </c>
      <c r="B544" s="392" t="s">
        <v>490</v>
      </c>
      <c r="C544" s="392" t="s">
        <v>111</v>
      </c>
      <c r="D544" s="392" t="s">
        <v>1063</v>
      </c>
      <c r="E544" s="392" t="s">
        <v>75</v>
      </c>
      <c r="F544" s="462" t="s">
        <v>838</v>
      </c>
      <c r="G544" s="449">
        <v>0</v>
      </c>
      <c r="H544" s="449"/>
      <c r="I544" s="449">
        <v>0</v>
      </c>
      <c r="J544" s="449"/>
      <c r="K544" s="462" t="e">
        <f t="shared" si="229"/>
        <v>#DIV/0!</v>
      </c>
      <c r="L544" s="462">
        <f t="shared" si="230"/>
        <v>0</v>
      </c>
      <c r="M544" s="449"/>
      <c r="N544" s="178">
        <f t="shared" si="228"/>
        <v>0</v>
      </c>
    </row>
    <row r="545" spans="1:14" ht="50.95" outlineLevel="7" x14ac:dyDescent="0.3">
      <c r="A545" s="189" t="s">
        <v>616</v>
      </c>
      <c r="B545" s="392" t="s">
        <v>490</v>
      </c>
      <c r="C545" s="392" t="s">
        <v>111</v>
      </c>
      <c r="D545" s="392" t="s">
        <v>1056</v>
      </c>
      <c r="E545" s="392" t="s">
        <v>6</v>
      </c>
      <c r="F545" s="462" t="s">
        <v>838</v>
      </c>
      <c r="G545" s="449">
        <f t="shared" ref="G545:J546" si="245">G546</f>
        <v>234727.37</v>
      </c>
      <c r="H545" s="449"/>
      <c r="I545" s="449">
        <f t="shared" si="245"/>
        <v>0</v>
      </c>
      <c r="J545" s="449">
        <f t="shared" si="245"/>
        <v>0</v>
      </c>
      <c r="K545" s="462">
        <f t="shared" si="229"/>
        <v>0</v>
      </c>
      <c r="L545" s="462">
        <f t="shared" si="230"/>
        <v>-234727.37</v>
      </c>
      <c r="M545" s="449">
        <f t="shared" ref="M545:M546" si="246">M546</f>
        <v>0</v>
      </c>
      <c r="N545" s="178">
        <f t="shared" si="228"/>
        <v>0</v>
      </c>
    </row>
    <row r="546" spans="1:14" ht="50.95" outlineLevel="7" x14ac:dyDescent="0.3">
      <c r="A546" s="189" t="s">
        <v>37</v>
      </c>
      <c r="B546" s="392" t="s">
        <v>490</v>
      </c>
      <c r="C546" s="392" t="s">
        <v>111</v>
      </c>
      <c r="D546" s="392" t="s">
        <v>1056</v>
      </c>
      <c r="E546" s="392" t="s">
        <v>38</v>
      </c>
      <c r="F546" s="462" t="s">
        <v>838</v>
      </c>
      <c r="G546" s="449">
        <f t="shared" si="245"/>
        <v>234727.37</v>
      </c>
      <c r="H546" s="449"/>
      <c r="I546" s="449">
        <f t="shared" si="245"/>
        <v>0</v>
      </c>
      <c r="J546" s="449">
        <f t="shared" si="245"/>
        <v>0</v>
      </c>
      <c r="K546" s="462">
        <f t="shared" si="229"/>
        <v>0</v>
      </c>
      <c r="L546" s="462">
        <f t="shared" si="230"/>
        <v>-234727.37</v>
      </c>
      <c r="M546" s="449">
        <f t="shared" si="246"/>
        <v>0</v>
      </c>
      <c r="N546" s="178">
        <f t="shared" si="228"/>
        <v>0</v>
      </c>
    </row>
    <row r="547" spans="1:14" outlineLevel="7" x14ac:dyDescent="0.3">
      <c r="A547" s="189" t="s">
        <v>74</v>
      </c>
      <c r="B547" s="392" t="s">
        <v>490</v>
      </c>
      <c r="C547" s="392" t="s">
        <v>111</v>
      </c>
      <c r="D547" s="392" t="s">
        <v>1056</v>
      </c>
      <c r="E547" s="392" t="s">
        <v>75</v>
      </c>
      <c r="F547" s="462" t="s">
        <v>838</v>
      </c>
      <c r="G547" s="449">
        <f>30303.03-3.88+204428.22</f>
        <v>234727.37</v>
      </c>
      <c r="H547" s="449"/>
      <c r="I547" s="449">
        <v>0</v>
      </c>
      <c r="J547" s="449"/>
      <c r="K547" s="462">
        <f t="shared" si="229"/>
        <v>0</v>
      </c>
      <c r="L547" s="462">
        <f t="shared" si="230"/>
        <v>-234727.37</v>
      </c>
      <c r="M547" s="449"/>
      <c r="N547" s="178">
        <f t="shared" si="228"/>
        <v>0</v>
      </c>
    </row>
    <row r="548" spans="1:14" ht="50.95" outlineLevel="7" x14ac:dyDescent="0.3">
      <c r="A548" s="189" t="s">
        <v>415</v>
      </c>
      <c r="B548" s="392" t="s">
        <v>490</v>
      </c>
      <c r="C548" s="392" t="s">
        <v>111</v>
      </c>
      <c r="D548" s="392" t="s">
        <v>416</v>
      </c>
      <c r="E548" s="392" t="s">
        <v>6</v>
      </c>
      <c r="F548" s="476">
        <f>F549</f>
        <v>6000000</v>
      </c>
      <c r="G548" s="449">
        <f t="shared" ref="G548:J549" si="247">G549</f>
        <v>5390000</v>
      </c>
      <c r="H548" s="449"/>
      <c r="I548" s="449">
        <f t="shared" si="247"/>
        <v>0</v>
      </c>
      <c r="J548" s="449">
        <f t="shared" si="247"/>
        <v>0</v>
      </c>
      <c r="K548" s="462">
        <f t="shared" si="229"/>
        <v>0</v>
      </c>
      <c r="L548" s="462">
        <f t="shared" si="230"/>
        <v>-5390000</v>
      </c>
      <c r="M548" s="449">
        <f t="shared" ref="M548:M549" si="248">M549</f>
        <v>0</v>
      </c>
      <c r="N548" s="178">
        <f t="shared" si="228"/>
        <v>0</v>
      </c>
    </row>
    <row r="549" spans="1:14" ht="50.95" outlineLevel="7" x14ac:dyDescent="0.3">
      <c r="A549" s="189" t="s">
        <v>37</v>
      </c>
      <c r="B549" s="392" t="s">
        <v>490</v>
      </c>
      <c r="C549" s="392" t="s">
        <v>111</v>
      </c>
      <c r="D549" s="392" t="s">
        <v>416</v>
      </c>
      <c r="E549" s="392" t="s">
        <v>38</v>
      </c>
      <c r="F549" s="476">
        <f>F550</f>
        <v>6000000</v>
      </c>
      <c r="G549" s="449">
        <f t="shared" si="247"/>
        <v>5390000</v>
      </c>
      <c r="H549" s="449"/>
      <c r="I549" s="449">
        <f t="shared" si="247"/>
        <v>0</v>
      </c>
      <c r="J549" s="449">
        <f t="shared" si="247"/>
        <v>0</v>
      </c>
      <c r="K549" s="462">
        <f t="shared" si="229"/>
        <v>0</v>
      </c>
      <c r="L549" s="462">
        <f t="shared" si="230"/>
        <v>-5390000</v>
      </c>
      <c r="M549" s="449">
        <f t="shared" si="248"/>
        <v>0</v>
      </c>
      <c r="N549" s="178">
        <f t="shared" si="228"/>
        <v>0</v>
      </c>
    </row>
    <row r="550" spans="1:14" ht="17.7" outlineLevel="2" thickBot="1" x14ac:dyDescent="0.35">
      <c r="A550" s="189" t="s">
        <v>74</v>
      </c>
      <c r="B550" s="392" t="s">
        <v>490</v>
      </c>
      <c r="C550" s="392" t="s">
        <v>111</v>
      </c>
      <c r="D550" s="392" t="s">
        <v>416</v>
      </c>
      <c r="E550" s="392" t="s">
        <v>75</v>
      </c>
      <c r="F550" s="475">
        <v>6000000</v>
      </c>
      <c r="G550" s="449">
        <f>390000+5000000</f>
        <v>5390000</v>
      </c>
      <c r="H550" s="449"/>
      <c r="I550" s="449">
        <v>0</v>
      </c>
      <c r="J550" s="449"/>
      <c r="K550" s="462">
        <f t="shared" si="229"/>
        <v>0</v>
      </c>
      <c r="L550" s="462">
        <f t="shared" si="230"/>
        <v>-5390000</v>
      </c>
      <c r="M550" s="449"/>
      <c r="N550" s="178">
        <f t="shared" si="228"/>
        <v>0</v>
      </c>
    </row>
    <row r="551" spans="1:14" s="224" customFormat="1" ht="57.25" customHeight="1" outlineLevel="3" thickBot="1" x14ac:dyDescent="0.35">
      <c r="A551" s="408" t="s">
        <v>806</v>
      </c>
      <c r="B551" s="392" t="s">
        <v>490</v>
      </c>
      <c r="C551" s="392" t="s">
        <v>111</v>
      </c>
      <c r="D551" s="392" t="s">
        <v>657</v>
      </c>
      <c r="E551" s="392" t="s">
        <v>6</v>
      </c>
      <c r="F551" s="476">
        <f>F552</f>
        <v>3365356.19</v>
      </c>
      <c r="G551" s="449">
        <f t="shared" ref="G551:J552" si="249">G552</f>
        <v>900000</v>
      </c>
      <c r="H551" s="449"/>
      <c r="I551" s="449">
        <f t="shared" si="249"/>
        <v>0</v>
      </c>
      <c r="J551" s="449">
        <f t="shared" si="249"/>
        <v>0</v>
      </c>
      <c r="K551" s="462">
        <f t="shared" si="229"/>
        <v>0</v>
      </c>
      <c r="L551" s="462">
        <f t="shared" si="230"/>
        <v>-900000</v>
      </c>
      <c r="M551" s="449">
        <f t="shared" ref="M551:M552" si="250">M552</f>
        <v>0</v>
      </c>
      <c r="N551" s="178">
        <f t="shared" si="228"/>
        <v>0</v>
      </c>
    </row>
    <row r="552" spans="1:14" ht="23.95" customHeight="1" outlineLevel="4" x14ac:dyDescent="0.3">
      <c r="A552" s="189" t="s">
        <v>37</v>
      </c>
      <c r="B552" s="392" t="s">
        <v>490</v>
      </c>
      <c r="C552" s="392" t="s">
        <v>111</v>
      </c>
      <c r="D552" s="392" t="s">
        <v>657</v>
      </c>
      <c r="E552" s="392" t="s">
        <v>38</v>
      </c>
      <c r="F552" s="476">
        <f>F553</f>
        <v>3365356.19</v>
      </c>
      <c r="G552" s="449">
        <f t="shared" si="249"/>
        <v>900000</v>
      </c>
      <c r="H552" s="449"/>
      <c r="I552" s="449">
        <f t="shared" si="249"/>
        <v>0</v>
      </c>
      <c r="J552" s="449">
        <f t="shared" si="249"/>
        <v>0</v>
      </c>
      <c r="K552" s="462">
        <f t="shared" si="229"/>
        <v>0</v>
      </c>
      <c r="L552" s="462">
        <f t="shared" si="230"/>
        <v>-900000</v>
      </c>
      <c r="M552" s="449">
        <f t="shared" si="250"/>
        <v>0</v>
      </c>
      <c r="N552" s="178">
        <f t="shared" si="228"/>
        <v>0</v>
      </c>
    </row>
    <row r="553" spans="1:14" ht="22.75" customHeight="1" outlineLevel="4" x14ac:dyDescent="0.3">
      <c r="A553" s="189" t="s">
        <v>74</v>
      </c>
      <c r="B553" s="392" t="s">
        <v>490</v>
      </c>
      <c r="C553" s="392" t="s">
        <v>111</v>
      </c>
      <c r="D553" s="392" t="s">
        <v>657</v>
      </c>
      <c r="E553" s="392" t="s">
        <v>75</v>
      </c>
      <c r="F553" s="475">
        <v>3365356.19</v>
      </c>
      <c r="G553" s="449">
        <v>900000</v>
      </c>
      <c r="H553" s="449"/>
      <c r="I553" s="449">
        <v>0</v>
      </c>
      <c r="J553" s="449"/>
      <c r="K553" s="462">
        <f t="shared" si="229"/>
        <v>0</v>
      </c>
      <c r="L553" s="462">
        <f t="shared" si="230"/>
        <v>-900000</v>
      </c>
      <c r="M553" s="449"/>
      <c r="N553" s="178">
        <f t="shared" si="228"/>
        <v>0</v>
      </c>
    </row>
    <row r="554" spans="1:14" ht="54" customHeight="1" outlineLevel="4" x14ac:dyDescent="0.3">
      <c r="A554" s="185" t="s">
        <v>1011</v>
      </c>
      <c r="B554" s="392" t="s">
        <v>490</v>
      </c>
      <c r="C554" s="392" t="s">
        <v>111</v>
      </c>
      <c r="D554" s="392" t="s">
        <v>534</v>
      </c>
      <c r="E554" s="392" t="s">
        <v>6</v>
      </c>
      <c r="F554" s="462"/>
      <c r="G554" s="449">
        <f t="shared" ref="G554:J555" si="251">G555</f>
        <v>0</v>
      </c>
      <c r="H554" s="449"/>
      <c r="I554" s="449">
        <f t="shared" si="251"/>
        <v>0</v>
      </c>
      <c r="J554" s="449">
        <f t="shared" si="251"/>
        <v>0</v>
      </c>
      <c r="K554" s="462" t="e">
        <f t="shared" si="229"/>
        <v>#DIV/0!</v>
      </c>
      <c r="L554" s="462">
        <f t="shared" si="230"/>
        <v>0</v>
      </c>
      <c r="M554" s="449">
        <f t="shared" ref="M554:M555" si="252">M555</f>
        <v>0</v>
      </c>
      <c r="N554" s="178">
        <f t="shared" si="228"/>
        <v>0</v>
      </c>
    </row>
    <row r="555" spans="1:14" ht="43.5" customHeight="1" outlineLevel="4" x14ac:dyDescent="0.3">
      <c r="A555" s="189" t="s">
        <v>37</v>
      </c>
      <c r="B555" s="392" t="s">
        <v>490</v>
      </c>
      <c r="C555" s="392" t="s">
        <v>111</v>
      </c>
      <c r="D555" s="392" t="s">
        <v>534</v>
      </c>
      <c r="E555" s="392" t="s">
        <v>38</v>
      </c>
      <c r="F555" s="462"/>
      <c r="G555" s="449">
        <f t="shared" si="251"/>
        <v>0</v>
      </c>
      <c r="H555" s="449"/>
      <c r="I555" s="449">
        <f t="shared" si="251"/>
        <v>0</v>
      </c>
      <c r="J555" s="449">
        <f t="shared" si="251"/>
        <v>0</v>
      </c>
      <c r="K555" s="462" t="e">
        <f t="shared" si="229"/>
        <v>#DIV/0!</v>
      </c>
      <c r="L555" s="462">
        <f t="shared" si="230"/>
        <v>0</v>
      </c>
      <c r="M555" s="449">
        <f t="shared" si="252"/>
        <v>0</v>
      </c>
      <c r="N555" s="178">
        <f t="shared" si="228"/>
        <v>0</v>
      </c>
    </row>
    <row r="556" spans="1:14" ht="30.75" customHeight="1" outlineLevel="4" thickBot="1" x14ac:dyDescent="0.35">
      <c r="A556" s="189" t="s">
        <v>74</v>
      </c>
      <c r="B556" s="392" t="s">
        <v>490</v>
      </c>
      <c r="C556" s="392" t="s">
        <v>111</v>
      </c>
      <c r="D556" s="392" t="s">
        <v>534</v>
      </c>
      <c r="E556" s="392" t="s">
        <v>75</v>
      </c>
      <c r="F556" s="462"/>
      <c r="G556" s="449">
        <f>'потребность 2023 (5)'!K579</f>
        <v>0</v>
      </c>
      <c r="H556" s="449"/>
      <c r="I556" s="449">
        <f>'потребность 2023 (5)'!L579</f>
        <v>0</v>
      </c>
      <c r="J556" s="449"/>
      <c r="K556" s="462" t="e">
        <f t="shared" si="229"/>
        <v>#DIV/0!</v>
      </c>
      <c r="L556" s="462">
        <f t="shared" si="230"/>
        <v>0</v>
      </c>
      <c r="M556" s="449"/>
      <c r="N556" s="178">
        <f t="shared" si="228"/>
        <v>0</v>
      </c>
    </row>
    <row r="557" spans="1:14" ht="85.6" outlineLevel="5" thickBot="1" x14ac:dyDescent="0.35">
      <c r="A557" s="408" t="s">
        <v>1010</v>
      </c>
      <c r="B557" s="392" t="s">
        <v>490</v>
      </c>
      <c r="C557" s="392" t="s">
        <v>111</v>
      </c>
      <c r="D557" s="392" t="s">
        <v>406</v>
      </c>
      <c r="E557" s="392" t="s">
        <v>6</v>
      </c>
      <c r="F557" s="462"/>
      <c r="G557" s="449">
        <f t="shared" ref="G557:J558" si="253">G558</f>
        <v>0</v>
      </c>
      <c r="H557" s="449"/>
      <c r="I557" s="449">
        <f t="shared" si="253"/>
        <v>476939.21</v>
      </c>
      <c r="J557" s="449">
        <f t="shared" si="253"/>
        <v>476939.21</v>
      </c>
      <c r="K557" s="462"/>
      <c r="L557" s="462">
        <f t="shared" si="230"/>
        <v>476939.21</v>
      </c>
      <c r="M557" s="449">
        <f t="shared" ref="M557:M558" si="254">M558</f>
        <v>0</v>
      </c>
      <c r="N557" s="178">
        <f t="shared" si="228"/>
        <v>-476939.21</v>
      </c>
    </row>
    <row r="558" spans="1:14" ht="50.95" outlineLevel="6" x14ac:dyDescent="0.3">
      <c r="A558" s="189" t="s">
        <v>37</v>
      </c>
      <c r="B558" s="392" t="s">
        <v>490</v>
      </c>
      <c r="C558" s="392" t="s">
        <v>111</v>
      </c>
      <c r="D558" s="392" t="s">
        <v>406</v>
      </c>
      <c r="E558" s="392" t="s">
        <v>38</v>
      </c>
      <c r="F558" s="462"/>
      <c r="G558" s="449">
        <f t="shared" si="253"/>
        <v>0</v>
      </c>
      <c r="H558" s="449"/>
      <c r="I558" s="449">
        <f t="shared" si="253"/>
        <v>476939.21</v>
      </c>
      <c r="J558" s="449">
        <f t="shared" si="253"/>
        <v>476939.21</v>
      </c>
      <c r="K558" s="462"/>
      <c r="L558" s="462">
        <f t="shared" si="230"/>
        <v>476939.21</v>
      </c>
      <c r="M558" s="449">
        <f t="shared" si="254"/>
        <v>0</v>
      </c>
      <c r="N558" s="178">
        <f t="shared" si="228"/>
        <v>-476939.21</v>
      </c>
    </row>
    <row r="559" spans="1:14" ht="20.25" customHeight="1" outlineLevel="7" x14ac:dyDescent="0.3">
      <c r="A559" s="189" t="s">
        <v>74</v>
      </c>
      <c r="B559" s="392" t="s">
        <v>490</v>
      </c>
      <c r="C559" s="392" t="s">
        <v>111</v>
      </c>
      <c r="D559" s="392" t="s">
        <v>406</v>
      </c>
      <c r="E559" s="392" t="s">
        <v>75</v>
      </c>
      <c r="F559" s="462"/>
      <c r="G559" s="449">
        <f>'потребность 2023 (5)'!K582-188466.9</f>
        <v>0</v>
      </c>
      <c r="H559" s="449"/>
      <c r="I559" s="449">
        <v>476939.21</v>
      </c>
      <c r="J559" s="449">
        <v>476939.21</v>
      </c>
      <c r="K559" s="462"/>
      <c r="L559" s="462">
        <f t="shared" si="230"/>
        <v>476939.21</v>
      </c>
      <c r="M559" s="449">
        <f>476939.21-476939.21</f>
        <v>0</v>
      </c>
      <c r="N559" s="178">
        <f t="shared" si="228"/>
        <v>-476939.21</v>
      </c>
    </row>
    <row r="560" spans="1:14" outlineLevel="5" x14ac:dyDescent="0.3">
      <c r="A560" s="189" t="s">
        <v>71</v>
      </c>
      <c r="B560" s="392" t="s">
        <v>490</v>
      </c>
      <c r="C560" s="392" t="s">
        <v>72</v>
      </c>
      <c r="D560" s="392" t="s">
        <v>126</v>
      </c>
      <c r="E560" s="392" t="s">
        <v>6</v>
      </c>
      <c r="F560" s="471">
        <f>F561</f>
        <v>100469389.2</v>
      </c>
      <c r="G560" s="462">
        <f t="shared" ref="G560:J561" si="255">G561</f>
        <v>111736222.04000001</v>
      </c>
      <c r="H560" s="462"/>
      <c r="I560" s="462">
        <f t="shared" si="255"/>
        <v>101969246.09</v>
      </c>
      <c r="J560" s="462">
        <f t="shared" si="255"/>
        <v>136880186.94000003</v>
      </c>
      <c r="K560" s="462">
        <f t="shared" si="229"/>
        <v>122.502966755936</v>
      </c>
      <c r="L560" s="462">
        <f t="shared" si="230"/>
        <v>25143964.900000021</v>
      </c>
      <c r="M560" s="462">
        <f t="shared" ref="M560:M561" si="256">M561</f>
        <v>121317744.67</v>
      </c>
      <c r="N560" s="178">
        <f t="shared" si="228"/>
        <v>-15562442.270000026</v>
      </c>
    </row>
    <row r="561" spans="1:14" ht="50.95" outlineLevel="5" x14ac:dyDescent="0.3">
      <c r="A561" s="233" t="s">
        <v>1017</v>
      </c>
      <c r="B561" s="397" t="s">
        <v>490</v>
      </c>
      <c r="C561" s="397" t="s">
        <v>72</v>
      </c>
      <c r="D561" s="397" t="s">
        <v>138</v>
      </c>
      <c r="E561" s="397" t="s">
        <v>6</v>
      </c>
      <c r="F561" s="473">
        <f>F562</f>
        <v>100469389.2</v>
      </c>
      <c r="G561" s="465">
        <f t="shared" si="255"/>
        <v>111736222.04000001</v>
      </c>
      <c r="H561" s="465"/>
      <c r="I561" s="465">
        <f t="shared" si="255"/>
        <v>101969246.09</v>
      </c>
      <c r="J561" s="465">
        <f t="shared" si="255"/>
        <v>136880186.94000003</v>
      </c>
      <c r="K561" s="462">
        <f t="shared" si="229"/>
        <v>122.502966755936</v>
      </c>
      <c r="L561" s="462">
        <f t="shared" si="230"/>
        <v>25143964.900000021</v>
      </c>
      <c r="M561" s="465">
        <f t="shared" si="256"/>
        <v>121317744.67</v>
      </c>
      <c r="N561" s="178">
        <f t="shared" si="228"/>
        <v>-15562442.270000026</v>
      </c>
    </row>
    <row r="562" spans="1:14" ht="45" customHeight="1" outlineLevel="5" x14ac:dyDescent="0.3">
      <c r="A562" s="189" t="s">
        <v>1039</v>
      </c>
      <c r="B562" s="392" t="s">
        <v>490</v>
      </c>
      <c r="C562" s="392" t="s">
        <v>72</v>
      </c>
      <c r="D562" s="392" t="s">
        <v>146</v>
      </c>
      <c r="E562" s="392" t="s">
        <v>6</v>
      </c>
      <c r="F562" s="471">
        <f>F563+F576+F595</f>
        <v>100469389.2</v>
      </c>
      <c r="G562" s="462">
        <f>G563+G576+G595+G606</f>
        <v>111736222.04000001</v>
      </c>
      <c r="H562" s="462"/>
      <c r="I562" s="462">
        <f>I563+I576+I595+I606+I602</f>
        <v>101969246.09</v>
      </c>
      <c r="J562" s="462">
        <f>J563+J576+J595+J606+J602</f>
        <v>136880186.94000003</v>
      </c>
      <c r="K562" s="462">
        <f t="shared" si="229"/>
        <v>122.502966755936</v>
      </c>
      <c r="L562" s="462">
        <f t="shared" si="230"/>
        <v>25143964.900000021</v>
      </c>
      <c r="M562" s="462">
        <f>M563+M576+M595+M606+M602</f>
        <v>121317744.67</v>
      </c>
      <c r="N562" s="178">
        <f t="shared" si="228"/>
        <v>-15562442.270000026</v>
      </c>
    </row>
    <row r="563" spans="1:14" ht="45.7" customHeight="1" outlineLevel="5" x14ac:dyDescent="0.3">
      <c r="A563" s="189" t="s">
        <v>203</v>
      </c>
      <c r="B563" s="392" t="s">
        <v>490</v>
      </c>
      <c r="C563" s="392" t="s">
        <v>72</v>
      </c>
      <c r="D563" s="392" t="s">
        <v>219</v>
      </c>
      <c r="E563" s="392" t="s">
        <v>6</v>
      </c>
      <c r="F563" s="471">
        <f>F564+F567+F570+F573</f>
        <v>95248429.939999998</v>
      </c>
      <c r="G563" s="462">
        <f>G564+G567+G570+G573</f>
        <v>108130535.04000001</v>
      </c>
      <c r="H563" s="462"/>
      <c r="I563" s="462">
        <f>I564+I567+I570+I573</f>
        <v>99463771.150000006</v>
      </c>
      <c r="J563" s="462">
        <f>J564+J567+J570+J573</f>
        <v>130952712</v>
      </c>
      <c r="K563" s="462">
        <f t="shared" si="229"/>
        <v>121.1061352388181</v>
      </c>
      <c r="L563" s="462">
        <f t="shared" si="230"/>
        <v>22822176.959999993</v>
      </c>
      <c r="M563" s="462">
        <f>M564+M567+M570+M573</f>
        <v>120551069.84</v>
      </c>
      <c r="N563" s="178">
        <f t="shared" si="228"/>
        <v>-10401642.159999996</v>
      </c>
    </row>
    <row r="564" spans="1:14" ht="67.95" outlineLevel="5" x14ac:dyDescent="0.3">
      <c r="A564" s="202" t="s">
        <v>961</v>
      </c>
      <c r="B564" s="392" t="s">
        <v>490</v>
      </c>
      <c r="C564" s="392" t="s">
        <v>72</v>
      </c>
      <c r="D564" s="392" t="s">
        <v>538</v>
      </c>
      <c r="E564" s="392" t="s">
        <v>6</v>
      </c>
      <c r="F564" s="471">
        <f>F565</f>
        <v>0</v>
      </c>
      <c r="G564" s="462">
        <f t="shared" ref="G564:J565" si="257">G565</f>
        <v>0</v>
      </c>
      <c r="H564" s="462"/>
      <c r="I564" s="462">
        <f t="shared" si="257"/>
        <v>0</v>
      </c>
      <c r="J564" s="462">
        <f t="shared" si="257"/>
        <v>0</v>
      </c>
      <c r="K564" s="462" t="e">
        <f t="shared" si="229"/>
        <v>#DIV/0!</v>
      </c>
      <c r="L564" s="462">
        <f t="shared" si="230"/>
        <v>0</v>
      </c>
      <c r="M564" s="462">
        <f t="shared" ref="M564:M565" si="258">M565</f>
        <v>0</v>
      </c>
      <c r="N564" s="178">
        <f t="shared" si="228"/>
        <v>0</v>
      </c>
    </row>
    <row r="565" spans="1:14" ht="50.95" outlineLevel="5" x14ac:dyDescent="0.3">
      <c r="A565" s="189" t="s">
        <v>37</v>
      </c>
      <c r="B565" s="392" t="s">
        <v>490</v>
      </c>
      <c r="C565" s="392" t="s">
        <v>72</v>
      </c>
      <c r="D565" s="392" t="s">
        <v>538</v>
      </c>
      <c r="E565" s="392" t="s">
        <v>38</v>
      </c>
      <c r="F565" s="471">
        <f>F566</f>
        <v>0</v>
      </c>
      <c r="G565" s="462">
        <f t="shared" si="257"/>
        <v>0</v>
      </c>
      <c r="H565" s="462"/>
      <c r="I565" s="462">
        <f t="shared" si="257"/>
        <v>0</v>
      </c>
      <c r="J565" s="462">
        <f t="shared" si="257"/>
        <v>0</v>
      </c>
      <c r="K565" s="462" t="e">
        <f t="shared" si="229"/>
        <v>#DIV/0!</v>
      </c>
      <c r="L565" s="462">
        <f t="shared" si="230"/>
        <v>0</v>
      </c>
      <c r="M565" s="462">
        <f t="shared" si="258"/>
        <v>0</v>
      </c>
      <c r="N565" s="178">
        <f t="shared" si="228"/>
        <v>0</v>
      </c>
    </row>
    <row r="566" spans="1:14" outlineLevel="5" x14ac:dyDescent="0.3">
      <c r="A566" s="189" t="s">
        <v>74</v>
      </c>
      <c r="B566" s="392" t="s">
        <v>490</v>
      </c>
      <c r="C566" s="392" t="s">
        <v>72</v>
      </c>
      <c r="D566" s="392" t="s">
        <v>538</v>
      </c>
      <c r="E566" s="392" t="s">
        <v>75</v>
      </c>
      <c r="F566" s="475">
        <v>0</v>
      </c>
      <c r="G566" s="462">
        <v>0</v>
      </c>
      <c r="H566" s="462"/>
      <c r="I566" s="462">
        <v>0</v>
      </c>
      <c r="J566" s="449"/>
      <c r="K566" s="462" t="e">
        <f t="shared" si="229"/>
        <v>#DIV/0!</v>
      </c>
      <c r="L566" s="462">
        <f t="shared" si="230"/>
        <v>0</v>
      </c>
      <c r="M566" s="449"/>
      <c r="N566" s="178">
        <f t="shared" si="228"/>
        <v>0</v>
      </c>
    </row>
    <row r="567" spans="1:14" ht="71.5" customHeight="1" outlineLevel="5" x14ac:dyDescent="0.3">
      <c r="A567" s="189" t="s">
        <v>114</v>
      </c>
      <c r="B567" s="392" t="s">
        <v>490</v>
      </c>
      <c r="C567" s="392" t="s">
        <v>72</v>
      </c>
      <c r="D567" s="392" t="s">
        <v>147</v>
      </c>
      <c r="E567" s="392" t="s">
        <v>6</v>
      </c>
      <c r="F567" s="471">
        <f>F568</f>
        <v>95248429.939999998</v>
      </c>
      <c r="G567" s="462">
        <f t="shared" ref="G567:J568" si="259">G568</f>
        <v>108130535.04000001</v>
      </c>
      <c r="H567" s="462"/>
      <c r="I567" s="462">
        <f t="shared" si="259"/>
        <v>99463771.150000006</v>
      </c>
      <c r="J567" s="462">
        <f t="shared" si="259"/>
        <v>130952712</v>
      </c>
      <c r="K567" s="462">
        <f t="shared" si="229"/>
        <v>121.1061352388181</v>
      </c>
      <c r="L567" s="462">
        <f t="shared" si="230"/>
        <v>22822176.959999993</v>
      </c>
      <c r="M567" s="462">
        <f t="shared" ref="M567:M568" si="260">M568</f>
        <v>120551069.84</v>
      </c>
      <c r="N567" s="178">
        <f t="shared" si="228"/>
        <v>-10401642.159999996</v>
      </c>
    </row>
    <row r="568" spans="1:14" ht="50.95" outlineLevel="5" x14ac:dyDescent="0.3">
      <c r="A568" s="189" t="s">
        <v>37</v>
      </c>
      <c r="B568" s="392" t="s">
        <v>490</v>
      </c>
      <c r="C568" s="392" t="s">
        <v>72</v>
      </c>
      <c r="D568" s="392" t="s">
        <v>147</v>
      </c>
      <c r="E568" s="392" t="s">
        <v>38</v>
      </c>
      <c r="F568" s="471">
        <f>F569</f>
        <v>95248429.939999998</v>
      </c>
      <c r="G568" s="462">
        <f t="shared" si="259"/>
        <v>108130535.04000001</v>
      </c>
      <c r="H568" s="462"/>
      <c r="I568" s="462">
        <f t="shared" si="259"/>
        <v>99463771.150000006</v>
      </c>
      <c r="J568" s="462">
        <f t="shared" si="259"/>
        <v>130952712</v>
      </c>
      <c r="K568" s="462">
        <f t="shared" si="229"/>
        <v>121.1061352388181</v>
      </c>
      <c r="L568" s="462">
        <f t="shared" si="230"/>
        <v>22822176.959999993</v>
      </c>
      <c r="M568" s="462">
        <f t="shared" si="260"/>
        <v>120551069.84</v>
      </c>
      <c r="N568" s="178">
        <f t="shared" si="228"/>
        <v>-10401642.159999996</v>
      </c>
    </row>
    <row r="569" spans="1:14" outlineLevel="5" x14ac:dyDescent="0.3">
      <c r="A569" s="189" t="s">
        <v>74</v>
      </c>
      <c r="B569" s="392" t="s">
        <v>490</v>
      </c>
      <c r="C569" s="392" t="s">
        <v>72</v>
      </c>
      <c r="D569" s="392" t="s">
        <v>147</v>
      </c>
      <c r="E569" s="392" t="s">
        <v>75</v>
      </c>
      <c r="F569" s="475">
        <v>95248429.939999998</v>
      </c>
      <c r="G569" s="449">
        <f>'потребность 2023 (5)'!K596+3552590+90000+37000+1644187+1000000+700000-150000</f>
        <v>108130535.04000001</v>
      </c>
      <c r="H569" s="449"/>
      <c r="I569" s="449">
        <v>99463771.150000006</v>
      </c>
      <c r="J569" s="449">
        <v>130952712</v>
      </c>
      <c r="K569" s="462">
        <f t="shared" si="229"/>
        <v>121.1061352388181</v>
      </c>
      <c r="L569" s="462">
        <f t="shared" si="230"/>
        <v>22822176.959999993</v>
      </c>
      <c r="M569" s="449">
        <f>130952712-2119002-1135000-9308440.27+2160800.11</f>
        <v>120551069.84</v>
      </c>
      <c r="N569" s="178">
        <f t="shared" si="228"/>
        <v>-10401642.159999996</v>
      </c>
    </row>
    <row r="570" spans="1:14" ht="118.9" outlineLevel="5" x14ac:dyDescent="0.3">
      <c r="A570" s="189" t="s">
        <v>936</v>
      </c>
      <c r="B570" s="392" t="s">
        <v>490</v>
      </c>
      <c r="C570" s="392" t="s">
        <v>72</v>
      </c>
      <c r="D570" s="392" t="s">
        <v>148</v>
      </c>
      <c r="E570" s="392" t="s">
        <v>6</v>
      </c>
      <c r="F570" s="471">
        <f>F571</f>
        <v>0</v>
      </c>
      <c r="G570" s="462">
        <f t="shared" ref="G570:J571" si="261">G571</f>
        <v>0</v>
      </c>
      <c r="H570" s="462"/>
      <c r="I570" s="462">
        <f t="shared" si="261"/>
        <v>0</v>
      </c>
      <c r="J570" s="462">
        <f t="shared" si="261"/>
        <v>0</v>
      </c>
      <c r="K570" s="462" t="e">
        <f t="shared" si="229"/>
        <v>#DIV/0!</v>
      </c>
      <c r="L570" s="462">
        <f t="shared" si="230"/>
        <v>0</v>
      </c>
      <c r="M570" s="462">
        <f t="shared" ref="M570:M571" si="262">M571</f>
        <v>0</v>
      </c>
      <c r="N570" s="178">
        <f t="shared" si="228"/>
        <v>0</v>
      </c>
    </row>
    <row r="571" spans="1:14" ht="50.95" outlineLevel="5" x14ac:dyDescent="0.3">
      <c r="A571" s="189" t="s">
        <v>37</v>
      </c>
      <c r="B571" s="392" t="s">
        <v>490</v>
      </c>
      <c r="C571" s="392" t="s">
        <v>72</v>
      </c>
      <c r="D571" s="392" t="s">
        <v>148</v>
      </c>
      <c r="E571" s="392" t="s">
        <v>38</v>
      </c>
      <c r="F571" s="471">
        <f>F572</f>
        <v>0</v>
      </c>
      <c r="G571" s="462">
        <f t="shared" si="261"/>
        <v>0</v>
      </c>
      <c r="H571" s="462"/>
      <c r="I571" s="462">
        <f t="shared" si="261"/>
        <v>0</v>
      </c>
      <c r="J571" s="462">
        <f t="shared" si="261"/>
        <v>0</v>
      </c>
      <c r="K571" s="462" t="e">
        <f t="shared" si="229"/>
        <v>#DIV/0!</v>
      </c>
      <c r="L571" s="462">
        <f t="shared" si="230"/>
        <v>0</v>
      </c>
      <c r="M571" s="462">
        <f t="shared" si="262"/>
        <v>0</v>
      </c>
      <c r="N571" s="178">
        <f t="shared" si="228"/>
        <v>0</v>
      </c>
    </row>
    <row r="572" spans="1:14" outlineLevel="5" x14ac:dyDescent="0.3">
      <c r="A572" s="189" t="s">
        <v>74</v>
      </c>
      <c r="B572" s="392" t="s">
        <v>490</v>
      </c>
      <c r="C572" s="392" t="s">
        <v>72</v>
      </c>
      <c r="D572" s="392" t="s">
        <v>148</v>
      </c>
      <c r="E572" s="392" t="s">
        <v>75</v>
      </c>
      <c r="F572" s="475">
        <v>0</v>
      </c>
      <c r="G572" s="449">
        <v>0</v>
      </c>
      <c r="H572" s="449"/>
      <c r="I572" s="449">
        <v>0</v>
      </c>
      <c r="J572" s="449"/>
      <c r="K572" s="462" t="e">
        <f t="shared" si="229"/>
        <v>#DIV/0!</v>
      </c>
      <c r="L572" s="462">
        <f t="shared" si="230"/>
        <v>0</v>
      </c>
      <c r="M572" s="449"/>
      <c r="N572" s="178">
        <f t="shared" si="228"/>
        <v>0</v>
      </c>
    </row>
    <row r="573" spans="1:14" ht="101.9" outlineLevel="5" x14ac:dyDescent="0.3">
      <c r="A573" s="202" t="s">
        <v>958</v>
      </c>
      <c r="B573" s="392" t="s">
        <v>490</v>
      </c>
      <c r="C573" s="392" t="s">
        <v>72</v>
      </c>
      <c r="D573" s="392" t="s">
        <v>794</v>
      </c>
      <c r="E573" s="392" t="s">
        <v>6</v>
      </c>
      <c r="F573" s="476">
        <f>F574</f>
        <v>0</v>
      </c>
      <c r="G573" s="449">
        <f t="shared" ref="G573:J574" si="263">G574</f>
        <v>0</v>
      </c>
      <c r="H573" s="449"/>
      <c r="I573" s="449">
        <f t="shared" si="263"/>
        <v>0</v>
      </c>
      <c r="J573" s="449">
        <f t="shared" si="263"/>
        <v>0</v>
      </c>
      <c r="K573" s="462" t="e">
        <f t="shared" si="229"/>
        <v>#DIV/0!</v>
      </c>
      <c r="L573" s="462">
        <f t="shared" si="230"/>
        <v>0</v>
      </c>
      <c r="M573" s="449">
        <f t="shared" ref="M573:M574" si="264">M574</f>
        <v>0</v>
      </c>
      <c r="N573" s="178">
        <f t="shared" si="228"/>
        <v>0</v>
      </c>
    </row>
    <row r="574" spans="1:14" ht="50.95" outlineLevel="5" x14ac:dyDescent="0.3">
      <c r="A574" s="189" t="s">
        <v>37</v>
      </c>
      <c r="B574" s="392" t="s">
        <v>490</v>
      </c>
      <c r="C574" s="392" t="s">
        <v>72</v>
      </c>
      <c r="D574" s="392" t="s">
        <v>794</v>
      </c>
      <c r="E574" s="392" t="s">
        <v>38</v>
      </c>
      <c r="F574" s="476">
        <f>F575</f>
        <v>0</v>
      </c>
      <c r="G574" s="449">
        <f t="shared" si="263"/>
        <v>0</v>
      </c>
      <c r="H574" s="449"/>
      <c r="I574" s="449">
        <f t="shared" si="263"/>
        <v>0</v>
      </c>
      <c r="J574" s="449">
        <f t="shared" si="263"/>
        <v>0</v>
      </c>
      <c r="K574" s="462" t="e">
        <f t="shared" si="229"/>
        <v>#DIV/0!</v>
      </c>
      <c r="L574" s="462">
        <f t="shared" si="230"/>
        <v>0</v>
      </c>
      <c r="M574" s="449">
        <f t="shared" si="264"/>
        <v>0</v>
      </c>
      <c r="N574" s="178">
        <f t="shared" si="228"/>
        <v>0</v>
      </c>
    </row>
    <row r="575" spans="1:14" outlineLevel="5" x14ac:dyDescent="0.3">
      <c r="A575" s="189" t="s">
        <v>74</v>
      </c>
      <c r="B575" s="392" t="s">
        <v>490</v>
      </c>
      <c r="C575" s="392" t="s">
        <v>72</v>
      </c>
      <c r="D575" s="392" t="s">
        <v>794</v>
      </c>
      <c r="E575" s="392" t="s">
        <v>75</v>
      </c>
      <c r="F575" s="475">
        <v>0</v>
      </c>
      <c r="G575" s="449">
        <v>0</v>
      </c>
      <c r="H575" s="449"/>
      <c r="I575" s="449">
        <v>0</v>
      </c>
      <c r="J575" s="449"/>
      <c r="K575" s="462" t="e">
        <f t="shared" si="229"/>
        <v>#DIV/0!</v>
      </c>
      <c r="L575" s="462">
        <f t="shared" si="230"/>
        <v>0</v>
      </c>
      <c r="M575" s="449"/>
      <c r="N575" s="178">
        <f t="shared" si="228"/>
        <v>0</v>
      </c>
    </row>
    <row r="576" spans="1:14" ht="34" outlineLevel="5" x14ac:dyDescent="0.3">
      <c r="A576" s="189" t="s">
        <v>204</v>
      </c>
      <c r="B576" s="392" t="s">
        <v>490</v>
      </c>
      <c r="C576" s="392" t="s">
        <v>72</v>
      </c>
      <c r="D576" s="392" t="s">
        <v>217</v>
      </c>
      <c r="E576" s="392" t="s">
        <v>6</v>
      </c>
      <c r="F576" s="476">
        <f>F589+F577+F580+F586+F583+F592+F602</f>
        <v>5155679.26</v>
      </c>
      <c r="G576" s="449">
        <f>G589+G577+G580+G586+G583+G592+G603</f>
        <v>2700747</v>
      </c>
      <c r="H576" s="449"/>
      <c r="I576" s="449">
        <f>I589+I577+I580+I586+I583+I592</f>
        <v>2382000.11</v>
      </c>
      <c r="J576" s="449">
        <f>J589+J577+J580+J586+J583+J592</f>
        <v>5382000.1099999994</v>
      </c>
      <c r="K576" s="462">
        <f t="shared" si="229"/>
        <v>199.27820377103075</v>
      </c>
      <c r="L576" s="462">
        <f t="shared" si="230"/>
        <v>2681253.1099999994</v>
      </c>
      <c r="M576" s="449">
        <f>M589+M577+M580+M586+M583+M592</f>
        <v>221200</v>
      </c>
      <c r="N576" s="178">
        <f t="shared" si="228"/>
        <v>-5160800.1099999994</v>
      </c>
    </row>
    <row r="577" spans="1:14" ht="34" outlineLevel="5" x14ac:dyDescent="0.3">
      <c r="A577" s="189" t="s">
        <v>262</v>
      </c>
      <c r="B577" s="392" t="s">
        <v>490</v>
      </c>
      <c r="C577" s="392" t="s">
        <v>72</v>
      </c>
      <c r="D577" s="392" t="s">
        <v>263</v>
      </c>
      <c r="E577" s="392" t="s">
        <v>6</v>
      </c>
      <c r="F577" s="476">
        <f>F578</f>
        <v>139044.26999999999</v>
      </c>
      <c r="G577" s="449">
        <f t="shared" ref="G577:J578" si="265">G578</f>
        <v>221200</v>
      </c>
      <c r="H577" s="449"/>
      <c r="I577" s="449">
        <f t="shared" si="265"/>
        <v>221200</v>
      </c>
      <c r="J577" s="449">
        <f t="shared" si="265"/>
        <v>221200</v>
      </c>
      <c r="K577" s="462">
        <f t="shared" si="229"/>
        <v>100</v>
      </c>
      <c r="L577" s="462">
        <f t="shared" si="230"/>
        <v>0</v>
      </c>
      <c r="M577" s="449">
        <f t="shared" ref="M577:M578" si="266">M578</f>
        <v>221200</v>
      </c>
      <c r="N577" s="178">
        <f t="shared" si="228"/>
        <v>0</v>
      </c>
    </row>
    <row r="578" spans="1:14" ht="50.95" outlineLevel="5" x14ac:dyDescent="0.3">
      <c r="A578" s="189" t="s">
        <v>37</v>
      </c>
      <c r="B578" s="392" t="s">
        <v>490</v>
      </c>
      <c r="C578" s="392" t="s">
        <v>72</v>
      </c>
      <c r="D578" s="392" t="s">
        <v>263</v>
      </c>
      <c r="E578" s="392" t="s">
        <v>38</v>
      </c>
      <c r="F578" s="476">
        <f>F579</f>
        <v>139044.26999999999</v>
      </c>
      <c r="G578" s="449">
        <f t="shared" si="265"/>
        <v>221200</v>
      </c>
      <c r="H578" s="449"/>
      <c r="I578" s="449">
        <f t="shared" si="265"/>
        <v>221200</v>
      </c>
      <c r="J578" s="449">
        <f t="shared" si="265"/>
        <v>221200</v>
      </c>
      <c r="K578" s="462">
        <f t="shared" si="229"/>
        <v>100</v>
      </c>
      <c r="L578" s="462">
        <f t="shared" si="230"/>
        <v>0</v>
      </c>
      <c r="M578" s="449">
        <f t="shared" si="266"/>
        <v>221200</v>
      </c>
      <c r="N578" s="178">
        <f t="shared" si="228"/>
        <v>0</v>
      </c>
    </row>
    <row r="579" spans="1:14" outlineLevel="5" x14ac:dyDescent="0.3">
      <c r="A579" s="189" t="s">
        <v>74</v>
      </c>
      <c r="B579" s="392" t="s">
        <v>490</v>
      </c>
      <c r="C579" s="392" t="s">
        <v>72</v>
      </c>
      <c r="D579" s="392" t="s">
        <v>263</v>
      </c>
      <c r="E579" s="392" t="s">
        <v>75</v>
      </c>
      <c r="F579" s="475">
        <v>139044.26999999999</v>
      </c>
      <c r="G579" s="449">
        <f>'потребность 2023 (5)'!K606</f>
        <v>221200</v>
      </c>
      <c r="H579" s="449"/>
      <c r="I579" s="449">
        <v>221200</v>
      </c>
      <c r="J579" s="449">
        <v>221200</v>
      </c>
      <c r="K579" s="462">
        <f t="shared" si="229"/>
        <v>100</v>
      </c>
      <c r="L579" s="462">
        <f t="shared" si="230"/>
        <v>0</v>
      </c>
      <c r="M579" s="449">
        <v>221200</v>
      </c>
      <c r="N579" s="178">
        <f t="shared" si="228"/>
        <v>0</v>
      </c>
    </row>
    <row r="580" spans="1:14" ht="50.95" outlineLevel="5" x14ac:dyDescent="0.3">
      <c r="A580" s="189" t="s">
        <v>461</v>
      </c>
      <c r="B580" s="392" t="s">
        <v>490</v>
      </c>
      <c r="C580" s="392" t="s">
        <v>72</v>
      </c>
      <c r="D580" s="392" t="s">
        <v>301</v>
      </c>
      <c r="E580" s="392" t="s">
        <v>6</v>
      </c>
      <c r="F580" s="476">
        <f>F581</f>
        <v>874250</v>
      </c>
      <c r="G580" s="449">
        <f t="shared" ref="G580:J581" si="267">G581</f>
        <v>1355167</v>
      </c>
      <c r="H580" s="449"/>
      <c r="I580" s="449">
        <f t="shared" si="267"/>
        <v>0</v>
      </c>
      <c r="J580" s="449">
        <f t="shared" si="267"/>
        <v>3000000</v>
      </c>
      <c r="K580" s="462">
        <f t="shared" si="229"/>
        <v>221.37493017465744</v>
      </c>
      <c r="L580" s="462">
        <f t="shared" si="230"/>
        <v>1644833</v>
      </c>
      <c r="M580" s="449">
        <f t="shared" ref="M580:M581" si="268">M581</f>
        <v>0</v>
      </c>
      <c r="N580" s="178">
        <f t="shared" si="228"/>
        <v>-3000000</v>
      </c>
    </row>
    <row r="581" spans="1:14" ht="50.95" outlineLevel="5" x14ac:dyDescent="0.3">
      <c r="A581" s="189" t="s">
        <v>37</v>
      </c>
      <c r="B581" s="392" t="s">
        <v>490</v>
      </c>
      <c r="C581" s="392" t="s">
        <v>72</v>
      </c>
      <c r="D581" s="392" t="s">
        <v>301</v>
      </c>
      <c r="E581" s="392" t="s">
        <v>38</v>
      </c>
      <c r="F581" s="476">
        <f>F582</f>
        <v>874250</v>
      </c>
      <c r="G581" s="449">
        <f t="shared" si="267"/>
        <v>1355167</v>
      </c>
      <c r="H581" s="449"/>
      <c r="I581" s="449">
        <f t="shared" si="267"/>
        <v>0</v>
      </c>
      <c r="J581" s="449">
        <f t="shared" si="267"/>
        <v>3000000</v>
      </c>
      <c r="K581" s="462">
        <f t="shared" si="229"/>
        <v>221.37493017465744</v>
      </c>
      <c r="L581" s="462">
        <f t="shared" si="230"/>
        <v>1644833</v>
      </c>
      <c r="M581" s="449">
        <f t="shared" si="268"/>
        <v>0</v>
      </c>
      <c r="N581" s="178">
        <f t="shared" si="228"/>
        <v>-3000000</v>
      </c>
    </row>
    <row r="582" spans="1:14" outlineLevel="5" x14ac:dyDescent="0.3">
      <c r="A582" s="189" t="s">
        <v>74</v>
      </c>
      <c r="B582" s="392" t="s">
        <v>490</v>
      </c>
      <c r="C582" s="392" t="s">
        <v>72</v>
      </c>
      <c r="D582" s="392" t="s">
        <v>301</v>
      </c>
      <c r="E582" s="392" t="s">
        <v>75</v>
      </c>
      <c r="F582" s="475">
        <v>874250</v>
      </c>
      <c r="G582" s="449">
        <f>3000000-1047413+8000-605420</f>
        <v>1355167</v>
      </c>
      <c r="H582" s="449"/>
      <c r="I582" s="449">
        <v>0</v>
      </c>
      <c r="J582" s="449">
        <v>3000000</v>
      </c>
      <c r="K582" s="462">
        <f t="shared" si="229"/>
        <v>221.37493017465744</v>
      </c>
      <c r="L582" s="462">
        <f t="shared" si="230"/>
        <v>1644833</v>
      </c>
      <c r="M582" s="449">
        <f>3000000-3000000</f>
        <v>0</v>
      </c>
      <c r="N582" s="178">
        <f t="shared" si="228"/>
        <v>-3000000</v>
      </c>
    </row>
    <row r="583" spans="1:14" ht="39.75" customHeight="1" outlineLevel="5" x14ac:dyDescent="0.3">
      <c r="A583" s="189" t="s">
        <v>415</v>
      </c>
      <c r="B583" s="392" t="s">
        <v>490</v>
      </c>
      <c r="C583" s="392" t="s">
        <v>72</v>
      </c>
      <c r="D583" s="392" t="s">
        <v>651</v>
      </c>
      <c r="E583" s="392" t="s">
        <v>6</v>
      </c>
      <c r="F583" s="476">
        <f>F584</f>
        <v>193200</v>
      </c>
      <c r="G583" s="449">
        <f t="shared" ref="G583:J584" si="269">G584</f>
        <v>647080</v>
      </c>
      <c r="H583" s="449"/>
      <c r="I583" s="449">
        <f t="shared" si="269"/>
        <v>0</v>
      </c>
      <c r="J583" s="449">
        <f t="shared" si="269"/>
        <v>0</v>
      </c>
      <c r="K583" s="462">
        <f t="shared" si="229"/>
        <v>0</v>
      </c>
      <c r="L583" s="462">
        <f t="shared" si="230"/>
        <v>-647080</v>
      </c>
      <c r="M583" s="449">
        <f t="shared" ref="M583:M584" si="270">M584</f>
        <v>0</v>
      </c>
      <c r="N583" s="178">
        <f t="shared" si="228"/>
        <v>0</v>
      </c>
    </row>
    <row r="584" spans="1:14" ht="50.95" outlineLevel="5" x14ac:dyDescent="0.3">
      <c r="A584" s="189" t="s">
        <v>37</v>
      </c>
      <c r="B584" s="392" t="s">
        <v>490</v>
      </c>
      <c r="C584" s="392" t="s">
        <v>72</v>
      </c>
      <c r="D584" s="392" t="s">
        <v>651</v>
      </c>
      <c r="E584" s="392" t="s">
        <v>38</v>
      </c>
      <c r="F584" s="476">
        <f>F585</f>
        <v>193200</v>
      </c>
      <c r="G584" s="449">
        <f t="shared" si="269"/>
        <v>647080</v>
      </c>
      <c r="H584" s="449"/>
      <c r="I584" s="449">
        <f t="shared" si="269"/>
        <v>0</v>
      </c>
      <c r="J584" s="449">
        <f t="shared" si="269"/>
        <v>0</v>
      </c>
      <c r="K584" s="462">
        <f t="shared" si="229"/>
        <v>0</v>
      </c>
      <c r="L584" s="462">
        <f t="shared" si="230"/>
        <v>-647080</v>
      </c>
      <c r="M584" s="449">
        <f t="shared" si="270"/>
        <v>0</v>
      </c>
      <c r="N584" s="178">
        <f t="shared" ref="N584:N647" si="271">M584-J584</f>
        <v>0</v>
      </c>
    </row>
    <row r="585" spans="1:14" outlineLevel="5" x14ac:dyDescent="0.3">
      <c r="A585" s="189" t="s">
        <v>74</v>
      </c>
      <c r="B585" s="392" t="s">
        <v>490</v>
      </c>
      <c r="C585" s="392" t="s">
        <v>72</v>
      </c>
      <c r="D585" s="392" t="s">
        <v>651</v>
      </c>
      <c r="E585" s="392" t="s">
        <v>75</v>
      </c>
      <c r="F585" s="475">
        <v>193200</v>
      </c>
      <c r="G585" s="449">
        <v>647080</v>
      </c>
      <c r="H585" s="449"/>
      <c r="I585" s="449">
        <v>0</v>
      </c>
      <c r="J585" s="449"/>
      <c r="K585" s="462">
        <f t="shared" ref="K585:K648" si="272">J585/G585*100</f>
        <v>0</v>
      </c>
      <c r="L585" s="462">
        <f t="shared" ref="L585:L648" si="273">J585-G585</f>
        <v>-647080</v>
      </c>
      <c r="M585" s="449"/>
      <c r="N585" s="178">
        <f t="shared" si="271"/>
        <v>0</v>
      </c>
    </row>
    <row r="586" spans="1:14" ht="34" outlineLevel="5" x14ac:dyDescent="0.3">
      <c r="A586" s="189" t="s">
        <v>950</v>
      </c>
      <c r="B586" s="392" t="s">
        <v>490</v>
      </c>
      <c r="C586" s="392" t="s">
        <v>72</v>
      </c>
      <c r="D586" s="392" t="s">
        <v>540</v>
      </c>
      <c r="E586" s="392" t="s">
        <v>6</v>
      </c>
      <c r="F586" s="476">
        <f>F587</f>
        <v>0</v>
      </c>
      <c r="G586" s="449">
        <f t="shared" ref="G586:J587" si="274">G587</f>
        <v>0</v>
      </c>
      <c r="H586" s="449"/>
      <c r="I586" s="449">
        <f t="shared" si="274"/>
        <v>0</v>
      </c>
      <c r="J586" s="449">
        <f t="shared" si="274"/>
        <v>0</v>
      </c>
      <c r="K586" s="462" t="e">
        <f t="shared" si="272"/>
        <v>#DIV/0!</v>
      </c>
      <c r="L586" s="462">
        <f t="shared" si="273"/>
        <v>0</v>
      </c>
      <c r="M586" s="449">
        <f t="shared" ref="M586:M587" si="275">M587</f>
        <v>0</v>
      </c>
      <c r="N586" s="178">
        <f t="shared" si="271"/>
        <v>0</v>
      </c>
    </row>
    <row r="587" spans="1:14" s="224" customFormat="1" ht="40.75" customHeight="1" outlineLevel="5" x14ac:dyDescent="0.3">
      <c r="A587" s="189" t="s">
        <v>37</v>
      </c>
      <c r="B587" s="392" t="s">
        <v>490</v>
      </c>
      <c r="C587" s="392" t="s">
        <v>72</v>
      </c>
      <c r="D587" s="392" t="s">
        <v>540</v>
      </c>
      <c r="E587" s="392" t="s">
        <v>38</v>
      </c>
      <c r="F587" s="476">
        <f>F588</f>
        <v>0</v>
      </c>
      <c r="G587" s="449">
        <f t="shared" si="274"/>
        <v>0</v>
      </c>
      <c r="H587" s="449"/>
      <c r="I587" s="449">
        <f t="shared" si="274"/>
        <v>0</v>
      </c>
      <c r="J587" s="449">
        <f t="shared" si="274"/>
        <v>0</v>
      </c>
      <c r="K587" s="462" t="e">
        <f t="shared" si="272"/>
        <v>#DIV/0!</v>
      </c>
      <c r="L587" s="462">
        <f t="shared" si="273"/>
        <v>0</v>
      </c>
      <c r="M587" s="449">
        <f t="shared" si="275"/>
        <v>0</v>
      </c>
      <c r="N587" s="178">
        <f t="shared" si="271"/>
        <v>0</v>
      </c>
    </row>
    <row r="588" spans="1:14" ht="35.5" customHeight="1" outlineLevel="4" x14ac:dyDescent="0.3">
      <c r="A588" s="189" t="s">
        <v>74</v>
      </c>
      <c r="B588" s="392" t="s">
        <v>490</v>
      </c>
      <c r="C588" s="392" t="s">
        <v>72</v>
      </c>
      <c r="D588" s="392" t="s">
        <v>540</v>
      </c>
      <c r="E588" s="392" t="s">
        <v>75</v>
      </c>
      <c r="F588" s="475">
        <v>0</v>
      </c>
      <c r="G588" s="449">
        <f>'потребность 2023 (5)'!K615</f>
        <v>0</v>
      </c>
      <c r="H588" s="449"/>
      <c r="I588" s="449">
        <f>'потребность 2023 (5)'!L615</f>
        <v>0</v>
      </c>
      <c r="J588" s="449"/>
      <c r="K588" s="462" t="e">
        <f t="shared" si="272"/>
        <v>#DIV/0!</v>
      </c>
      <c r="L588" s="462">
        <f t="shared" si="273"/>
        <v>0</v>
      </c>
      <c r="M588" s="449"/>
      <c r="N588" s="178">
        <f t="shared" si="271"/>
        <v>0</v>
      </c>
    </row>
    <row r="589" spans="1:14" ht="42.3" customHeight="1" outlineLevel="4" x14ac:dyDescent="0.3">
      <c r="A589" s="189" t="s">
        <v>1012</v>
      </c>
      <c r="B589" s="392" t="s">
        <v>490</v>
      </c>
      <c r="C589" s="392" t="s">
        <v>72</v>
      </c>
      <c r="D589" s="392" t="s">
        <v>408</v>
      </c>
      <c r="E589" s="392" t="s">
        <v>6</v>
      </c>
      <c r="F589" s="476">
        <f>F590</f>
        <v>589142.87</v>
      </c>
      <c r="G589" s="449">
        <f t="shared" ref="G589:J590" si="276">G590</f>
        <v>0</v>
      </c>
      <c r="H589" s="449"/>
      <c r="I589" s="449">
        <f t="shared" si="276"/>
        <v>2160800.11</v>
      </c>
      <c r="J589" s="449">
        <f t="shared" si="276"/>
        <v>2160800.11</v>
      </c>
      <c r="K589" s="462">
        <v>0</v>
      </c>
      <c r="L589" s="462">
        <f t="shared" si="273"/>
        <v>2160800.11</v>
      </c>
      <c r="M589" s="449">
        <f t="shared" ref="M589:M590" si="277">M590</f>
        <v>0</v>
      </c>
      <c r="N589" s="178">
        <f t="shared" si="271"/>
        <v>-2160800.11</v>
      </c>
    </row>
    <row r="590" spans="1:14" ht="52.3" customHeight="1" outlineLevel="5" x14ac:dyDescent="0.3">
      <c r="A590" s="189" t="s">
        <v>37</v>
      </c>
      <c r="B590" s="392" t="s">
        <v>490</v>
      </c>
      <c r="C590" s="392" t="s">
        <v>72</v>
      </c>
      <c r="D590" s="392" t="s">
        <v>408</v>
      </c>
      <c r="E590" s="392" t="s">
        <v>38</v>
      </c>
      <c r="F590" s="476">
        <f>F591</f>
        <v>589142.87</v>
      </c>
      <c r="G590" s="449">
        <f t="shared" si="276"/>
        <v>0</v>
      </c>
      <c r="H590" s="449"/>
      <c r="I590" s="449">
        <f t="shared" si="276"/>
        <v>2160800.11</v>
      </c>
      <c r="J590" s="449">
        <f t="shared" si="276"/>
        <v>2160800.11</v>
      </c>
      <c r="K590" s="462">
        <v>0</v>
      </c>
      <c r="L590" s="462">
        <f t="shared" si="273"/>
        <v>2160800.11</v>
      </c>
      <c r="M590" s="449">
        <f t="shared" si="277"/>
        <v>0</v>
      </c>
      <c r="N590" s="178">
        <f t="shared" si="271"/>
        <v>-2160800.11</v>
      </c>
    </row>
    <row r="591" spans="1:14" ht="28.05" customHeight="1" outlineLevel="6" thickBot="1" x14ac:dyDescent="0.35">
      <c r="A591" s="189" t="s">
        <v>74</v>
      </c>
      <c r="B591" s="392" t="s">
        <v>490</v>
      </c>
      <c r="C591" s="392" t="s">
        <v>72</v>
      </c>
      <c r="D591" s="392" t="s">
        <v>408</v>
      </c>
      <c r="E591" s="392" t="s">
        <v>75</v>
      </c>
      <c r="F591" s="475">
        <v>589142.87</v>
      </c>
      <c r="G591" s="449">
        <f>'потребность 2023 (5)'!K618-993779.52</f>
        <v>0</v>
      </c>
      <c r="H591" s="449"/>
      <c r="I591" s="449">
        <v>2160800.11</v>
      </c>
      <c r="J591" s="449">
        <v>2160800.11</v>
      </c>
      <c r="K591" s="462">
        <v>0</v>
      </c>
      <c r="L591" s="462">
        <f t="shared" si="273"/>
        <v>2160800.11</v>
      </c>
      <c r="M591" s="449">
        <f>2160800.11-2160800.11</f>
        <v>0</v>
      </c>
      <c r="N591" s="178">
        <f t="shared" si="271"/>
        <v>-2160800.11</v>
      </c>
    </row>
    <row r="592" spans="1:14" ht="67.45" customHeight="1" outlineLevel="6" thickBot="1" x14ac:dyDescent="0.35">
      <c r="A592" s="408" t="s">
        <v>806</v>
      </c>
      <c r="B592" s="392" t="s">
        <v>490</v>
      </c>
      <c r="C592" s="392" t="s">
        <v>72</v>
      </c>
      <c r="D592" s="392" t="s">
        <v>807</v>
      </c>
      <c r="E592" s="392" t="s">
        <v>6</v>
      </c>
      <c r="F592" s="476">
        <f>F593</f>
        <v>3360042.12</v>
      </c>
      <c r="G592" s="449">
        <f t="shared" ref="G592:J593" si="278">G593</f>
        <v>477300</v>
      </c>
      <c r="H592" s="449"/>
      <c r="I592" s="449">
        <f t="shared" si="278"/>
        <v>0</v>
      </c>
      <c r="J592" s="449">
        <f t="shared" si="278"/>
        <v>0</v>
      </c>
      <c r="K592" s="462">
        <f t="shared" si="272"/>
        <v>0</v>
      </c>
      <c r="L592" s="462">
        <f t="shared" si="273"/>
        <v>-477300</v>
      </c>
      <c r="M592" s="449">
        <f t="shared" ref="M592:M593" si="279">M593</f>
        <v>0</v>
      </c>
      <c r="N592" s="178">
        <f t="shared" si="271"/>
        <v>0</v>
      </c>
    </row>
    <row r="593" spans="1:14" ht="37.4" customHeight="1" outlineLevel="6" x14ac:dyDescent="0.3">
      <c r="A593" s="189" t="s">
        <v>37</v>
      </c>
      <c r="B593" s="392" t="s">
        <v>490</v>
      </c>
      <c r="C593" s="392" t="s">
        <v>72</v>
      </c>
      <c r="D593" s="392" t="s">
        <v>807</v>
      </c>
      <c r="E593" s="392" t="s">
        <v>38</v>
      </c>
      <c r="F593" s="476">
        <f>F594</f>
        <v>3360042.12</v>
      </c>
      <c r="G593" s="449">
        <f t="shared" si="278"/>
        <v>477300</v>
      </c>
      <c r="H593" s="449"/>
      <c r="I593" s="449">
        <f t="shared" si="278"/>
        <v>0</v>
      </c>
      <c r="J593" s="449">
        <f t="shared" si="278"/>
        <v>0</v>
      </c>
      <c r="K593" s="462">
        <f t="shared" si="272"/>
        <v>0</v>
      </c>
      <c r="L593" s="462">
        <f t="shared" si="273"/>
        <v>-477300</v>
      </c>
      <c r="M593" s="449">
        <f t="shared" si="279"/>
        <v>0</v>
      </c>
      <c r="N593" s="178">
        <f t="shared" si="271"/>
        <v>0</v>
      </c>
    </row>
    <row r="594" spans="1:14" ht="36.700000000000003" customHeight="1" outlineLevel="6" x14ac:dyDescent="0.3">
      <c r="A594" s="189" t="s">
        <v>74</v>
      </c>
      <c r="B594" s="392" t="s">
        <v>490</v>
      </c>
      <c r="C594" s="392" t="s">
        <v>72</v>
      </c>
      <c r="D594" s="392" t="s">
        <v>807</v>
      </c>
      <c r="E594" s="392" t="s">
        <v>75</v>
      </c>
      <c r="F594" s="475">
        <v>3360042.12</v>
      </c>
      <c r="G594" s="449">
        <v>477300</v>
      </c>
      <c r="H594" s="449"/>
      <c r="I594" s="449">
        <v>0</v>
      </c>
      <c r="J594" s="449"/>
      <c r="K594" s="462">
        <f t="shared" si="272"/>
        <v>0</v>
      </c>
      <c r="L594" s="462">
        <f t="shared" si="273"/>
        <v>-477300</v>
      </c>
      <c r="M594" s="449"/>
      <c r="N594" s="178">
        <f t="shared" si="271"/>
        <v>0</v>
      </c>
    </row>
    <row r="595" spans="1:14" ht="40.1" customHeight="1" outlineLevel="7" x14ac:dyDescent="0.3">
      <c r="A595" s="189" t="s">
        <v>267</v>
      </c>
      <c r="B595" s="392" t="s">
        <v>490</v>
      </c>
      <c r="C595" s="392" t="s">
        <v>72</v>
      </c>
      <c r="D595" s="392" t="s">
        <v>220</v>
      </c>
      <c r="E595" s="392" t="s">
        <v>6</v>
      </c>
      <c r="F595" s="476">
        <f>F596+F599</f>
        <v>65280</v>
      </c>
      <c r="G595" s="449">
        <f>G596+G599</f>
        <v>904940</v>
      </c>
      <c r="H595" s="449"/>
      <c r="I595" s="449">
        <f>I596+I599</f>
        <v>0</v>
      </c>
      <c r="J595" s="449">
        <f>J596+J599</f>
        <v>422000</v>
      </c>
      <c r="K595" s="462">
        <f t="shared" si="272"/>
        <v>46.632925939841314</v>
      </c>
      <c r="L595" s="462">
        <f t="shared" si="273"/>
        <v>-482940</v>
      </c>
      <c r="M595" s="449">
        <f>M596+M599</f>
        <v>422000</v>
      </c>
      <c r="N595" s="178">
        <f t="shared" si="271"/>
        <v>0</v>
      </c>
    </row>
    <row r="596" spans="1:14" ht="70" customHeight="1" outlineLevel="7" x14ac:dyDescent="0.3">
      <c r="A596" s="189" t="s">
        <v>942</v>
      </c>
      <c r="B596" s="392" t="s">
        <v>490</v>
      </c>
      <c r="C596" s="392" t="s">
        <v>72</v>
      </c>
      <c r="D596" s="392" t="s">
        <v>596</v>
      </c>
      <c r="E596" s="392" t="s">
        <v>6</v>
      </c>
      <c r="F596" s="476">
        <f>F597</f>
        <v>0</v>
      </c>
      <c r="G596" s="449">
        <f t="shared" ref="G596:J597" si="280">G597</f>
        <v>0</v>
      </c>
      <c r="H596" s="449"/>
      <c r="I596" s="449">
        <f t="shared" si="280"/>
        <v>0</v>
      </c>
      <c r="J596" s="449">
        <f t="shared" si="280"/>
        <v>0</v>
      </c>
      <c r="K596" s="462" t="e">
        <f t="shared" si="272"/>
        <v>#DIV/0!</v>
      </c>
      <c r="L596" s="462">
        <f t="shared" si="273"/>
        <v>0</v>
      </c>
      <c r="M596" s="449">
        <f t="shared" ref="M596:M597" si="281">M597</f>
        <v>0</v>
      </c>
      <c r="N596" s="178">
        <f t="shared" si="271"/>
        <v>0</v>
      </c>
    </row>
    <row r="597" spans="1:14" ht="53.15" customHeight="1" outlineLevel="7" x14ac:dyDescent="0.3">
      <c r="A597" s="189" t="s">
        <v>37</v>
      </c>
      <c r="B597" s="392" t="s">
        <v>490</v>
      </c>
      <c r="C597" s="392" t="s">
        <v>72</v>
      </c>
      <c r="D597" s="392" t="s">
        <v>596</v>
      </c>
      <c r="E597" s="392" t="s">
        <v>38</v>
      </c>
      <c r="F597" s="476">
        <f>F598</f>
        <v>0</v>
      </c>
      <c r="G597" s="449">
        <f t="shared" si="280"/>
        <v>0</v>
      </c>
      <c r="H597" s="449"/>
      <c r="I597" s="449">
        <f t="shared" si="280"/>
        <v>0</v>
      </c>
      <c r="J597" s="449">
        <f t="shared" si="280"/>
        <v>0</v>
      </c>
      <c r="K597" s="462" t="e">
        <f t="shared" si="272"/>
        <v>#DIV/0!</v>
      </c>
      <c r="L597" s="462">
        <f t="shared" si="273"/>
        <v>0</v>
      </c>
      <c r="M597" s="449">
        <f t="shared" si="281"/>
        <v>0</v>
      </c>
      <c r="N597" s="178">
        <f t="shared" si="271"/>
        <v>0</v>
      </c>
    </row>
    <row r="598" spans="1:14" ht="37.4" customHeight="1" outlineLevel="7" x14ac:dyDescent="0.3">
      <c r="A598" s="189" t="s">
        <v>74</v>
      </c>
      <c r="B598" s="392" t="s">
        <v>490</v>
      </c>
      <c r="C598" s="392" t="s">
        <v>72</v>
      </c>
      <c r="D598" s="392" t="s">
        <v>596</v>
      </c>
      <c r="E598" s="392" t="s">
        <v>75</v>
      </c>
      <c r="F598" s="475">
        <v>0</v>
      </c>
      <c r="G598" s="449">
        <v>0</v>
      </c>
      <c r="H598" s="449"/>
      <c r="I598" s="449">
        <v>0</v>
      </c>
      <c r="J598" s="449"/>
      <c r="K598" s="462" t="e">
        <f t="shared" si="272"/>
        <v>#DIV/0!</v>
      </c>
      <c r="L598" s="462">
        <f t="shared" si="273"/>
        <v>0</v>
      </c>
      <c r="M598" s="449"/>
      <c r="N598" s="178">
        <f t="shared" si="271"/>
        <v>0</v>
      </c>
    </row>
    <row r="599" spans="1:14" ht="52.3" customHeight="1" outlineLevel="7" x14ac:dyDescent="0.3">
      <c r="A599" s="482" t="s">
        <v>1057</v>
      </c>
      <c r="B599" s="392" t="s">
        <v>490</v>
      </c>
      <c r="C599" s="392" t="s">
        <v>72</v>
      </c>
      <c r="D599" s="392" t="s">
        <v>1058</v>
      </c>
      <c r="E599" s="392" t="s">
        <v>6</v>
      </c>
      <c r="F599" s="476">
        <f>F600</f>
        <v>65280</v>
      </c>
      <c r="G599" s="449">
        <f t="shared" ref="G599:J600" si="282">G600</f>
        <v>904940</v>
      </c>
      <c r="H599" s="449"/>
      <c r="I599" s="449">
        <f t="shared" si="282"/>
        <v>0</v>
      </c>
      <c r="J599" s="449">
        <f t="shared" si="282"/>
        <v>422000</v>
      </c>
      <c r="K599" s="462">
        <f t="shared" si="272"/>
        <v>46.632925939841314</v>
      </c>
      <c r="L599" s="462">
        <f t="shared" si="273"/>
        <v>-482940</v>
      </c>
      <c r="M599" s="449">
        <f t="shared" ref="M599:M600" si="283">M600</f>
        <v>422000</v>
      </c>
      <c r="N599" s="178">
        <f t="shared" si="271"/>
        <v>0</v>
      </c>
    </row>
    <row r="600" spans="1:14" ht="46.9" customHeight="1" outlineLevel="7" x14ac:dyDescent="0.3">
      <c r="A600" s="189" t="s">
        <v>37</v>
      </c>
      <c r="B600" s="392" t="s">
        <v>490</v>
      </c>
      <c r="C600" s="392" t="s">
        <v>72</v>
      </c>
      <c r="D600" s="392" t="s">
        <v>1058</v>
      </c>
      <c r="E600" s="392" t="s">
        <v>38</v>
      </c>
      <c r="F600" s="476">
        <f>F601</f>
        <v>65280</v>
      </c>
      <c r="G600" s="449">
        <f t="shared" si="282"/>
        <v>904940</v>
      </c>
      <c r="H600" s="449"/>
      <c r="I600" s="449">
        <f t="shared" si="282"/>
        <v>0</v>
      </c>
      <c r="J600" s="449">
        <f t="shared" si="282"/>
        <v>422000</v>
      </c>
      <c r="K600" s="462">
        <f t="shared" si="272"/>
        <v>46.632925939841314</v>
      </c>
      <c r="L600" s="462">
        <f t="shared" si="273"/>
        <v>-482940</v>
      </c>
      <c r="M600" s="449">
        <f t="shared" si="283"/>
        <v>422000</v>
      </c>
      <c r="N600" s="178">
        <f t="shared" si="271"/>
        <v>0</v>
      </c>
    </row>
    <row r="601" spans="1:14" s="184" customFormat="1" ht="42.8" customHeight="1" outlineLevel="7" x14ac:dyDescent="0.3">
      <c r="A601" s="189" t="s">
        <v>74</v>
      </c>
      <c r="B601" s="392" t="s">
        <v>490</v>
      </c>
      <c r="C601" s="392" t="s">
        <v>72</v>
      </c>
      <c r="D601" s="392" t="s">
        <v>1058</v>
      </c>
      <c r="E601" s="392" t="s">
        <v>75</v>
      </c>
      <c r="F601" s="475">
        <v>65280</v>
      </c>
      <c r="G601" s="449">
        <v>904940</v>
      </c>
      <c r="H601" s="449"/>
      <c r="I601" s="449">
        <v>0</v>
      </c>
      <c r="J601" s="449">
        <v>422000</v>
      </c>
      <c r="K601" s="462">
        <f t="shared" si="272"/>
        <v>46.632925939841314</v>
      </c>
      <c r="L601" s="462">
        <f t="shared" si="273"/>
        <v>-482940</v>
      </c>
      <c r="M601" s="449">
        <v>422000</v>
      </c>
      <c r="N601" s="178">
        <f t="shared" si="271"/>
        <v>0</v>
      </c>
    </row>
    <row r="602" spans="1:14" s="184" customFormat="1" ht="36" customHeight="1" outlineLevel="7" x14ac:dyDescent="0.3">
      <c r="A602" s="195" t="s">
        <v>880</v>
      </c>
      <c r="B602" s="392" t="s">
        <v>490</v>
      </c>
      <c r="C602" s="392" t="s">
        <v>72</v>
      </c>
      <c r="D602" s="392" t="s">
        <v>302</v>
      </c>
      <c r="E602" s="483" t="s">
        <v>6</v>
      </c>
      <c r="F602" s="484"/>
      <c r="G602" s="449">
        <v>0</v>
      </c>
      <c r="H602" s="449"/>
      <c r="I602" s="449">
        <f t="shared" ref="I602:J604" si="284">I603</f>
        <v>123474.82999999999</v>
      </c>
      <c r="J602" s="449">
        <f t="shared" si="284"/>
        <v>123474.83</v>
      </c>
      <c r="K602" s="462" t="e">
        <f t="shared" si="272"/>
        <v>#DIV/0!</v>
      </c>
      <c r="L602" s="462">
        <f t="shared" si="273"/>
        <v>123474.83</v>
      </c>
      <c r="M602" s="449">
        <f t="shared" ref="M602:M604" si="285">M603</f>
        <v>123474.83</v>
      </c>
      <c r="N602" s="178">
        <f t="shared" si="271"/>
        <v>0</v>
      </c>
    </row>
    <row r="603" spans="1:14" s="184" customFormat="1" ht="84.9" customHeight="1" outlineLevel="7" x14ac:dyDescent="0.3">
      <c r="A603" s="180" t="s">
        <v>964</v>
      </c>
      <c r="B603" s="392" t="s">
        <v>490</v>
      </c>
      <c r="C603" s="392" t="s">
        <v>72</v>
      </c>
      <c r="D603" s="392" t="s">
        <v>969</v>
      </c>
      <c r="E603" s="483" t="s">
        <v>6</v>
      </c>
      <c r="F603" s="484"/>
      <c r="G603" s="449">
        <f>G604</f>
        <v>0</v>
      </c>
      <c r="H603" s="449"/>
      <c r="I603" s="449">
        <f t="shared" si="284"/>
        <v>123474.82999999999</v>
      </c>
      <c r="J603" s="449">
        <f t="shared" si="284"/>
        <v>123474.83</v>
      </c>
      <c r="K603" s="462">
        <v>0</v>
      </c>
      <c r="L603" s="462">
        <f t="shared" si="273"/>
        <v>123474.83</v>
      </c>
      <c r="M603" s="449">
        <f t="shared" si="285"/>
        <v>123474.83</v>
      </c>
      <c r="N603" s="178">
        <f t="shared" si="271"/>
        <v>0</v>
      </c>
    </row>
    <row r="604" spans="1:14" s="184" customFormat="1" ht="58.6" customHeight="1" outlineLevel="7" x14ac:dyDescent="0.3">
      <c r="A604" s="189" t="s">
        <v>37</v>
      </c>
      <c r="B604" s="392" t="s">
        <v>490</v>
      </c>
      <c r="C604" s="392" t="s">
        <v>72</v>
      </c>
      <c r="D604" s="392" t="s">
        <v>969</v>
      </c>
      <c r="E604" s="483" t="s">
        <v>38</v>
      </c>
      <c r="F604" s="484"/>
      <c r="G604" s="449">
        <f>G605</f>
        <v>0</v>
      </c>
      <c r="H604" s="449"/>
      <c r="I604" s="449">
        <f t="shared" si="284"/>
        <v>123474.82999999999</v>
      </c>
      <c r="J604" s="449">
        <f t="shared" si="284"/>
        <v>123474.83</v>
      </c>
      <c r="K604" s="462">
        <v>0</v>
      </c>
      <c r="L604" s="462">
        <f t="shared" si="273"/>
        <v>123474.83</v>
      </c>
      <c r="M604" s="449">
        <f t="shared" si="285"/>
        <v>123474.83</v>
      </c>
      <c r="N604" s="178">
        <f t="shared" si="271"/>
        <v>0</v>
      </c>
    </row>
    <row r="605" spans="1:14" s="184" customFormat="1" ht="28.05" customHeight="1" outlineLevel="7" x14ac:dyDescent="0.3">
      <c r="A605" s="189" t="s">
        <v>74</v>
      </c>
      <c r="B605" s="392" t="s">
        <v>490</v>
      </c>
      <c r="C605" s="392" t="s">
        <v>72</v>
      </c>
      <c r="D605" s="392" t="s">
        <v>969</v>
      </c>
      <c r="E605" s="483" t="s">
        <v>75</v>
      </c>
      <c r="F605" s="484"/>
      <c r="G605" s="449">
        <v>0</v>
      </c>
      <c r="H605" s="449"/>
      <c r="I605" s="449">
        <f>88746.95+34727.88</f>
        <v>123474.82999999999</v>
      </c>
      <c r="J605" s="449">
        <v>123474.83</v>
      </c>
      <c r="K605" s="462">
        <v>0</v>
      </c>
      <c r="L605" s="462">
        <f t="shared" si="273"/>
        <v>123474.83</v>
      </c>
      <c r="M605" s="449">
        <v>123474.83</v>
      </c>
      <c r="N605" s="178">
        <f t="shared" si="271"/>
        <v>0</v>
      </c>
    </row>
    <row r="606" spans="1:14" s="184" customFormat="1" ht="55.7" customHeight="1" outlineLevel="7" x14ac:dyDescent="0.3">
      <c r="A606" s="186" t="s">
        <v>995</v>
      </c>
      <c r="B606" s="392" t="s">
        <v>490</v>
      </c>
      <c r="C606" s="392" t="s">
        <v>72</v>
      </c>
      <c r="D606" s="392" t="s">
        <v>998</v>
      </c>
      <c r="E606" s="392" t="s">
        <v>6</v>
      </c>
      <c r="F606" s="462"/>
      <c r="G606" s="449">
        <f t="shared" ref="G606:J608" si="286">G607</f>
        <v>0</v>
      </c>
      <c r="H606" s="449"/>
      <c r="I606" s="449">
        <f t="shared" si="286"/>
        <v>0</v>
      </c>
      <c r="J606" s="449">
        <f t="shared" si="286"/>
        <v>0</v>
      </c>
      <c r="K606" s="462" t="e">
        <f t="shared" si="272"/>
        <v>#DIV/0!</v>
      </c>
      <c r="L606" s="462">
        <f t="shared" si="273"/>
        <v>0</v>
      </c>
      <c r="M606" s="449">
        <f t="shared" ref="M606:M608" si="287">M607</f>
        <v>0</v>
      </c>
      <c r="N606" s="178">
        <f t="shared" si="271"/>
        <v>0</v>
      </c>
    </row>
    <row r="607" spans="1:14" s="184" customFormat="1" ht="53.7" customHeight="1" outlineLevel="7" x14ac:dyDescent="0.3">
      <c r="A607" s="180" t="s">
        <v>996</v>
      </c>
      <c r="B607" s="392" t="s">
        <v>490</v>
      </c>
      <c r="C607" s="392" t="s">
        <v>72</v>
      </c>
      <c r="D607" s="392" t="s">
        <v>997</v>
      </c>
      <c r="E607" s="392" t="s">
        <v>6</v>
      </c>
      <c r="F607" s="462"/>
      <c r="G607" s="449">
        <f t="shared" si="286"/>
        <v>0</v>
      </c>
      <c r="H607" s="449"/>
      <c r="I607" s="449">
        <f t="shared" si="286"/>
        <v>0</v>
      </c>
      <c r="J607" s="449">
        <f t="shared" si="286"/>
        <v>0</v>
      </c>
      <c r="K607" s="462" t="e">
        <f t="shared" si="272"/>
        <v>#DIV/0!</v>
      </c>
      <c r="L607" s="462">
        <f t="shared" si="273"/>
        <v>0</v>
      </c>
      <c r="M607" s="449">
        <f t="shared" si="287"/>
        <v>0</v>
      </c>
      <c r="N607" s="178">
        <f t="shared" si="271"/>
        <v>0</v>
      </c>
    </row>
    <row r="608" spans="1:14" s="184" customFormat="1" ht="40.75" customHeight="1" outlineLevel="7" x14ac:dyDescent="0.3">
      <c r="A608" s="189" t="s">
        <v>37</v>
      </c>
      <c r="B608" s="392" t="s">
        <v>490</v>
      </c>
      <c r="C608" s="392" t="s">
        <v>72</v>
      </c>
      <c r="D608" s="392" t="s">
        <v>997</v>
      </c>
      <c r="E608" s="392" t="s">
        <v>38</v>
      </c>
      <c r="F608" s="462"/>
      <c r="G608" s="449">
        <f t="shared" si="286"/>
        <v>0</v>
      </c>
      <c r="H608" s="449"/>
      <c r="I608" s="449">
        <f t="shared" si="286"/>
        <v>0</v>
      </c>
      <c r="J608" s="449">
        <f t="shared" si="286"/>
        <v>0</v>
      </c>
      <c r="K608" s="462" t="e">
        <f t="shared" si="272"/>
        <v>#DIV/0!</v>
      </c>
      <c r="L608" s="462">
        <f t="shared" si="273"/>
        <v>0</v>
      </c>
      <c r="M608" s="449">
        <f t="shared" si="287"/>
        <v>0</v>
      </c>
      <c r="N608" s="178">
        <f t="shared" si="271"/>
        <v>0</v>
      </c>
    </row>
    <row r="609" spans="1:14" s="184" customFormat="1" ht="23.8" customHeight="1" outlineLevel="7" x14ac:dyDescent="0.3">
      <c r="A609" s="189" t="s">
        <v>74</v>
      </c>
      <c r="B609" s="392" t="s">
        <v>490</v>
      </c>
      <c r="C609" s="392" t="s">
        <v>72</v>
      </c>
      <c r="D609" s="392" t="s">
        <v>997</v>
      </c>
      <c r="E609" s="392" t="s">
        <v>75</v>
      </c>
      <c r="F609" s="462"/>
      <c r="G609" s="449">
        <v>0</v>
      </c>
      <c r="H609" s="449"/>
      <c r="I609" s="449">
        <v>0</v>
      </c>
      <c r="J609" s="449"/>
      <c r="K609" s="462" t="e">
        <f t="shared" si="272"/>
        <v>#DIV/0!</v>
      </c>
      <c r="L609" s="462">
        <f t="shared" si="273"/>
        <v>0</v>
      </c>
      <c r="M609" s="449"/>
      <c r="N609" s="178">
        <f t="shared" si="271"/>
        <v>0</v>
      </c>
    </row>
    <row r="610" spans="1:14" s="184" customFormat="1" ht="19.7" customHeight="1" outlineLevel="5" x14ac:dyDescent="0.3">
      <c r="A610" s="189" t="s">
        <v>251</v>
      </c>
      <c r="B610" s="392" t="s">
        <v>490</v>
      </c>
      <c r="C610" s="392" t="s">
        <v>250</v>
      </c>
      <c r="D610" s="392" t="s">
        <v>126</v>
      </c>
      <c r="E610" s="392" t="s">
        <v>6</v>
      </c>
      <c r="F610" s="476" t="e">
        <f>F611</f>
        <v>#REF!</v>
      </c>
      <c r="G610" s="449">
        <f t="shared" ref="G610:J611" si="288">G611</f>
        <v>26801533.960000001</v>
      </c>
      <c r="H610" s="449"/>
      <c r="I610" s="449" t="e">
        <f t="shared" si="288"/>
        <v>#REF!</v>
      </c>
      <c r="J610" s="449">
        <f t="shared" si="288"/>
        <v>32534882</v>
      </c>
      <c r="K610" s="462">
        <f t="shared" si="272"/>
        <v>121.39186528859409</v>
      </c>
      <c r="L610" s="462">
        <f t="shared" si="273"/>
        <v>5733348.0399999991</v>
      </c>
      <c r="M610" s="449">
        <f t="shared" ref="M610:M611" si="289">M611</f>
        <v>28502775.140000001</v>
      </c>
      <c r="N610" s="178">
        <f t="shared" si="271"/>
        <v>-4032106.8599999994</v>
      </c>
    </row>
    <row r="611" spans="1:14" s="184" customFormat="1" ht="32.6" customHeight="1" outlineLevel="6" x14ac:dyDescent="0.3">
      <c r="A611" s="233" t="s">
        <v>1017</v>
      </c>
      <c r="B611" s="397" t="s">
        <v>490</v>
      </c>
      <c r="C611" s="397" t="s">
        <v>250</v>
      </c>
      <c r="D611" s="397" t="s">
        <v>138</v>
      </c>
      <c r="E611" s="397" t="s">
        <v>6</v>
      </c>
      <c r="F611" s="477" t="e">
        <f>F612</f>
        <v>#REF!</v>
      </c>
      <c r="G611" s="467">
        <f t="shared" si="288"/>
        <v>26801533.960000001</v>
      </c>
      <c r="H611" s="467"/>
      <c r="I611" s="467" t="e">
        <f t="shared" si="288"/>
        <v>#REF!</v>
      </c>
      <c r="J611" s="467">
        <f t="shared" si="288"/>
        <v>32534882</v>
      </c>
      <c r="K611" s="462">
        <f t="shared" si="272"/>
        <v>121.39186528859409</v>
      </c>
      <c r="L611" s="462">
        <f t="shared" si="273"/>
        <v>5733348.0399999991</v>
      </c>
      <c r="M611" s="467">
        <f t="shared" si="289"/>
        <v>28502775.140000001</v>
      </c>
      <c r="N611" s="178">
        <f t="shared" si="271"/>
        <v>-4032106.8599999994</v>
      </c>
    </row>
    <row r="612" spans="1:14" s="184" customFormat="1" ht="43.5" customHeight="1" outlineLevel="7" x14ac:dyDescent="0.3">
      <c r="A612" s="189" t="s">
        <v>1018</v>
      </c>
      <c r="B612" s="392" t="s">
        <v>490</v>
      </c>
      <c r="C612" s="392" t="s">
        <v>250</v>
      </c>
      <c r="D612" s="392" t="s">
        <v>149</v>
      </c>
      <c r="E612" s="392" t="s">
        <v>6</v>
      </c>
      <c r="F612" s="471" t="e">
        <f>F613+F617+F627</f>
        <v>#REF!</v>
      </c>
      <c r="G612" s="462">
        <f>G613+G617+G627+G630</f>
        <v>26801533.960000001</v>
      </c>
      <c r="H612" s="462"/>
      <c r="I612" s="462" t="e">
        <f>I613+I617+I627+I630</f>
        <v>#REF!</v>
      </c>
      <c r="J612" s="462">
        <f>J613+J617+J627+J630</f>
        <v>32534882</v>
      </c>
      <c r="K612" s="462">
        <f t="shared" si="272"/>
        <v>121.39186528859409</v>
      </c>
      <c r="L612" s="462">
        <f t="shared" si="273"/>
        <v>5733348.0399999991</v>
      </c>
      <c r="M612" s="462">
        <f>M613+M617+M627+M630</f>
        <v>28502775.140000001</v>
      </c>
      <c r="N612" s="178">
        <f t="shared" si="271"/>
        <v>-4032106.8599999994</v>
      </c>
    </row>
    <row r="613" spans="1:14" s="184" customFormat="1" ht="44.85" customHeight="1" outlineLevel="7" x14ac:dyDescent="0.3">
      <c r="A613" s="189" t="s">
        <v>205</v>
      </c>
      <c r="B613" s="392" t="s">
        <v>490</v>
      </c>
      <c r="C613" s="392" t="s">
        <v>250</v>
      </c>
      <c r="D613" s="392" t="s">
        <v>221</v>
      </c>
      <c r="E613" s="392" t="s">
        <v>6</v>
      </c>
      <c r="F613" s="471">
        <f t="shared" ref="F613:J615" si="290">F614</f>
        <v>23936037.59</v>
      </c>
      <c r="G613" s="462">
        <f t="shared" si="290"/>
        <v>24935323.960000001</v>
      </c>
      <c r="H613" s="462"/>
      <c r="I613" s="462">
        <f t="shared" si="290"/>
        <v>24942762</v>
      </c>
      <c r="J613" s="462">
        <f t="shared" si="290"/>
        <v>29267092</v>
      </c>
      <c r="K613" s="462">
        <f t="shared" si="272"/>
        <v>117.37201428362754</v>
      </c>
      <c r="L613" s="462">
        <f t="shared" si="273"/>
        <v>4331768.0399999991</v>
      </c>
      <c r="M613" s="462">
        <f t="shared" ref="M613:M615" si="291">M614</f>
        <v>26734985.140000001</v>
      </c>
      <c r="N613" s="178">
        <f t="shared" si="271"/>
        <v>-2532106.8599999994</v>
      </c>
    </row>
    <row r="614" spans="1:14" s="184" customFormat="1" ht="46.9" customHeight="1" outlineLevel="7" x14ac:dyDescent="0.3">
      <c r="A614" s="189" t="s">
        <v>115</v>
      </c>
      <c r="B614" s="392" t="s">
        <v>490</v>
      </c>
      <c r="C614" s="392" t="s">
        <v>250</v>
      </c>
      <c r="D614" s="392" t="s">
        <v>151</v>
      </c>
      <c r="E614" s="392" t="s">
        <v>6</v>
      </c>
      <c r="F614" s="471">
        <f t="shared" si="290"/>
        <v>23936037.59</v>
      </c>
      <c r="G614" s="462">
        <f t="shared" si="290"/>
        <v>24935323.960000001</v>
      </c>
      <c r="H614" s="462"/>
      <c r="I614" s="462">
        <f t="shared" si="290"/>
        <v>24942762</v>
      </c>
      <c r="J614" s="462">
        <f t="shared" si="290"/>
        <v>29267092</v>
      </c>
      <c r="K614" s="462">
        <f t="shared" si="272"/>
        <v>117.37201428362754</v>
      </c>
      <c r="L614" s="462">
        <f t="shared" si="273"/>
        <v>4331768.0399999991</v>
      </c>
      <c r="M614" s="462">
        <f t="shared" si="291"/>
        <v>26734985.140000001</v>
      </c>
      <c r="N614" s="178">
        <f t="shared" si="271"/>
        <v>-2532106.8599999994</v>
      </c>
    </row>
    <row r="615" spans="1:14" s="184" customFormat="1" ht="57.75" customHeight="1" outlineLevel="7" x14ac:dyDescent="0.3">
      <c r="A615" s="189" t="s">
        <v>37</v>
      </c>
      <c r="B615" s="392" t="s">
        <v>490</v>
      </c>
      <c r="C615" s="392" t="s">
        <v>250</v>
      </c>
      <c r="D615" s="392" t="s">
        <v>151</v>
      </c>
      <c r="E615" s="392" t="s">
        <v>38</v>
      </c>
      <c r="F615" s="471">
        <f t="shared" si="290"/>
        <v>23936037.59</v>
      </c>
      <c r="G615" s="462">
        <f t="shared" si="290"/>
        <v>24935323.960000001</v>
      </c>
      <c r="H615" s="462"/>
      <c r="I615" s="462">
        <f t="shared" si="290"/>
        <v>24942762</v>
      </c>
      <c r="J615" s="462">
        <f t="shared" si="290"/>
        <v>29267092</v>
      </c>
      <c r="K615" s="462">
        <f t="shared" si="272"/>
        <v>117.37201428362754</v>
      </c>
      <c r="L615" s="462">
        <f t="shared" si="273"/>
        <v>4331768.0399999991</v>
      </c>
      <c r="M615" s="462">
        <f t="shared" si="291"/>
        <v>26734985.140000001</v>
      </c>
      <c r="N615" s="178">
        <f t="shared" si="271"/>
        <v>-2532106.8599999994</v>
      </c>
    </row>
    <row r="616" spans="1:14" s="184" customFormat="1" ht="28.05" customHeight="1" outlineLevel="7" x14ac:dyDescent="0.3">
      <c r="A616" s="189" t="s">
        <v>74</v>
      </c>
      <c r="B616" s="392" t="s">
        <v>490</v>
      </c>
      <c r="C616" s="392" t="s">
        <v>250</v>
      </c>
      <c r="D616" s="392" t="s">
        <v>151</v>
      </c>
      <c r="E616" s="392" t="s">
        <v>75</v>
      </c>
      <c r="F616" s="475">
        <v>23936037.59</v>
      </c>
      <c r="G616" s="449">
        <f>'потребность 2023 (5)'!K639-243700+342846+110600</f>
        <v>24935323.960000001</v>
      </c>
      <c r="H616" s="449"/>
      <c r="I616" s="449">
        <v>24942762</v>
      </c>
      <c r="J616" s="449">
        <v>29267092</v>
      </c>
      <c r="K616" s="462">
        <f t="shared" si="272"/>
        <v>117.37201428362754</v>
      </c>
      <c r="L616" s="462">
        <f t="shared" si="273"/>
        <v>4331768.0399999991</v>
      </c>
      <c r="M616" s="449">
        <f>29267092-521730-2095357.78+84980.92</f>
        <v>26734985.140000001</v>
      </c>
      <c r="N616" s="178">
        <f t="shared" si="271"/>
        <v>-2532106.8599999994</v>
      </c>
    </row>
    <row r="617" spans="1:14" ht="42.3" customHeight="1" outlineLevel="7" x14ac:dyDescent="0.3">
      <c r="A617" s="189" t="s">
        <v>377</v>
      </c>
      <c r="B617" s="392" t="s">
        <v>490</v>
      </c>
      <c r="C617" s="392" t="s">
        <v>250</v>
      </c>
      <c r="D617" s="392" t="s">
        <v>222</v>
      </c>
      <c r="E617" s="392" t="s">
        <v>6</v>
      </c>
      <c r="F617" s="476" t="e">
        <f>F618+#REF!+F624</f>
        <v>#REF!</v>
      </c>
      <c r="G617" s="449">
        <f>G618+G621</f>
        <v>130020</v>
      </c>
      <c r="H617" s="449"/>
      <c r="I617" s="449" t="e">
        <f>I618+#REF!+I621</f>
        <v>#REF!</v>
      </c>
      <c r="J617" s="449">
        <f>J618+J621</f>
        <v>1531600</v>
      </c>
      <c r="K617" s="462">
        <f t="shared" si="272"/>
        <v>1177.9726195969849</v>
      </c>
      <c r="L617" s="462">
        <f t="shared" si="273"/>
        <v>1401580</v>
      </c>
      <c r="M617" s="449">
        <f>M618+M621</f>
        <v>31600</v>
      </c>
      <c r="N617" s="178">
        <f t="shared" si="271"/>
        <v>-1500000</v>
      </c>
    </row>
    <row r="618" spans="1:14" ht="29.9" customHeight="1" outlineLevel="7" x14ac:dyDescent="0.3">
      <c r="A618" s="189" t="s">
        <v>262</v>
      </c>
      <c r="B618" s="392" t="s">
        <v>490</v>
      </c>
      <c r="C618" s="392" t="s">
        <v>250</v>
      </c>
      <c r="D618" s="392" t="s">
        <v>280</v>
      </c>
      <c r="E618" s="392" t="s">
        <v>6</v>
      </c>
      <c r="F618" s="476">
        <f>F619</f>
        <v>17771.2</v>
      </c>
      <c r="G618" s="449">
        <f t="shared" ref="G618:J619" si="292">G619</f>
        <v>31600</v>
      </c>
      <c r="H618" s="449"/>
      <c r="I618" s="449">
        <f t="shared" si="292"/>
        <v>31600</v>
      </c>
      <c r="J618" s="449">
        <f t="shared" si="292"/>
        <v>31600</v>
      </c>
      <c r="K618" s="462">
        <f t="shared" si="272"/>
        <v>100</v>
      </c>
      <c r="L618" s="462">
        <f t="shared" si="273"/>
        <v>0</v>
      </c>
      <c r="M618" s="449">
        <f t="shared" ref="M618:M619" si="293">M619</f>
        <v>31600</v>
      </c>
      <c r="N618" s="178">
        <f t="shared" si="271"/>
        <v>0</v>
      </c>
    </row>
    <row r="619" spans="1:14" ht="49.75" customHeight="1" outlineLevel="7" x14ac:dyDescent="0.3">
      <c r="A619" s="189" t="s">
        <v>37</v>
      </c>
      <c r="B619" s="392" t="s">
        <v>490</v>
      </c>
      <c r="C619" s="392" t="s">
        <v>250</v>
      </c>
      <c r="D619" s="392" t="s">
        <v>280</v>
      </c>
      <c r="E619" s="392" t="s">
        <v>38</v>
      </c>
      <c r="F619" s="476">
        <f>F620</f>
        <v>17771.2</v>
      </c>
      <c r="G619" s="449">
        <f t="shared" si="292"/>
        <v>31600</v>
      </c>
      <c r="H619" s="449"/>
      <c r="I619" s="449">
        <f t="shared" si="292"/>
        <v>31600</v>
      </c>
      <c r="J619" s="449">
        <f t="shared" si="292"/>
        <v>31600</v>
      </c>
      <c r="K619" s="462">
        <f t="shared" si="272"/>
        <v>100</v>
      </c>
      <c r="L619" s="462">
        <f t="shared" si="273"/>
        <v>0</v>
      </c>
      <c r="M619" s="449">
        <f t="shared" si="293"/>
        <v>31600</v>
      </c>
      <c r="N619" s="178">
        <f t="shared" si="271"/>
        <v>0</v>
      </c>
    </row>
    <row r="620" spans="1:14" ht="22.6" customHeight="1" outlineLevel="2" x14ac:dyDescent="0.3">
      <c r="A620" s="189" t="s">
        <v>74</v>
      </c>
      <c r="B620" s="392" t="s">
        <v>490</v>
      </c>
      <c r="C620" s="392" t="s">
        <v>250</v>
      </c>
      <c r="D620" s="392" t="s">
        <v>280</v>
      </c>
      <c r="E620" s="392" t="s">
        <v>75</v>
      </c>
      <c r="F620" s="496">
        <v>17771.2</v>
      </c>
      <c r="G620" s="449">
        <f>'потребность 2023 (5)'!K642</f>
        <v>31600</v>
      </c>
      <c r="H620" s="449"/>
      <c r="I620" s="449">
        <v>31600</v>
      </c>
      <c r="J620" s="449">
        <v>31600</v>
      </c>
      <c r="K620" s="462">
        <f t="shared" si="272"/>
        <v>100</v>
      </c>
      <c r="L620" s="462">
        <f t="shared" si="273"/>
        <v>0</v>
      </c>
      <c r="M620" s="449">
        <v>31600</v>
      </c>
      <c r="N620" s="178">
        <f t="shared" si="271"/>
        <v>0</v>
      </c>
    </row>
    <row r="621" spans="1:14" s="224" customFormat="1" ht="46.2" customHeight="1" outlineLevel="3" x14ac:dyDescent="0.3">
      <c r="A621" s="189" t="s">
        <v>461</v>
      </c>
      <c r="B621" s="392" t="s">
        <v>490</v>
      </c>
      <c r="C621" s="392" t="s">
        <v>250</v>
      </c>
      <c r="D621" s="392" t="s">
        <v>666</v>
      </c>
      <c r="E621" s="392" t="s">
        <v>6</v>
      </c>
      <c r="F621" s="467">
        <v>0</v>
      </c>
      <c r="G621" s="449">
        <f t="shared" ref="G621:J622" si="294">G622</f>
        <v>98420</v>
      </c>
      <c r="H621" s="449"/>
      <c r="I621" s="449">
        <f t="shared" si="294"/>
        <v>0</v>
      </c>
      <c r="J621" s="449">
        <f t="shared" si="294"/>
        <v>1500000</v>
      </c>
      <c r="K621" s="462">
        <f t="shared" si="272"/>
        <v>1524.0804714488925</v>
      </c>
      <c r="L621" s="462">
        <f t="shared" si="273"/>
        <v>1401580</v>
      </c>
      <c r="M621" s="449">
        <f t="shared" ref="M621:M622" si="295">M622</f>
        <v>0</v>
      </c>
      <c r="N621" s="178">
        <f t="shared" si="271"/>
        <v>-1500000</v>
      </c>
    </row>
    <row r="622" spans="1:14" ht="24.45" customHeight="1" outlineLevel="3" x14ac:dyDescent="0.3">
      <c r="A622" s="189" t="s">
        <v>37</v>
      </c>
      <c r="B622" s="392" t="s">
        <v>490</v>
      </c>
      <c r="C622" s="392" t="s">
        <v>250</v>
      </c>
      <c r="D622" s="392" t="s">
        <v>666</v>
      </c>
      <c r="E622" s="392" t="s">
        <v>38</v>
      </c>
      <c r="F622" s="449">
        <v>0</v>
      </c>
      <c r="G622" s="449">
        <f t="shared" si="294"/>
        <v>98420</v>
      </c>
      <c r="H622" s="449"/>
      <c r="I622" s="449">
        <f t="shared" si="294"/>
        <v>0</v>
      </c>
      <c r="J622" s="449">
        <f t="shared" si="294"/>
        <v>1500000</v>
      </c>
      <c r="K622" s="462">
        <f t="shared" si="272"/>
        <v>1524.0804714488925</v>
      </c>
      <c r="L622" s="462">
        <f t="shared" si="273"/>
        <v>1401580</v>
      </c>
      <c r="M622" s="449">
        <f t="shared" si="295"/>
        <v>0</v>
      </c>
      <c r="N622" s="178">
        <f t="shared" si="271"/>
        <v>-1500000</v>
      </c>
    </row>
    <row r="623" spans="1:14" ht="29.9" customHeight="1" outlineLevel="3" thickBot="1" x14ac:dyDescent="0.35">
      <c r="A623" s="189" t="s">
        <v>74</v>
      </c>
      <c r="B623" s="392" t="s">
        <v>490</v>
      </c>
      <c r="C623" s="392" t="s">
        <v>250</v>
      </c>
      <c r="D623" s="392" t="s">
        <v>666</v>
      </c>
      <c r="E623" s="392" t="s">
        <v>75</v>
      </c>
      <c r="F623" s="449">
        <v>0</v>
      </c>
      <c r="G623" s="449">
        <f>14000+84420</f>
        <v>98420</v>
      </c>
      <c r="H623" s="449"/>
      <c r="I623" s="449">
        <v>0</v>
      </c>
      <c r="J623" s="449">
        <v>1500000</v>
      </c>
      <c r="K623" s="462">
        <f t="shared" si="272"/>
        <v>1524.0804714488925</v>
      </c>
      <c r="L623" s="462">
        <f t="shared" si="273"/>
        <v>1401580</v>
      </c>
      <c r="M623" s="449">
        <f>1500000-1500000</f>
        <v>0</v>
      </c>
      <c r="N623" s="178">
        <f t="shared" si="271"/>
        <v>-1500000</v>
      </c>
    </row>
    <row r="624" spans="1:14" ht="48.9" customHeight="1" outlineLevel="3" thickBot="1" x14ac:dyDescent="0.35">
      <c r="A624" s="450" t="s">
        <v>806</v>
      </c>
      <c r="B624" s="451" t="s">
        <v>490</v>
      </c>
      <c r="C624" s="451" t="s">
        <v>250</v>
      </c>
      <c r="D624" s="451" t="s">
        <v>843</v>
      </c>
      <c r="E624" s="451" t="s">
        <v>6</v>
      </c>
      <c r="F624" s="476">
        <f>F625</f>
        <v>442000</v>
      </c>
      <c r="G624" s="449"/>
      <c r="H624" s="449"/>
      <c r="I624" s="449"/>
      <c r="J624" s="449"/>
      <c r="K624" s="462" t="e">
        <f t="shared" si="272"/>
        <v>#DIV/0!</v>
      </c>
      <c r="L624" s="462">
        <f t="shared" si="273"/>
        <v>0</v>
      </c>
      <c r="M624" s="449"/>
      <c r="N624" s="178">
        <f t="shared" si="271"/>
        <v>0</v>
      </c>
    </row>
    <row r="625" spans="1:14" ht="34.65" customHeight="1" outlineLevel="3" x14ac:dyDescent="0.3">
      <c r="A625" s="452" t="s">
        <v>37</v>
      </c>
      <c r="B625" s="451" t="s">
        <v>490</v>
      </c>
      <c r="C625" s="451" t="s">
        <v>250</v>
      </c>
      <c r="D625" s="451" t="s">
        <v>843</v>
      </c>
      <c r="E625" s="451" t="s">
        <v>38</v>
      </c>
      <c r="F625" s="476">
        <f>F626</f>
        <v>442000</v>
      </c>
      <c r="G625" s="449"/>
      <c r="H625" s="449"/>
      <c r="I625" s="449"/>
      <c r="J625" s="449"/>
      <c r="K625" s="462" t="e">
        <f t="shared" si="272"/>
        <v>#DIV/0!</v>
      </c>
      <c r="L625" s="462">
        <f t="shared" si="273"/>
        <v>0</v>
      </c>
      <c r="M625" s="449"/>
      <c r="N625" s="178">
        <f t="shared" si="271"/>
        <v>0</v>
      </c>
    </row>
    <row r="626" spans="1:14" ht="34.65" customHeight="1" outlineLevel="3" x14ac:dyDescent="0.3">
      <c r="A626" s="452" t="s">
        <v>74</v>
      </c>
      <c r="B626" s="451" t="s">
        <v>490</v>
      </c>
      <c r="C626" s="451" t="s">
        <v>250</v>
      </c>
      <c r="D626" s="451" t="s">
        <v>843</v>
      </c>
      <c r="E626" s="451" t="s">
        <v>75</v>
      </c>
      <c r="F626" s="475">
        <v>442000</v>
      </c>
      <c r="G626" s="449"/>
      <c r="H626" s="449"/>
      <c r="I626" s="449"/>
      <c r="J626" s="449"/>
      <c r="K626" s="462" t="e">
        <f t="shared" si="272"/>
        <v>#DIV/0!</v>
      </c>
      <c r="L626" s="462">
        <f t="shared" si="273"/>
        <v>0</v>
      </c>
      <c r="M626" s="449"/>
      <c r="N626" s="178">
        <f t="shared" si="271"/>
        <v>0</v>
      </c>
    </row>
    <row r="627" spans="1:14" ht="42.3" customHeight="1" outlineLevel="3" x14ac:dyDescent="0.3">
      <c r="A627" s="189" t="s">
        <v>674</v>
      </c>
      <c r="B627" s="392" t="s">
        <v>490</v>
      </c>
      <c r="C627" s="392" t="s">
        <v>250</v>
      </c>
      <c r="D627" s="392" t="s">
        <v>675</v>
      </c>
      <c r="E627" s="392" t="s">
        <v>6</v>
      </c>
      <c r="F627" s="476">
        <f>F628</f>
        <v>1016765.81</v>
      </c>
      <c r="G627" s="449">
        <f>G628</f>
        <v>604406.64999999991</v>
      </c>
      <c r="H627" s="449"/>
      <c r="I627" s="449">
        <f>I628</f>
        <v>0</v>
      </c>
      <c r="J627" s="449"/>
      <c r="K627" s="462">
        <f t="shared" si="272"/>
        <v>0</v>
      </c>
      <c r="L627" s="462">
        <f t="shared" si="273"/>
        <v>-604406.64999999991</v>
      </c>
      <c r="M627" s="449"/>
      <c r="N627" s="178">
        <f t="shared" si="271"/>
        <v>0</v>
      </c>
    </row>
    <row r="628" spans="1:14" ht="24.45" customHeight="1" outlineLevel="3" x14ac:dyDescent="0.3">
      <c r="A628" s="189" t="s">
        <v>37</v>
      </c>
      <c r="B628" s="392" t="s">
        <v>490</v>
      </c>
      <c r="C628" s="392" t="s">
        <v>250</v>
      </c>
      <c r="D628" s="392" t="s">
        <v>676</v>
      </c>
      <c r="E628" s="392" t="s">
        <v>38</v>
      </c>
      <c r="F628" s="476">
        <f>F629</f>
        <v>1016765.81</v>
      </c>
      <c r="G628" s="449">
        <f>G629</f>
        <v>604406.64999999991</v>
      </c>
      <c r="H628" s="449"/>
      <c r="I628" s="449">
        <f>I629</f>
        <v>0</v>
      </c>
      <c r="J628" s="449"/>
      <c r="K628" s="462">
        <f t="shared" si="272"/>
        <v>0</v>
      </c>
      <c r="L628" s="462">
        <f t="shared" si="273"/>
        <v>-604406.64999999991</v>
      </c>
      <c r="M628" s="449"/>
      <c r="N628" s="178">
        <f t="shared" si="271"/>
        <v>0</v>
      </c>
    </row>
    <row r="629" spans="1:14" ht="26.5" customHeight="1" outlineLevel="3" x14ac:dyDescent="0.3">
      <c r="A629" s="189" t="s">
        <v>74</v>
      </c>
      <c r="B629" s="392" t="s">
        <v>490</v>
      </c>
      <c r="C629" s="392" t="s">
        <v>250</v>
      </c>
      <c r="D629" s="392" t="s">
        <v>676</v>
      </c>
      <c r="E629" s="392" t="s">
        <v>75</v>
      </c>
      <c r="F629" s="475">
        <v>1016765.81</v>
      </c>
      <c r="G629" s="449">
        <f>'потребность 2023 (5)'!K652-1131783.35</f>
        <v>604406.64999999991</v>
      </c>
      <c r="H629" s="449"/>
      <c r="I629" s="449">
        <v>0</v>
      </c>
      <c r="J629" s="449"/>
      <c r="K629" s="462">
        <f t="shared" si="272"/>
        <v>0</v>
      </c>
      <c r="L629" s="462">
        <f t="shared" si="273"/>
        <v>-604406.64999999991</v>
      </c>
      <c r="M629" s="449"/>
      <c r="N629" s="178">
        <f t="shared" si="271"/>
        <v>0</v>
      </c>
    </row>
    <row r="630" spans="1:14" ht="54.35" customHeight="1" outlineLevel="3" x14ac:dyDescent="0.3">
      <c r="A630" s="189" t="s">
        <v>1087</v>
      </c>
      <c r="B630" s="392" t="s">
        <v>490</v>
      </c>
      <c r="C630" s="392" t="s">
        <v>250</v>
      </c>
      <c r="D630" s="392" t="s">
        <v>1088</v>
      </c>
      <c r="E630" s="392" t="s">
        <v>6</v>
      </c>
      <c r="F630" s="462" t="s">
        <v>838</v>
      </c>
      <c r="G630" s="449">
        <f t="shared" ref="G630:J632" si="296">G631</f>
        <v>1131783.3500000001</v>
      </c>
      <c r="H630" s="449"/>
      <c r="I630" s="449">
        <f t="shared" si="296"/>
        <v>1736190</v>
      </c>
      <c r="J630" s="449">
        <f t="shared" si="296"/>
        <v>1736190</v>
      </c>
      <c r="K630" s="462">
        <f t="shared" si="272"/>
        <v>153.40303424679288</v>
      </c>
      <c r="L630" s="462">
        <f t="shared" si="273"/>
        <v>604406.64999999991</v>
      </c>
      <c r="M630" s="449">
        <f t="shared" ref="M630:M632" si="297">M631</f>
        <v>1736190</v>
      </c>
      <c r="N630" s="178">
        <f t="shared" si="271"/>
        <v>0</v>
      </c>
    </row>
    <row r="631" spans="1:14" ht="67.95" outlineLevel="3" x14ac:dyDescent="0.3">
      <c r="A631" s="189" t="s">
        <v>1089</v>
      </c>
      <c r="B631" s="392" t="s">
        <v>490</v>
      </c>
      <c r="C631" s="392" t="s">
        <v>250</v>
      </c>
      <c r="D631" s="392" t="s">
        <v>1090</v>
      </c>
      <c r="E631" s="392" t="s">
        <v>6</v>
      </c>
      <c r="F631" s="462" t="s">
        <v>838</v>
      </c>
      <c r="G631" s="449">
        <f t="shared" si="296"/>
        <v>1131783.3500000001</v>
      </c>
      <c r="H631" s="449"/>
      <c r="I631" s="449">
        <f t="shared" si="296"/>
        <v>1736190</v>
      </c>
      <c r="J631" s="449">
        <f t="shared" si="296"/>
        <v>1736190</v>
      </c>
      <c r="K631" s="462">
        <f t="shared" si="272"/>
        <v>153.40303424679288</v>
      </c>
      <c r="L631" s="462">
        <f t="shared" si="273"/>
        <v>604406.64999999991</v>
      </c>
      <c r="M631" s="449">
        <f t="shared" si="297"/>
        <v>1736190</v>
      </c>
      <c r="N631" s="178">
        <f t="shared" si="271"/>
        <v>0</v>
      </c>
    </row>
    <row r="632" spans="1:14" ht="50.95" outlineLevel="3" x14ac:dyDescent="0.3">
      <c r="A632" s="189" t="s">
        <v>37</v>
      </c>
      <c r="B632" s="392" t="s">
        <v>490</v>
      </c>
      <c r="C632" s="392" t="s">
        <v>250</v>
      </c>
      <c r="D632" s="392" t="s">
        <v>1090</v>
      </c>
      <c r="E632" s="392" t="s">
        <v>38</v>
      </c>
      <c r="F632" s="462" t="s">
        <v>838</v>
      </c>
      <c r="G632" s="449">
        <f t="shared" si="296"/>
        <v>1131783.3500000001</v>
      </c>
      <c r="H632" s="449"/>
      <c r="I632" s="449">
        <f t="shared" si="296"/>
        <v>1736190</v>
      </c>
      <c r="J632" s="449">
        <f t="shared" si="296"/>
        <v>1736190</v>
      </c>
      <c r="K632" s="462">
        <f t="shared" si="272"/>
        <v>153.40303424679288</v>
      </c>
      <c r="L632" s="462">
        <f t="shared" si="273"/>
        <v>604406.64999999991</v>
      </c>
      <c r="M632" s="449">
        <f t="shared" si="297"/>
        <v>1736190</v>
      </c>
      <c r="N632" s="178">
        <f t="shared" si="271"/>
        <v>0</v>
      </c>
    </row>
    <row r="633" spans="1:14" outlineLevel="3" x14ac:dyDescent="0.3">
      <c r="A633" s="189" t="s">
        <v>74</v>
      </c>
      <c r="B633" s="392" t="s">
        <v>490</v>
      </c>
      <c r="C633" s="392" t="s">
        <v>250</v>
      </c>
      <c r="D633" s="392" t="s">
        <v>1090</v>
      </c>
      <c r="E633" s="392" t="s">
        <v>75</v>
      </c>
      <c r="F633" s="462" t="s">
        <v>838</v>
      </c>
      <c r="G633" s="449">
        <v>1131783.3500000001</v>
      </c>
      <c r="H633" s="449"/>
      <c r="I633" s="449">
        <v>1736190</v>
      </c>
      <c r="J633" s="449">
        <v>1736190</v>
      </c>
      <c r="K633" s="462">
        <f t="shared" si="272"/>
        <v>153.40303424679288</v>
      </c>
      <c r="L633" s="462">
        <f t="shared" si="273"/>
        <v>604406.64999999991</v>
      </c>
      <c r="M633" s="449">
        <f>1736190</f>
        <v>1736190</v>
      </c>
      <c r="N633" s="178">
        <f t="shared" si="271"/>
        <v>0</v>
      </c>
    </row>
    <row r="634" spans="1:14" outlineLevel="3" x14ac:dyDescent="0.3">
      <c r="A634" s="189" t="s">
        <v>1072</v>
      </c>
      <c r="B634" s="392" t="s">
        <v>490</v>
      </c>
      <c r="C634" s="392" t="s">
        <v>77</v>
      </c>
      <c r="D634" s="392" t="s">
        <v>126</v>
      </c>
      <c r="E634" s="392" t="s">
        <v>6</v>
      </c>
      <c r="F634" s="471">
        <f>F635</f>
        <v>6961063.8300000001</v>
      </c>
      <c r="G634" s="462">
        <f>G635</f>
        <v>195000</v>
      </c>
      <c r="H634" s="462"/>
      <c r="I634" s="462">
        <f>I635</f>
        <v>195000</v>
      </c>
      <c r="J634" s="462">
        <f>J635</f>
        <v>195000</v>
      </c>
      <c r="K634" s="462">
        <f t="shared" si="272"/>
        <v>100</v>
      </c>
      <c r="L634" s="462">
        <f t="shared" si="273"/>
        <v>0</v>
      </c>
      <c r="M634" s="462">
        <f>M635</f>
        <v>195000</v>
      </c>
      <c r="N634" s="178">
        <f t="shared" si="271"/>
        <v>0</v>
      </c>
    </row>
    <row r="635" spans="1:14" ht="50.95" outlineLevel="3" x14ac:dyDescent="0.3">
      <c r="A635" s="233" t="s">
        <v>1017</v>
      </c>
      <c r="B635" s="397" t="s">
        <v>490</v>
      </c>
      <c r="C635" s="397" t="s">
        <v>77</v>
      </c>
      <c r="D635" s="397" t="s">
        <v>138</v>
      </c>
      <c r="E635" s="397" t="s">
        <v>6</v>
      </c>
      <c r="F635" s="473">
        <f>F636+F656</f>
        <v>6961063.8300000001</v>
      </c>
      <c r="G635" s="465">
        <f>G636+G653</f>
        <v>195000</v>
      </c>
      <c r="H635" s="465"/>
      <c r="I635" s="465">
        <f>I636+I653</f>
        <v>195000</v>
      </c>
      <c r="J635" s="465">
        <f>J636+J653</f>
        <v>195000</v>
      </c>
      <c r="K635" s="462">
        <f t="shared" si="272"/>
        <v>100</v>
      </c>
      <c r="L635" s="462">
        <f t="shared" si="273"/>
        <v>0</v>
      </c>
      <c r="M635" s="465">
        <f>M636+M653</f>
        <v>195000</v>
      </c>
      <c r="N635" s="178">
        <f t="shared" si="271"/>
        <v>0</v>
      </c>
    </row>
    <row r="636" spans="1:14" ht="50.95" outlineLevel="3" x14ac:dyDescent="0.3">
      <c r="A636" s="189" t="s">
        <v>1040</v>
      </c>
      <c r="B636" s="392" t="s">
        <v>490</v>
      </c>
      <c r="C636" s="392" t="s">
        <v>77</v>
      </c>
      <c r="D636" s="392" t="s">
        <v>146</v>
      </c>
      <c r="E636" s="392" t="s">
        <v>6</v>
      </c>
      <c r="F636" s="471">
        <f>F637+F647</f>
        <v>64995.03</v>
      </c>
      <c r="G636" s="462">
        <f>G637+G644</f>
        <v>70000</v>
      </c>
      <c r="H636" s="462"/>
      <c r="I636" s="462">
        <f>I637+I644</f>
        <v>70000</v>
      </c>
      <c r="J636" s="462">
        <f>J637+J644</f>
        <v>70000</v>
      </c>
      <c r="K636" s="462">
        <f t="shared" si="272"/>
        <v>100</v>
      </c>
      <c r="L636" s="462">
        <f t="shared" si="273"/>
        <v>0</v>
      </c>
      <c r="M636" s="462">
        <f>M637+M644</f>
        <v>70000</v>
      </c>
      <c r="N636" s="178">
        <f t="shared" si="271"/>
        <v>0</v>
      </c>
    </row>
    <row r="637" spans="1:14" ht="34" outlineLevel="7" x14ac:dyDescent="0.3">
      <c r="A637" s="189" t="s">
        <v>204</v>
      </c>
      <c r="B637" s="392" t="s">
        <v>490</v>
      </c>
      <c r="C637" s="392" t="s">
        <v>77</v>
      </c>
      <c r="D637" s="392" t="s">
        <v>217</v>
      </c>
      <c r="E637" s="392" t="s">
        <v>6</v>
      </c>
      <c r="F637" s="471">
        <f>F638+F644</f>
        <v>64995.03</v>
      </c>
      <c r="G637" s="462">
        <f t="shared" ref="G637:J639" si="298">G638</f>
        <v>70000</v>
      </c>
      <c r="H637" s="462"/>
      <c r="I637" s="462">
        <f t="shared" si="298"/>
        <v>70000</v>
      </c>
      <c r="J637" s="462">
        <f t="shared" si="298"/>
        <v>70000</v>
      </c>
      <c r="K637" s="462">
        <f t="shared" si="272"/>
        <v>100</v>
      </c>
      <c r="L637" s="462">
        <f t="shared" si="273"/>
        <v>0</v>
      </c>
      <c r="M637" s="462">
        <f t="shared" ref="M637:M639" si="299">M638</f>
        <v>70000</v>
      </c>
      <c r="N637" s="178">
        <f t="shared" si="271"/>
        <v>0</v>
      </c>
    </row>
    <row r="638" spans="1:14" ht="34" outlineLevel="7" x14ac:dyDescent="0.3">
      <c r="A638" s="189" t="s">
        <v>395</v>
      </c>
      <c r="B638" s="392" t="s">
        <v>490</v>
      </c>
      <c r="C638" s="392" t="s">
        <v>77</v>
      </c>
      <c r="D638" s="392" t="s">
        <v>232</v>
      </c>
      <c r="E638" s="392" t="s">
        <v>6</v>
      </c>
      <c r="F638" s="471">
        <f>F639</f>
        <v>64995.03</v>
      </c>
      <c r="G638" s="462">
        <f t="shared" si="298"/>
        <v>70000</v>
      </c>
      <c r="H638" s="462"/>
      <c r="I638" s="462">
        <f t="shared" si="298"/>
        <v>70000</v>
      </c>
      <c r="J638" s="462">
        <f t="shared" si="298"/>
        <v>70000</v>
      </c>
      <c r="K638" s="462">
        <f t="shared" si="272"/>
        <v>100</v>
      </c>
      <c r="L638" s="462">
        <f t="shared" si="273"/>
        <v>0</v>
      </c>
      <c r="M638" s="462">
        <f t="shared" si="299"/>
        <v>70000</v>
      </c>
      <c r="N638" s="178">
        <f t="shared" si="271"/>
        <v>0</v>
      </c>
    </row>
    <row r="639" spans="1:14" ht="23.3" customHeight="1" outlineLevel="7" x14ac:dyDescent="0.3">
      <c r="A639" s="189" t="s">
        <v>15</v>
      </c>
      <c r="B639" s="392" t="s">
        <v>490</v>
      </c>
      <c r="C639" s="392" t="s">
        <v>77</v>
      </c>
      <c r="D639" s="392" t="s">
        <v>232</v>
      </c>
      <c r="E639" s="392" t="s">
        <v>16</v>
      </c>
      <c r="F639" s="471">
        <f>F640</f>
        <v>64995.03</v>
      </c>
      <c r="G639" s="462">
        <f t="shared" si="298"/>
        <v>70000</v>
      </c>
      <c r="H639" s="462"/>
      <c r="I639" s="462">
        <f t="shared" si="298"/>
        <v>70000</v>
      </c>
      <c r="J639" s="462">
        <f t="shared" si="298"/>
        <v>70000</v>
      </c>
      <c r="K639" s="462">
        <f t="shared" si="272"/>
        <v>100</v>
      </c>
      <c r="L639" s="462">
        <f t="shared" si="273"/>
        <v>0</v>
      </c>
      <c r="M639" s="462">
        <f t="shared" si="299"/>
        <v>70000</v>
      </c>
      <c r="N639" s="178">
        <f t="shared" si="271"/>
        <v>0</v>
      </c>
    </row>
    <row r="640" spans="1:14" ht="50.95" outlineLevel="2" x14ac:dyDescent="0.3">
      <c r="A640" s="189" t="s">
        <v>17</v>
      </c>
      <c r="B640" s="392" t="s">
        <v>490</v>
      </c>
      <c r="C640" s="392" t="s">
        <v>77</v>
      </c>
      <c r="D640" s="392" t="s">
        <v>232</v>
      </c>
      <c r="E640" s="392" t="s">
        <v>18</v>
      </c>
      <c r="F640" s="475">
        <v>64995.03</v>
      </c>
      <c r="G640" s="449">
        <f>'потребность 2023 (5)'!K665</f>
        <v>70000</v>
      </c>
      <c r="H640" s="449"/>
      <c r="I640" s="449">
        <v>70000</v>
      </c>
      <c r="J640" s="449">
        <v>70000</v>
      </c>
      <c r="K640" s="462">
        <f t="shared" si="272"/>
        <v>100</v>
      </c>
      <c r="L640" s="462">
        <f t="shared" si="273"/>
        <v>0</v>
      </c>
      <c r="M640" s="449">
        <v>70000</v>
      </c>
      <c r="N640" s="178">
        <f t="shared" si="271"/>
        <v>0</v>
      </c>
    </row>
    <row r="641" spans="1:14" ht="67.95" outlineLevel="2" x14ac:dyDescent="0.3">
      <c r="A641" s="452" t="s">
        <v>1103</v>
      </c>
      <c r="B641" s="451" t="s">
        <v>490</v>
      </c>
      <c r="C641" s="451" t="s">
        <v>77</v>
      </c>
      <c r="D641" s="453" t="s">
        <v>1104</v>
      </c>
      <c r="E641" s="451" t="s">
        <v>6</v>
      </c>
      <c r="F641" s="476">
        <f>F643</f>
        <v>5000</v>
      </c>
      <c r="G641" s="449"/>
      <c r="H641" s="449"/>
      <c r="I641" s="449"/>
      <c r="J641" s="449"/>
      <c r="K641" s="462" t="e">
        <f t="shared" si="272"/>
        <v>#DIV/0!</v>
      </c>
      <c r="L641" s="462">
        <f t="shared" si="273"/>
        <v>0</v>
      </c>
      <c r="M641" s="449"/>
      <c r="N641" s="178">
        <f t="shared" si="271"/>
        <v>0</v>
      </c>
    </row>
    <row r="642" spans="1:14" ht="34" outlineLevel="2" x14ac:dyDescent="0.3">
      <c r="A642" s="452" t="s">
        <v>15</v>
      </c>
      <c r="B642" s="451" t="s">
        <v>490</v>
      </c>
      <c r="C642" s="451" t="s">
        <v>77</v>
      </c>
      <c r="D642" s="453" t="s">
        <v>1104</v>
      </c>
      <c r="E642" s="451" t="s">
        <v>16</v>
      </c>
      <c r="F642" s="476">
        <f>F643</f>
        <v>5000</v>
      </c>
      <c r="G642" s="449"/>
      <c r="H642" s="449"/>
      <c r="I642" s="449"/>
      <c r="J642" s="449"/>
      <c r="K642" s="462" t="e">
        <f t="shared" si="272"/>
        <v>#DIV/0!</v>
      </c>
      <c r="L642" s="462">
        <f t="shared" si="273"/>
        <v>0</v>
      </c>
      <c r="M642" s="449"/>
      <c r="N642" s="178">
        <f t="shared" si="271"/>
        <v>0</v>
      </c>
    </row>
    <row r="643" spans="1:14" ht="50.95" outlineLevel="2" x14ac:dyDescent="0.3">
      <c r="A643" s="452" t="s">
        <v>17</v>
      </c>
      <c r="B643" s="451" t="s">
        <v>490</v>
      </c>
      <c r="C643" s="451" t="s">
        <v>77</v>
      </c>
      <c r="D643" s="453" t="s">
        <v>1104</v>
      </c>
      <c r="E643" s="451" t="s">
        <v>18</v>
      </c>
      <c r="F643" s="475">
        <v>5000</v>
      </c>
      <c r="G643" s="449"/>
      <c r="H643" s="449"/>
      <c r="I643" s="449"/>
      <c r="J643" s="449"/>
      <c r="K643" s="462" t="e">
        <f t="shared" si="272"/>
        <v>#DIV/0!</v>
      </c>
      <c r="L643" s="462">
        <f t="shared" si="273"/>
        <v>0</v>
      </c>
      <c r="M643" s="449"/>
      <c r="N643" s="178">
        <f t="shared" si="271"/>
        <v>0</v>
      </c>
    </row>
    <row r="644" spans="1:14" s="224" customFormat="1" ht="34" outlineLevel="3" x14ac:dyDescent="0.3">
      <c r="A644" s="189" t="s">
        <v>267</v>
      </c>
      <c r="B644" s="392" t="s">
        <v>490</v>
      </c>
      <c r="C644" s="392" t="s">
        <v>77</v>
      </c>
      <c r="D644" s="392" t="s">
        <v>220</v>
      </c>
      <c r="E644" s="392" t="s">
        <v>6</v>
      </c>
      <c r="F644" s="476"/>
      <c r="G644" s="449">
        <f>G645</f>
        <v>0</v>
      </c>
      <c r="H644" s="449"/>
      <c r="I644" s="449">
        <f>I645</f>
        <v>0</v>
      </c>
      <c r="J644" s="467"/>
      <c r="K644" s="462" t="e">
        <f t="shared" si="272"/>
        <v>#DIV/0!</v>
      </c>
      <c r="L644" s="462">
        <f t="shared" si="273"/>
        <v>0</v>
      </c>
      <c r="M644" s="467"/>
      <c r="N644" s="178">
        <f t="shared" si="271"/>
        <v>0</v>
      </c>
    </row>
    <row r="645" spans="1:14" s="224" customFormat="1" ht="61.15" customHeight="1" outlineLevel="3" x14ac:dyDescent="0.3">
      <c r="A645" s="185" t="s">
        <v>937</v>
      </c>
      <c r="B645" s="392" t="s">
        <v>490</v>
      </c>
      <c r="C645" s="392" t="s">
        <v>77</v>
      </c>
      <c r="D645" s="392" t="s">
        <v>152</v>
      </c>
      <c r="E645" s="392" t="s">
        <v>6</v>
      </c>
      <c r="F645" s="476"/>
      <c r="G645" s="462">
        <f>G646+G650+G648</f>
        <v>0</v>
      </c>
      <c r="H645" s="462"/>
      <c r="I645" s="462">
        <f>I646+I650+I648</f>
        <v>0</v>
      </c>
      <c r="J645" s="467"/>
      <c r="K645" s="462" t="e">
        <f t="shared" si="272"/>
        <v>#DIV/0!</v>
      </c>
      <c r="L645" s="462">
        <f t="shared" si="273"/>
        <v>0</v>
      </c>
      <c r="M645" s="467"/>
      <c r="N645" s="178">
        <f t="shared" si="271"/>
        <v>0</v>
      </c>
    </row>
    <row r="646" spans="1:14" ht="34" outlineLevel="5" x14ac:dyDescent="0.3">
      <c r="A646" s="189" t="s">
        <v>15</v>
      </c>
      <c r="B646" s="392" t="s">
        <v>490</v>
      </c>
      <c r="C646" s="392" t="s">
        <v>77</v>
      </c>
      <c r="D646" s="392" t="s">
        <v>152</v>
      </c>
      <c r="E646" s="392" t="s">
        <v>16</v>
      </c>
      <c r="F646" s="475"/>
      <c r="G646" s="462">
        <v>0</v>
      </c>
      <c r="H646" s="462"/>
      <c r="I646" s="462">
        <v>0</v>
      </c>
      <c r="J646" s="449"/>
      <c r="K646" s="462" t="e">
        <f t="shared" si="272"/>
        <v>#DIV/0!</v>
      </c>
      <c r="L646" s="462">
        <f t="shared" si="273"/>
        <v>0</v>
      </c>
      <c r="M646" s="449"/>
      <c r="N646" s="178">
        <f t="shared" si="271"/>
        <v>0</v>
      </c>
    </row>
    <row r="647" spans="1:14" ht="50.95" outlineLevel="6" x14ac:dyDescent="0.3">
      <c r="A647" s="189" t="s">
        <v>17</v>
      </c>
      <c r="B647" s="392" t="s">
        <v>490</v>
      </c>
      <c r="C647" s="392" t="s">
        <v>77</v>
      </c>
      <c r="D647" s="392" t="s">
        <v>152</v>
      </c>
      <c r="E647" s="392" t="s">
        <v>18</v>
      </c>
      <c r="F647" s="462"/>
      <c r="G647" s="449">
        <v>0</v>
      </c>
      <c r="H647" s="449"/>
      <c r="I647" s="449">
        <v>0</v>
      </c>
      <c r="J647" s="449"/>
      <c r="K647" s="462" t="e">
        <f t="shared" si="272"/>
        <v>#DIV/0!</v>
      </c>
      <c r="L647" s="462">
        <f t="shared" si="273"/>
        <v>0</v>
      </c>
      <c r="M647" s="449"/>
      <c r="N647" s="178">
        <f t="shared" si="271"/>
        <v>0</v>
      </c>
    </row>
    <row r="648" spans="1:14" ht="34" outlineLevel="7" x14ac:dyDescent="0.3">
      <c r="A648" s="189" t="s">
        <v>90</v>
      </c>
      <c r="B648" s="392" t="s">
        <v>490</v>
      </c>
      <c r="C648" s="392" t="s">
        <v>77</v>
      </c>
      <c r="D648" s="392" t="s">
        <v>152</v>
      </c>
      <c r="E648" s="392" t="s">
        <v>91</v>
      </c>
      <c r="F648" s="462"/>
      <c r="G648" s="462">
        <v>0</v>
      </c>
      <c r="H648" s="462"/>
      <c r="I648" s="462">
        <v>0</v>
      </c>
      <c r="J648" s="449"/>
      <c r="K648" s="462" t="e">
        <f t="shared" si="272"/>
        <v>#DIV/0!</v>
      </c>
      <c r="L648" s="462">
        <f t="shared" si="273"/>
        <v>0</v>
      </c>
      <c r="M648" s="449"/>
      <c r="N648" s="178">
        <f t="shared" ref="N648:N711" si="300">M648-J648</f>
        <v>0</v>
      </c>
    </row>
    <row r="649" spans="1:14" ht="34" outlineLevel="6" x14ac:dyDescent="0.3">
      <c r="A649" s="189" t="s">
        <v>97</v>
      </c>
      <c r="B649" s="392" t="s">
        <v>490</v>
      </c>
      <c r="C649" s="392" t="s">
        <v>77</v>
      </c>
      <c r="D649" s="392" t="s">
        <v>152</v>
      </c>
      <c r="E649" s="392" t="s">
        <v>98</v>
      </c>
      <c r="F649" s="462"/>
      <c r="G649" s="449">
        <v>0</v>
      </c>
      <c r="H649" s="449"/>
      <c r="I649" s="449">
        <v>0</v>
      </c>
      <c r="J649" s="449"/>
      <c r="K649" s="462" t="e">
        <f t="shared" ref="K649:K712" si="301">J649/G649*100</f>
        <v>#DIV/0!</v>
      </c>
      <c r="L649" s="462">
        <f t="shared" ref="L649:L712" si="302">J649-G649</f>
        <v>0</v>
      </c>
      <c r="M649" s="449"/>
      <c r="N649" s="178">
        <f t="shared" si="300"/>
        <v>0</v>
      </c>
    </row>
    <row r="650" spans="1:14" ht="21.25" customHeight="1" outlineLevel="7" x14ac:dyDescent="0.3">
      <c r="A650" s="189" t="s">
        <v>37</v>
      </c>
      <c r="B650" s="392" t="s">
        <v>490</v>
      </c>
      <c r="C650" s="392" t="s">
        <v>77</v>
      </c>
      <c r="D650" s="392" t="s">
        <v>152</v>
      </c>
      <c r="E650" s="392" t="s">
        <v>38</v>
      </c>
      <c r="F650" s="462"/>
      <c r="G650" s="462">
        <v>0</v>
      </c>
      <c r="H650" s="462"/>
      <c r="I650" s="462">
        <v>0</v>
      </c>
      <c r="J650" s="449"/>
      <c r="K650" s="462" t="e">
        <f t="shared" si="301"/>
        <v>#DIV/0!</v>
      </c>
      <c r="L650" s="462">
        <f t="shared" si="302"/>
        <v>0</v>
      </c>
      <c r="M650" s="449"/>
      <c r="N650" s="178">
        <f t="shared" si="300"/>
        <v>0</v>
      </c>
    </row>
    <row r="651" spans="1:14" outlineLevel="7" x14ac:dyDescent="0.3">
      <c r="A651" s="189" t="s">
        <v>74</v>
      </c>
      <c r="B651" s="392" t="s">
        <v>490</v>
      </c>
      <c r="C651" s="392" t="s">
        <v>77</v>
      </c>
      <c r="D651" s="392" t="s">
        <v>152</v>
      </c>
      <c r="E651" s="392" t="s">
        <v>75</v>
      </c>
      <c r="F651" s="462"/>
      <c r="G651" s="449">
        <v>0</v>
      </c>
      <c r="H651" s="449"/>
      <c r="I651" s="449">
        <v>0</v>
      </c>
      <c r="J651" s="449"/>
      <c r="K651" s="462" t="e">
        <f t="shared" si="301"/>
        <v>#DIV/0!</v>
      </c>
      <c r="L651" s="462">
        <f t="shared" si="302"/>
        <v>0</v>
      </c>
      <c r="M651" s="449"/>
      <c r="N651" s="178">
        <f t="shared" si="300"/>
        <v>0</v>
      </c>
    </row>
    <row r="652" spans="1:14" ht="34" outlineLevel="7" x14ac:dyDescent="0.3">
      <c r="A652" s="189" t="s">
        <v>234</v>
      </c>
      <c r="B652" s="392" t="s">
        <v>490</v>
      </c>
      <c r="C652" s="392" t="s">
        <v>77</v>
      </c>
      <c r="D652" s="392" t="s">
        <v>233</v>
      </c>
      <c r="E652" s="392" t="s">
        <v>6</v>
      </c>
      <c r="F652" s="476">
        <f t="shared" ref="F652:J654" si="303">F653</f>
        <v>125000</v>
      </c>
      <c r="G652" s="449">
        <f t="shared" si="303"/>
        <v>125000</v>
      </c>
      <c r="H652" s="449"/>
      <c r="I652" s="449">
        <f t="shared" si="303"/>
        <v>125000</v>
      </c>
      <c r="J652" s="449">
        <f t="shared" si="303"/>
        <v>125000</v>
      </c>
      <c r="K652" s="462">
        <f t="shared" si="301"/>
        <v>100</v>
      </c>
      <c r="L652" s="462">
        <f t="shared" si="302"/>
        <v>0</v>
      </c>
      <c r="M652" s="449">
        <f t="shared" ref="M652:M654" si="304">M653</f>
        <v>125000</v>
      </c>
      <c r="N652" s="178">
        <f t="shared" si="300"/>
        <v>0</v>
      </c>
    </row>
    <row r="653" spans="1:14" ht="34" outlineLevel="5" x14ac:dyDescent="0.3">
      <c r="A653" s="189" t="s">
        <v>78</v>
      </c>
      <c r="B653" s="392" t="s">
        <v>490</v>
      </c>
      <c r="C653" s="392" t="s">
        <v>77</v>
      </c>
      <c r="D653" s="392" t="s">
        <v>153</v>
      </c>
      <c r="E653" s="392" t="s">
        <v>6</v>
      </c>
      <c r="F653" s="471">
        <f t="shared" si="303"/>
        <v>125000</v>
      </c>
      <c r="G653" s="462">
        <f t="shared" si="303"/>
        <v>125000</v>
      </c>
      <c r="H653" s="462"/>
      <c r="I653" s="462">
        <f t="shared" si="303"/>
        <v>125000</v>
      </c>
      <c r="J653" s="462">
        <f t="shared" si="303"/>
        <v>125000</v>
      </c>
      <c r="K653" s="462">
        <f t="shared" si="301"/>
        <v>100</v>
      </c>
      <c r="L653" s="462">
        <f t="shared" si="302"/>
        <v>0</v>
      </c>
      <c r="M653" s="462">
        <f t="shared" si="304"/>
        <v>125000</v>
      </c>
      <c r="N653" s="178">
        <f t="shared" si="300"/>
        <v>0</v>
      </c>
    </row>
    <row r="654" spans="1:14" ht="34" outlineLevel="6" x14ac:dyDescent="0.3">
      <c r="A654" s="189" t="s">
        <v>15</v>
      </c>
      <c r="B654" s="392" t="s">
        <v>490</v>
      </c>
      <c r="C654" s="392" t="s">
        <v>77</v>
      </c>
      <c r="D654" s="392" t="s">
        <v>153</v>
      </c>
      <c r="E654" s="392" t="s">
        <v>16</v>
      </c>
      <c r="F654" s="471">
        <f t="shared" si="303"/>
        <v>125000</v>
      </c>
      <c r="G654" s="462">
        <f t="shared" si="303"/>
        <v>125000</v>
      </c>
      <c r="H654" s="462"/>
      <c r="I654" s="462">
        <f t="shared" si="303"/>
        <v>125000</v>
      </c>
      <c r="J654" s="462">
        <f t="shared" si="303"/>
        <v>125000</v>
      </c>
      <c r="K654" s="462">
        <f t="shared" si="301"/>
        <v>100</v>
      </c>
      <c r="L654" s="462">
        <f t="shared" si="302"/>
        <v>0</v>
      </c>
      <c r="M654" s="462">
        <f t="shared" si="304"/>
        <v>125000</v>
      </c>
      <c r="N654" s="178">
        <f t="shared" si="300"/>
        <v>0</v>
      </c>
    </row>
    <row r="655" spans="1:14" ht="50.95" outlineLevel="7" x14ac:dyDescent="0.3">
      <c r="A655" s="189" t="s">
        <v>17</v>
      </c>
      <c r="B655" s="392" t="s">
        <v>490</v>
      </c>
      <c r="C655" s="392" t="s">
        <v>77</v>
      </c>
      <c r="D655" s="392" t="s">
        <v>153</v>
      </c>
      <c r="E655" s="392" t="s">
        <v>18</v>
      </c>
      <c r="F655" s="475">
        <v>125000</v>
      </c>
      <c r="G655" s="449">
        <f>'потребность 2023 (5)'!K677</f>
        <v>125000</v>
      </c>
      <c r="H655" s="449"/>
      <c r="I655" s="449">
        <v>125000</v>
      </c>
      <c r="J655" s="449">
        <v>125000</v>
      </c>
      <c r="K655" s="462">
        <f t="shared" si="301"/>
        <v>100</v>
      </c>
      <c r="L655" s="462">
        <f t="shared" si="302"/>
        <v>0</v>
      </c>
      <c r="M655" s="449">
        <v>125000</v>
      </c>
      <c r="N655" s="178">
        <f t="shared" si="300"/>
        <v>0</v>
      </c>
    </row>
    <row r="656" spans="1:14" outlineLevel="6" x14ac:dyDescent="0.3">
      <c r="A656" s="189" t="s">
        <v>116</v>
      </c>
      <c r="B656" s="392" t="s">
        <v>490</v>
      </c>
      <c r="C656" s="392" t="s">
        <v>117</v>
      </c>
      <c r="D656" s="392" t="s">
        <v>126</v>
      </c>
      <c r="E656" s="392" t="s">
        <v>6</v>
      </c>
      <c r="F656" s="471">
        <f>F657</f>
        <v>6896068.7999999998</v>
      </c>
      <c r="G656" s="462">
        <f>G657</f>
        <v>24167309</v>
      </c>
      <c r="H656" s="462"/>
      <c r="I656" s="462">
        <f>I657</f>
        <v>22693236</v>
      </c>
      <c r="J656" s="462">
        <f>J657</f>
        <v>27221706</v>
      </c>
      <c r="K656" s="462">
        <f t="shared" si="301"/>
        <v>112.63854821403574</v>
      </c>
      <c r="L656" s="462">
        <f t="shared" si="302"/>
        <v>3054397</v>
      </c>
      <c r="M656" s="462">
        <f>M657</f>
        <v>26621706</v>
      </c>
      <c r="N656" s="178">
        <f t="shared" si="300"/>
        <v>-600000</v>
      </c>
    </row>
    <row r="657" spans="1:14" ht="46.55" customHeight="1" outlineLevel="7" x14ac:dyDescent="0.3">
      <c r="A657" s="233" t="s">
        <v>1041</v>
      </c>
      <c r="B657" s="397" t="s">
        <v>490</v>
      </c>
      <c r="C657" s="397" t="s">
        <v>117</v>
      </c>
      <c r="D657" s="397" t="s">
        <v>138</v>
      </c>
      <c r="E657" s="397" t="s">
        <v>6</v>
      </c>
      <c r="F657" s="501">
        <f>F658</f>
        <v>6896068.7999999998</v>
      </c>
      <c r="G657" s="485">
        <f>G658+G676</f>
        <v>24167309</v>
      </c>
      <c r="H657" s="485"/>
      <c r="I657" s="485">
        <f>I658+I676</f>
        <v>22693236</v>
      </c>
      <c r="J657" s="485">
        <f>J658+J676</f>
        <v>27221706</v>
      </c>
      <c r="K657" s="462">
        <f t="shared" si="301"/>
        <v>112.63854821403574</v>
      </c>
      <c r="L657" s="462">
        <f t="shared" si="302"/>
        <v>3054397</v>
      </c>
      <c r="M657" s="485">
        <f>M658+M676</f>
        <v>26621706</v>
      </c>
      <c r="N657" s="178">
        <f t="shared" si="300"/>
        <v>-600000</v>
      </c>
    </row>
    <row r="658" spans="1:14" ht="50.95" outlineLevel="6" x14ac:dyDescent="0.3">
      <c r="A658" s="189" t="s">
        <v>206</v>
      </c>
      <c r="B658" s="392" t="s">
        <v>490</v>
      </c>
      <c r="C658" s="392" t="s">
        <v>117</v>
      </c>
      <c r="D658" s="392" t="s">
        <v>223</v>
      </c>
      <c r="E658" s="392" t="s">
        <v>6</v>
      </c>
      <c r="F658" s="473">
        <f>F659+F664+F671</f>
        <v>6896068.7999999998</v>
      </c>
      <c r="G658" s="465">
        <f>G659+G666+G673</f>
        <v>24167309</v>
      </c>
      <c r="H658" s="465"/>
      <c r="I658" s="465">
        <f>I659+I666+I673</f>
        <v>22693236</v>
      </c>
      <c r="J658" s="465">
        <f>J659+J666+J673</f>
        <v>27221706</v>
      </c>
      <c r="K658" s="462">
        <f t="shared" si="301"/>
        <v>112.63854821403574</v>
      </c>
      <c r="L658" s="462">
        <f t="shared" si="302"/>
        <v>3054397</v>
      </c>
      <c r="M658" s="465">
        <f>M659+M666+M673</f>
        <v>26621706</v>
      </c>
      <c r="N658" s="178">
        <f t="shared" si="300"/>
        <v>-600000</v>
      </c>
    </row>
    <row r="659" spans="1:14" ht="39.75" customHeight="1" outlineLevel="7" x14ac:dyDescent="0.3">
      <c r="A659" s="189" t="s">
        <v>449</v>
      </c>
      <c r="B659" s="392" t="s">
        <v>490</v>
      </c>
      <c r="C659" s="392" t="s">
        <v>117</v>
      </c>
      <c r="D659" s="392" t="s">
        <v>489</v>
      </c>
      <c r="E659" s="392" t="s">
        <v>6</v>
      </c>
      <c r="F659" s="471">
        <f>F660+F662</f>
        <v>6864576.7999999998</v>
      </c>
      <c r="G659" s="462">
        <f>G660+G662+G664</f>
        <v>5629844</v>
      </c>
      <c r="H659" s="462"/>
      <c r="I659" s="462">
        <f>I660+I662+I664</f>
        <v>5442427</v>
      </c>
      <c r="J659" s="462">
        <f>J660+J662+J664</f>
        <v>6139000</v>
      </c>
      <c r="K659" s="462">
        <f t="shared" si="301"/>
        <v>109.04387403984906</v>
      </c>
      <c r="L659" s="462">
        <f t="shared" si="302"/>
        <v>509156</v>
      </c>
      <c r="M659" s="462">
        <f>M660+M662+M664</f>
        <v>6139000</v>
      </c>
      <c r="N659" s="178">
        <f t="shared" si="300"/>
        <v>0</v>
      </c>
    </row>
    <row r="660" spans="1:14" ht="101.9" outlineLevel="3" x14ac:dyDescent="0.3">
      <c r="A660" s="189" t="s">
        <v>11</v>
      </c>
      <c r="B660" s="392" t="s">
        <v>490</v>
      </c>
      <c r="C660" s="392" t="s">
        <v>117</v>
      </c>
      <c r="D660" s="392" t="s">
        <v>489</v>
      </c>
      <c r="E660" s="392" t="s">
        <v>12</v>
      </c>
      <c r="F660" s="471">
        <f>F661</f>
        <v>5344225</v>
      </c>
      <c r="G660" s="462">
        <f>G661</f>
        <v>5300410</v>
      </c>
      <c r="H660" s="462"/>
      <c r="I660" s="462">
        <f>I661</f>
        <v>5312427</v>
      </c>
      <c r="J660" s="462">
        <f>J661</f>
        <v>5859000</v>
      </c>
      <c r="K660" s="462">
        <f t="shared" si="301"/>
        <v>110.53861871062804</v>
      </c>
      <c r="L660" s="462">
        <f t="shared" si="302"/>
        <v>558590</v>
      </c>
      <c r="M660" s="462">
        <f>M661</f>
        <v>5859000</v>
      </c>
      <c r="N660" s="178">
        <f t="shared" si="300"/>
        <v>0</v>
      </c>
    </row>
    <row r="661" spans="1:14" ht="34" outlineLevel="3" x14ac:dyDescent="0.3">
      <c r="A661" s="189" t="s">
        <v>13</v>
      </c>
      <c r="B661" s="392" t="s">
        <v>490</v>
      </c>
      <c r="C661" s="392" t="s">
        <v>117</v>
      </c>
      <c r="D661" s="392" t="s">
        <v>489</v>
      </c>
      <c r="E661" s="392" t="s">
        <v>14</v>
      </c>
      <c r="F661" s="475">
        <v>5344225</v>
      </c>
      <c r="G661" s="449">
        <f>'потребность 2023 (5)'!K683</f>
        <v>5300410</v>
      </c>
      <c r="H661" s="449"/>
      <c r="I661" s="449">
        <v>5312427</v>
      </c>
      <c r="J661" s="449">
        <v>5859000</v>
      </c>
      <c r="K661" s="462">
        <f t="shared" si="301"/>
        <v>110.53861871062804</v>
      </c>
      <c r="L661" s="462">
        <f t="shared" si="302"/>
        <v>558590</v>
      </c>
      <c r="M661" s="449">
        <v>5859000</v>
      </c>
      <c r="N661" s="178">
        <f t="shared" si="300"/>
        <v>0</v>
      </c>
    </row>
    <row r="662" spans="1:14" ht="34" outlineLevel="3" x14ac:dyDescent="0.3">
      <c r="A662" s="189" t="s">
        <v>15</v>
      </c>
      <c r="B662" s="392" t="s">
        <v>490</v>
      </c>
      <c r="C662" s="392" t="s">
        <v>117</v>
      </c>
      <c r="D662" s="392" t="s">
        <v>489</v>
      </c>
      <c r="E662" s="392" t="s">
        <v>16</v>
      </c>
      <c r="F662" s="471">
        <f>F663</f>
        <v>1520351.8</v>
      </c>
      <c r="G662" s="462">
        <f>G663</f>
        <v>329434</v>
      </c>
      <c r="H662" s="462"/>
      <c r="I662" s="462">
        <f>I663</f>
        <v>130000</v>
      </c>
      <c r="J662" s="462">
        <f>J663</f>
        <v>280000</v>
      </c>
      <c r="K662" s="462">
        <f t="shared" si="301"/>
        <v>84.994262887255118</v>
      </c>
      <c r="L662" s="462">
        <f t="shared" si="302"/>
        <v>-49434</v>
      </c>
      <c r="M662" s="462">
        <f>M663</f>
        <v>280000</v>
      </c>
      <c r="N662" s="178">
        <f t="shared" si="300"/>
        <v>0</v>
      </c>
    </row>
    <row r="663" spans="1:14" s="224" customFormat="1" ht="46.2" customHeight="1" outlineLevel="3" x14ac:dyDescent="0.3">
      <c r="A663" s="189" t="s">
        <v>17</v>
      </c>
      <c r="B663" s="392" t="s">
        <v>490</v>
      </c>
      <c r="C663" s="392" t="s">
        <v>117</v>
      </c>
      <c r="D663" s="392" t="s">
        <v>489</v>
      </c>
      <c r="E663" s="392" t="s">
        <v>18</v>
      </c>
      <c r="F663" s="475">
        <v>1520351.8</v>
      </c>
      <c r="G663" s="449">
        <f>'потребность 2023 (5)'!K685+135774+93660</f>
        <v>329434</v>
      </c>
      <c r="H663" s="449"/>
      <c r="I663" s="449">
        <v>130000</v>
      </c>
      <c r="J663" s="467">
        <v>280000</v>
      </c>
      <c r="K663" s="462">
        <f t="shared" si="301"/>
        <v>84.994262887255118</v>
      </c>
      <c r="L663" s="462">
        <f t="shared" si="302"/>
        <v>-49434</v>
      </c>
      <c r="M663" s="467">
        <v>280000</v>
      </c>
      <c r="N663" s="178">
        <f t="shared" si="300"/>
        <v>0</v>
      </c>
    </row>
    <row r="664" spans="1:14" outlineLevel="3" x14ac:dyDescent="0.3">
      <c r="A664" s="189" t="s">
        <v>19</v>
      </c>
      <c r="B664" s="392" t="s">
        <v>490</v>
      </c>
      <c r="C664" s="392" t="s">
        <v>117</v>
      </c>
      <c r="D664" s="392" t="s">
        <v>489</v>
      </c>
      <c r="E664" s="392" t="s">
        <v>20</v>
      </c>
      <c r="F664" s="462" t="s">
        <v>838</v>
      </c>
      <c r="G664" s="449">
        <f>G665</f>
        <v>0</v>
      </c>
      <c r="H664" s="449"/>
      <c r="I664" s="449">
        <f>I665</f>
        <v>0</v>
      </c>
      <c r="J664" s="449">
        <f>J665</f>
        <v>0</v>
      </c>
      <c r="K664" s="462" t="e">
        <f t="shared" si="301"/>
        <v>#DIV/0!</v>
      </c>
      <c r="L664" s="462">
        <f t="shared" si="302"/>
        <v>0</v>
      </c>
      <c r="M664" s="449">
        <f>M665</f>
        <v>0</v>
      </c>
      <c r="N664" s="178">
        <f t="shared" si="300"/>
        <v>0</v>
      </c>
    </row>
    <row r="665" spans="1:14" s="224" customFormat="1" outlineLevel="3" x14ac:dyDescent="0.3">
      <c r="A665" s="189" t="s">
        <v>21</v>
      </c>
      <c r="B665" s="392" t="s">
        <v>490</v>
      </c>
      <c r="C665" s="392" t="s">
        <v>117</v>
      </c>
      <c r="D665" s="392" t="s">
        <v>489</v>
      </c>
      <c r="E665" s="392" t="s">
        <v>22</v>
      </c>
      <c r="F665" s="462" t="s">
        <v>838</v>
      </c>
      <c r="G665" s="449">
        <f>'потребность 2023 (5)'!K687</f>
        <v>0</v>
      </c>
      <c r="H665" s="449"/>
      <c r="I665" s="449">
        <f>'потребность 2023 (5)'!L687</f>
        <v>0</v>
      </c>
      <c r="J665" s="467">
        <v>0</v>
      </c>
      <c r="K665" s="462" t="e">
        <f t="shared" si="301"/>
        <v>#DIV/0!</v>
      </c>
      <c r="L665" s="462">
        <f t="shared" si="302"/>
        <v>0</v>
      </c>
      <c r="M665" s="467">
        <v>0</v>
      </c>
      <c r="N665" s="178">
        <f t="shared" si="300"/>
        <v>0</v>
      </c>
    </row>
    <row r="666" spans="1:14" ht="50.95" outlineLevel="3" x14ac:dyDescent="0.3">
      <c r="A666" s="189" t="s">
        <v>33</v>
      </c>
      <c r="B666" s="392" t="s">
        <v>490</v>
      </c>
      <c r="C666" s="392" t="s">
        <v>117</v>
      </c>
      <c r="D666" s="392" t="s">
        <v>154</v>
      </c>
      <c r="E666" s="392" t="s">
        <v>6</v>
      </c>
      <c r="F666" s="471">
        <f>F667+F669+F671</f>
        <v>15427760.949999999</v>
      </c>
      <c r="G666" s="462">
        <f>G667+G669+G671</f>
        <v>15964460</v>
      </c>
      <c r="H666" s="462"/>
      <c r="I666" s="462">
        <f>I667+I669+I671</f>
        <v>14893909</v>
      </c>
      <c r="J666" s="462">
        <f>J667+J669+J671</f>
        <v>18208682</v>
      </c>
      <c r="K666" s="462">
        <f t="shared" si="301"/>
        <v>114.05761297281587</v>
      </c>
      <c r="L666" s="462">
        <f t="shared" si="302"/>
        <v>2244222</v>
      </c>
      <c r="M666" s="462">
        <f>M667+M669+M671</f>
        <v>17608682</v>
      </c>
      <c r="N666" s="178">
        <f t="shared" si="300"/>
        <v>-600000</v>
      </c>
    </row>
    <row r="667" spans="1:14" ht="101.9" outlineLevel="3" x14ac:dyDescent="0.3">
      <c r="A667" s="189" t="s">
        <v>11</v>
      </c>
      <c r="B667" s="392" t="s">
        <v>490</v>
      </c>
      <c r="C667" s="392" t="s">
        <v>117</v>
      </c>
      <c r="D667" s="392" t="s">
        <v>154</v>
      </c>
      <c r="E667" s="392" t="s">
        <v>12</v>
      </c>
      <c r="F667" s="471">
        <f>F668</f>
        <v>12735228.189999999</v>
      </c>
      <c r="G667" s="462">
        <f>G668</f>
        <v>12697995</v>
      </c>
      <c r="H667" s="462"/>
      <c r="I667" s="462">
        <f>I668</f>
        <v>12715139</v>
      </c>
      <c r="J667" s="462">
        <f>J668</f>
        <v>14549508</v>
      </c>
      <c r="K667" s="462">
        <f t="shared" si="301"/>
        <v>114.58114450352201</v>
      </c>
      <c r="L667" s="462">
        <f t="shared" si="302"/>
        <v>1851513</v>
      </c>
      <c r="M667" s="462">
        <f>M668</f>
        <v>14549508</v>
      </c>
      <c r="N667" s="178">
        <f t="shared" si="300"/>
        <v>0</v>
      </c>
    </row>
    <row r="668" spans="1:14" ht="34" outlineLevel="3" x14ac:dyDescent="0.3">
      <c r="A668" s="189" t="s">
        <v>34</v>
      </c>
      <c r="B668" s="392" t="s">
        <v>490</v>
      </c>
      <c r="C668" s="392" t="s">
        <v>117</v>
      </c>
      <c r="D668" s="392" t="s">
        <v>154</v>
      </c>
      <c r="E668" s="392" t="s">
        <v>35</v>
      </c>
      <c r="F668" s="475">
        <v>12735228.189999999</v>
      </c>
      <c r="G668" s="449">
        <f>'потребность 2023 (5)'!K690+45140</f>
        <v>12697995</v>
      </c>
      <c r="H668" s="449"/>
      <c r="I668" s="449">
        <v>12715139</v>
      </c>
      <c r="J668" s="449">
        <v>14549508</v>
      </c>
      <c r="K668" s="462">
        <f t="shared" si="301"/>
        <v>114.58114450352201</v>
      </c>
      <c r="L668" s="462">
        <f t="shared" si="302"/>
        <v>1851513</v>
      </c>
      <c r="M668" s="449">
        <v>14549508</v>
      </c>
      <c r="N668" s="178">
        <f t="shared" si="300"/>
        <v>0</v>
      </c>
    </row>
    <row r="669" spans="1:14" ht="34" outlineLevel="3" x14ac:dyDescent="0.3">
      <c r="A669" s="189" t="s">
        <v>15</v>
      </c>
      <c r="B669" s="392" t="s">
        <v>490</v>
      </c>
      <c r="C669" s="392" t="s">
        <v>117</v>
      </c>
      <c r="D669" s="392" t="s">
        <v>154</v>
      </c>
      <c r="E669" s="392" t="s">
        <v>16</v>
      </c>
      <c r="F669" s="471">
        <f>F670</f>
        <v>2661040.7599999998</v>
      </c>
      <c r="G669" s="462">
        <f>G670</f>
        <v>3228400</v>
      </c>
      <c r="H669" s="462"/>
      <c r="I669" s="462">
        <f>I670</f>
        <v>2141434</v>
      </c>
      <c r="J669" s="462">
        <f>J670</f>
        <v>3627694</v>
      </c>
      <c r="K669" s="462">
        <f t="shared" si="301"/>
        <v>112.36816999132697</v>
      </c>
      <c r="L669" s="462">
        <f t="shared" si="302"/>
        <v>399294</v>
      </c>
      <c r="M669" s="462">
        <f>M670</f>
        <v>3027694</v>
      </c>
      <c r="N669" s="178">
        <f t="shared" si="300"/>
        <v>-600000</v>
      </c>
    </row>
    <row r="670" spans="1:14" ht="50.95" outlineLevel="3" x14ac:dyDescent="0.3">
      <c r="A670" s="189" t="s">
        <v>17</v>
      </c>
      <c r="B670" s="392" t="s">
        <v>490</v>
      </c>
      <c r="C670" s="392" t="s">
        <v>117</v>
      </c>
      <c r="D670" s="392" t="s">
        <v>154</v>
      </c>
      <c r="E670" s="392" t="s">
        <v>18</v>
      </c>
      <c r="F670" s="475">
        <v>2661040.7599999998</v>
      </c>
      <c r="G670" s="449">
        <f>'потребность 2023 (5)'!K692+28400</f>
        <v>3228400</v>
      </c>
      <c r="H670" s="449"/>
      <c r="I670" s="449">
        <v>2141434</v>
      </c>
      <c r="J670" s="449">
        <v>3627694</v>
      </c>
      <c r="K670" s="462">
        <f t="shared" si="301"/>
        <v>112.36816999132697</v>
      </c>
      <c r="L670" s="462">
        <f t="shared" si="302"/>
        <v>399294</v>
      </c>
      <c r="M670" s="449">
        <f>3627694-600000</f>
        <v>3027694</v>
      </c>
      <c r="N670" s="178">
        <f t="shared" si="300"/>
        <v>-600000</v>
      </c>
    </row>
    <row r="671" spans="1:14" s="224" customFormat="1" ht="36.700000000000003" customHeight="1" outlineLevel="3" x14ac:dyDescent="0.3">
      <c r="A671" s="189" t="s">
        <v>19</v>
      </c>
      <c r="B671" s="392" t="s">
        <v>490</v>
      </c>
      <c r="C671" s="392" t="s">
        <v>117</v>
      </c>
      <c r="D671" s="392" t="s">
        <v>154</v>
      </c>
      <c r="E671" s="392" t="s">
        <v>20</v>
      </c>
      <c r="F671" s="475">
        <v>31492</v>
      </c>
      <c r="G671" s="462">
        <f>G672</f>
        <v>38065</v>
      </c>
      <c r="H671" s="462"/>
      <c r="I671" s="462">
        <f>I672</f>
        <v>37336</v>
      </c>
      <c r="J671" s="462">
        <f>J672</f>
        <v>31480</v>
      </c>
      <c r="K671" s="462">
        <f t="shared" si="301"/>
        <v>82.700643635885982</v>
      </c>
      <c r="L671" s="462">
        <f t="shared" si="302"/>
        <v>-6585</v>
      </c>
      <c r="M671" s="462">
        <f>M672</f>
        <v>31480</v>
      </c>
      <c r="N671" s="178">
        <f t="shared" si="300"/>
        <v>0</v>
      </c>
    </row>
    <row r="672" spans="1:14" ht="34.65" customHeight="1" outlineLevel="3" x14ac:dyDescent="0.3">
      <c r="A672" s="189" t="s">
        <v>21</v>
      </c>
      <c r="B672" s="392" t="s">
        <v>490</v>
      </c>
      <c r="C672" s="392" t="s">
        <v>117</v>
      </c>
      <c r="D672" s="392" t="s">
        <v>154</v>
      </c>
      <c r="E672" s="392" t="s">
        <v>22</v>
      </c>
      <c r="F672" s="475">
        <v>31492</v>
      </c>
      <c r="G672" s="449">
        <f>'потребность 2023 (5)'!K694</f>
        <v>38065</v>
      </c>
      <c r="H672" s="449"/>
      <c r="I672" s="449">
        <v>37336</v>
      </c>
      <c r="J672" s="449">
        <v>31480</v>
      </c>
      <c r="K672" s="462">
        <f t="shared" si="301"/>
        <v>82.700643635885982</v>
      </c>
      <c r="L672" s="462">
        <f t="shared" si="302"/>
        <v>-6585</v>
      </c>
      <c r="M672" s="449">
        <v>31480</v>
      </c>
      <c r="N672" s="178">
        <f t="shared" si="300"/>
        <v>0</v>
      </c>
    </row>
    <row r="673" spans="1:14" ht="48.9" customHeight="1" outlineLevel="3" x14ac:dyDescent="0.3">
      <c r="A673" s="189" t="s">
        <v>36</v>
      </c>
      <c r="B673" s="392" t="s">
        <v>490</v>
      </c>
      <c r="C673" s="392" t="s">
        <v>117</v>
      </c>
      <c r="D673" s="392" t="s">
        <v>155</v>
      </c>
      <c r="E673" s="392" t="s">
        <v>6</v>
      </c>
      <c r="F673" s="471">
        <f>F674</f>
        <v>2283362.3199999998</v>
      </c>
      <c r="G673" s="462">
        <f t="shared" ref="G673:J674" si="305">G674</f>
        <v>2573005</v>
      </c>
      <c r="H673" s="462"/>
      <c r="I673" s="462">
        <f t="shared" si="305"/>
        <v>2356900</v>
      </c>
      <c r="J673" s="462">
        <f t="shared" si="305"/>
        <v>2874024</v>
      </c>
      <c r="K673" s="462">
        <f t="shared" si="301"/>
        <v>111.69912223256463</v>
      </c>
      <c r="L673" s="462">
        <f t="shared" si="302"/>
        <v>301019</v>
      </c>
      <c r="M673" s="462">
        <f t="shared" ref="M673:M674" si="306">M674</f>
        <v>2874024</v>
      </c>
      <c r="N673" s="178">
        <f t="shared" si="300"/>
        <v>0</v>
      </c>
    </row>
    <row r="674" spans="1:14" ht="45.7" customHeight="1" outlineLevel="3" x14ac:dyDescent="0.3">
      <c r="A674" s="189" t="s">
        <v>37</v>
      </c>
      <c r="B674" s="392" t="s">
        <v>490</v>
      </c>
      <c r="C674" s="392" t="s">
        <v>117</v>
      </c>
      <c r="D674" s="392" t="s">
        <v>155</v>
      </c>
      <c r="E674" s="392" t="s">
        <v>38</v>
      </c>
      <c r="F674" s="471">
        <f>F675</f>
        <v>2283362.3199999998</v>
      </c>
      <c r="G674" s="462">
        <f t="shared" si="305"/>
        <v>2573005</v>
      </c>
      <c r="H674" s="462"/>
      <c r="I674" s="462">
        <f t="shared" si="305"/>
        <v>2356900</v>
      </c>
      <c r="J674" s="462">
        <f t="shared" si="305"/>
        <v>2874024</v>
      </c>
      <c r="K674" s="462">
        <f t="shared" si="301"/>
        <v>111.69912223256463</v>
      </c>
      <c r="L674" s="462">
        <f t="shared" si="302"/>
        <v>301019</v>
      </c>
      <c r="M674" s="462">
        <f t="shared" si="306"/>
        <v>2874024</v>
      </c>
      <c r="N674" s="178">
        <f t="shared" si="300"/>
        <v>0</v>
      </c>
    </row>
    <row r="675" spans="1:14" ht="22.75" customHeight="1" outlineLevel="3" x14ac:dyDescent="0.3">
      <c r="A675" s="189" t="s">
        <v>39</v>
      </c>
      <c r="B675" s="392" t="s">
        <v>490</v>
      </c>
      <c r="C675" s="392" t="s">
        <v>117</v>
      </c>
      <c r="D675" s="392" t="s">
        <v>155</v>
      </c>
      <c r="E675" s="392" t="s">
        <v>40</v>
      </c>
      <c r="F675" s="475">
        <v>2283362.3199999998</v>
      </c>
      <c r="G675" s="449">
        <f>'потребность 2023 (5)'!K697+306770</f>
        <v>2573005</v>
      </c>
      <c r="H675" s="449"/>
      <c r="I675" s="449">
        <v>2356900</v>
      </c>
      <c r="J675" s="449">
        <v>2874024</v>
      </c>
      <c r="K675" s="462">
        <f t="shared" si="301"/>
        <v>111.69912223256463</v>
      </c>
      <c r="L675" s="462">
        <f t="shared" si="302"/>
        <v>301019</v>
      </c>
      <c r="M675" s="449">
        <v>2874024</v>
      </c>
      <c r="N675" s="178">
        <f t="shared" si="300"/>
        <v>0</v>
      </c>
    </row>
    <row r="676" spans="1:14" ht="52.3" customHeight="1" outlineLevel="3" x14ac:dyDescent="0.3">
      <c r="A676" s="189" t="s">
        <v>1040</v>
      </c>
      <c r="B676" s="392" t="s">
        <v>490</v>
      </c>
      <c r="C676" s="392" t="s">
        <v>117</v>
      </c>
      <c r="D676" s="392" t="s">
        <v>146</v>
      </c>
      <c r="E676" s="392" t="s">
        <v>6</v>
      </c>
      <c r="F676" s="462">
        <f>F677</f>
        <v>0</v>
      </c>
      <c r="G676" s="449">
        <f t="shared" ref="G676:J677" si="307">G677</f>
        <v>0</v>
      </c>
      <c r="H676" s="449"/>
      <c r="I676" s="449">
        <f t="shared" si="307"/>
        <v>0</v>
      </c>
      <c r="J676" s="449">
        <f t="shared" si="307"/>
        <v>0</v>
      </c>
      <c r="K676" s="462" t="e">
        <f t="shared" si="301"/>
        <v>#DIV/0!</v>
      </c>
      <c r="L676" s="462">
        <f t="shared" si="302"/>
        <v>0</v>
      </c>
      <c r="M676" s="449">
        <f t="shared" ref="M676:M677" si="308">M677</f>
        <v>0</v>
      </c>
      <c r="N676" s="178">
        <f t="shared" si="300"/>
        <v>0</v>
      </c>
    </row>
    <row r="677" spans="1:14" ht="47.75" customHeight="1" outlineLevel="3" x14ac:dyDescent="0.3">
      <c r="A677" s="189" t="s">
        <v>267</v>
      </c>
      <c r="B677" s="392" t="s">
        <v>490</v>
      </c>
      <c r="C677" s="392" t="s">
        <v>117</v>
      </c>
      <c r="D677" s="392" t="s">
        <v>220</v>
      </c>
      <c r="E677" s="392" t="s">
        <v>6</v>
      </c>
      <c r="F677" s="476">
        <f>F678</f>
        <v>0</v>
      </c>
      <c r="G677" s="449">
        <f t="shared" si="307"/>
        <v>0</v>
      </c>
      <c r="H677" s="449"/>
      <c r="I677" s="449">
        <f t="shared" si="307"/>
        <v>0</v>
      </c>
      <c r="J677" s="449">
        <f t="shared" si="307"/>
        <v>0</v>
      </c>
      <c r="K677" s="462" t="e">
        <f t="shared" si="301"/>
        <v>#DIV/0!</v>
      </c>
      <c r="L677" s="462">
        <f t="shared" si="302"/>
        <v>0</v>
      </c>
      <c r="M677" s="449">
        <f t="shared" si="308"/>
        <v>0</v>
      </c>
      <c r="N677" s="178">
        <f t="shared" si="300"/>
        <v>0</v>
      </c>
    </row>
    <row r="678" spans="1:14" ht="86.3" customHeight="1" outlineLevel="3" x14ac:dyDescent="0.3">
      <c r="A678" s="185" t="s">
        <v>937</v>
      </c>
      <c r="B678" s="392" t="s">
        <v>490</v>
      </c>
      <c r="C678" s="392" t="s">
        <v>117</v>
      </c>
      <c r="D678" s="392" t="s">
        <v>152</v>
      </c>
      <c r="E678" s="392" t="s">
        <v>6</v>
      </c>
      <c r="F678" s="471">
        <v>0</v>
      </c>
      <c r="G678" s="449">
        <v>0</v>
      </c>
      <c r="H678" s="449"/>
      <c r="I678" s="449">
        <v>0</v>
      </c>
      <c r="J678" s="449">
        <f>J679+J681+J683</f>
        <v>0</v>
      </c>
      <c r="K678" s="462" t="e">
        <f t="shared" si="301"/>
        <v>#DIV/0!</v>
      </c>
      <c r="L678" s="462">
        <f t="shared" si="302"/>
        <v>0</v>
      </c>
      <c r="M678" s="449">
        <f>M679+M681+M683</f>
        <v>0</v>
      </c>
      <c r="N678" s="178">
        <f t="shared" si="300"/>
        <v>0</v>
      </c>
    </row>
    <row r="679" spans="1:14" ht="22.75" customHeight="1" outlineLevel="3" x14ac:dyDescent="0.3">
      <c r="A679" s="189" t="s">
        <v>15</v>
      </c>
      <c r="B679" s="392" t="s">
        <v>490</v>
      </c>
      <c r="C679" s="392" t="s">
        <v>117</v>
      </c>
      <c r="D679" s="392" t="s">
        <v>152</v>
      </c>
      <c r="E679" s="392" t="s">
        <v>16</v>
      </c>
      <c r="F679" s="471">
        <f>F680</f>
        <v>0</v>
      </c>
      <c r="G679" s="449">
        <f>G680</f>
        <v>0</v>
      </c>
      <c r="H679" s="449"/>
      <c r="I679" s="449">
        <f>I680</f>
        <v>0</v>
      </c>
      <c r="J679" s="449">
        <f>J680</f>
        <v>0</v>
      </c>
      <c r="K679" s="462" t="e">
        <f t="shared" si="301"/>
        <v>#DIV/0!</v>
      </c>
      <c r="L679" s="462">
        <f t="shared" si="302"/>
        <v>0</v>
      </c>
      <c r="M679" s="449">
        <f>M680</f>
        <v>0</v>
      </c>
      <c r="N679" s="178">
        <f t="shared" si="300"/>
        <v>0</v>
      </c>
    </row>
    <row r="680" spans="1:14" s="184" customFormat="1" ht="22.75" customHeight="1" outlineLevel="3" x14ac:dyDescent="0.3">
      <c r="A680" s="189" t="s">
        <v>17</v>
      </c>
      <c r="B680" s="392" t="s">
        <v>490</v>
      </c>
      <c r="C680" s="392" t="s">
        <v>117</v>
      </c>
      <c r="D680" s="392" t="s">
        <v>152</v>
      </c>
      <c r="E680" s="392" t="s">
        <v>18</v>
      </c>
      <c r="F680" s="486">
        <v>0</v>
      </c>
      <c r="G680" s="449">
        <v>0</v>
      </c>
      <c r="H680" s="449"/>
      <c r="I680" s="449">
        <v>0</v>
      </c>
      <c r="J680" s="449"/>
      <c r="K680" s="462" t="e">
        <f t="shared" si="301"/>
        <v>#DIV/0!</v>
      </c>
      <c r="L680" s="462">
        <f t="shared" si="302"/>
        <v>0</v>
      </c>
      <c r="M680" s="449"/>
      <c r="N680" s="178">
        <f t="shared" si="300"/>
        <v>0</v>
      </c>
    </row>
    <row r="681" spans="1:14" s="184" customFormat="1" ht="54.35" customHeight="1" outlineLevel="3" x14ac:dyDescent="0.3">
      <c r="A681" s="189" t="s">
        <v>90</v>
      </c>
      <c r="B681" s="392" t="s">
        <v>490</v>
      </c>
      <c r="C681" s="392" t="s">
        <v>117</v>
      </c>
      <c r="D681" s="392" t="s">
        <v>152</v>
      </c>
      <c r="E681" s="392" t="s">
        <v>91</v>
      </c>
      <c r="F681" s="471">
        <f>F682</f>
        <v>0</v>
      </c>
      <c r="G681" s="449">
        <f>G682</f>
        <v>0</v>
      </c>
      <c r="H681" s="449"/>
      <c r="I681" s="449">
        <f>I682</f>
        <v>0</v>
      </c>
      <c r="J681" s="449">
        <f>J682</f>
        <v>0</v>
      </c>
      <c r="K681" s="462" t="e">
        <f t="shared" si="301"/>
        <v>#DIV/0!</v>
      </c>
      <c r="L681" s="462">
        <f t="shared" si="302"/>
        <v>0</v>
      </c>
      <c r="M681" s="449">
        <f>M682</f>
        <v>0</v>
      </c>
      <c r="N681" s="178">
        <f t="shared" si="300"/>
        <v>0</v>
      </c>
    </row>
    <row r="682" spans="1:14" s="184" customFormat="1" ht="22.75" customHeight="1" outlineLevel="3" x14ac:dyDescent="0.3">
      <c r="A682" s="189" t="s">
        <v>97</v>
      </c>
      <c r="B682" s="392" t="s">
        <v>490</v>
      </c>
      <c r="C682" s="392" t="s">
        <v>117</v>
      </c>
      <c r="D682" s="392" t="s">
        <v>152</v>
      </c>
      <c r="E682" s="392" t="s">
        <v>98</v>
      </c>
      <c r="F682" s="476">
        <v>0</v>
      </c>
      <c r="G682" s="449">
        <v>0</v>
      </c>
      <c r="H682" s="449"/>
      <c r="I682" s="449">
        <v>0</v>
      </c>
      <c r="J682" s="449"/>
      <c r="K682" s="462" t="e">
        <f t="shared" si="301"/>
        <v>#DIV/0!</v>
      </c>
      <c r="L682" s="462">
        <f t="shared" si="302"/>
        <v>0</v>
      </c>
      <c r="M682" s="449"/>
      <c r="N682" s="178">
        <f t="shared" si="300"/>
        <v>0</v>
      </c>
    </row>
    <row r="683" spans="1:14" s="184" customFormat="1" ht="22.75" customHeight="1" outlineLevel="3" x14ac:dyDescent="0.3">
      <c r="A683" s="189" t="s">
        <v>37</v>
      </c>
      <c r="B683" s="392" t="s">
        <v>490</v>
      </c>
      <c r="C683" s="392" t="s">
        <v>117</v>
      </c>
      <c r="D683" s="392" t="s">
        <v>152</v>
      </c>
      <c r="E683" s="392" t="s">
        <v>38</v>
      </c>
      <c r="F683" s="471">
        <f>F684</f>
        <v>0</v>
      </c>
      <c r="G683" s="449">
        <f>G684</f>
        <v>0</v>
      </c>
      <c r="H683" s="449"/>
      <c r="I683" s="449">
        <f>I684</f>
        <v>0</v>
      </c>
      <c r="J683" s="449">
        <f>J684</f>
        <v>0</v>
      </c>
      <c r="K683" s="462" t="e">
        <f t="shared" si="301"/>
        <v>#DIV/0!</v>
      </c>
      <c r="L683" s="462">
        <f t="shared" si="302"/>
        <v>0</v>
      </c>
      <c r="M683" s="449">
        <f>M684</f>
        <v>0</v>
      </c>
      <c r="N683" s="178">
        <f t="shared" si="300"/>
        <v>0</v>
      </c>
    </row>
    <row r="684" spans="1:14" s="184" customFormat="1" ht="22.75" customHeight="1" outlineLevel="3" x14ac:dyDescent="0.3">
      <c r="A684" s="189" t="s">
        <v>74</v>
      </c>
      <c r="B684" s="392" t="s">
        <v>490</v>
      </c>
      <c r="C684" s="392" t="s">
        <v>117</v>
      </c>
      <c r="D684" s="392" t="s">
        <v>152</v>
      </c>
      <c r="E684" s="392" t="s">
        <v>75</v>
      </c>
      <c r="F684" s="475">
        <v>0</v>
      </c>
      <c r="G684" s="449">
        <v>0</v>
      </c>
      <c r="H684" s="449"/>
      <c r="I684" s="449">
        <v>0</v>
      </c>
      <c r="J684" s="449"/>
      <c r="K684" s="462" t="e">
        <f t="shared" si="301"/>
        <v>#DIV/0!</v>
      </c>
      <c r="L684" s="462">
        <f t="shared" si="302"/>
        <v>0</v>
      </c>
      <c r="M684" s="449"/>
      <c r="N684" s="178">
        <f t="shared" si="300"/>
        <v>0</v>
      </c>
    </row>
    <row r="685" spans="1:14" s="184" customFormat="1" ht="23.3" customHeight="1" outlineLevel="3" x14ac:dyDescent="0.3">
      <c r="A685" s="233" t="s">
        <v>85</v>
      </c>
      <c r="B685" s="397" t="s">
        <v>490</v>
      </c>
      <c r="C685" s="397" t="s">
        <v>86</v>
      </c>
      <c r="D685" s="397" t="s">
        <v>126</v>
      </c>
      <c r="E685" s="397" t="s">
        <v>6</v>
      </c>
      <c r="F685" s="473">
        <f>F686+F692</f>
        <v>0</v>
      </c>
      <c r="G685" s="465">
        <f>G686+G692</f>
        <v>0</v>
      </c>
      <c r="H685" s="465"/>
      <c r="I685" s="465">
        <f>I686+I692</f>
        <v>0</v>
      </c>
      <c r="J685" s="465">
        <f>J686+J692</f>
        <v>0</v>
      </c>
      <c r="K685" s="462" t="e">
        <f t="shared" si="301"/>
        <v>#DIV/0!</v>
      </c>
      <c r="L685" s="462">
        <f t="shared" si="302"/>
        <v>0</v>
      </c>
      <c r="M685" s="465">
        <f>M686+M692</f>
        <v>0</v>
      </c>
      <c r="N685" s="178">
        <f t="shared" si="300"/>
        <v>0</v>
      </c>
    </row>
    <row r="686" spans="1:14" s="184" customFormat="1" outlineLevel="3" x14ac:dyDescent="0.3">
      <c r="A686" s="189" t="s">
        <v>94</v>
      </c>
      <c r="B686" s="392" t="s">
        <v>490</v>
      </c>
      <c r="C686" s="392" t="s">
        <v>95</v>
      </c>
      <c r="D686" s="392" t="s">
        <v>126</v>
      </c>
      <c r="E686" s="392" t="s">
        <v>6</v>
      </c>
      <c r="F686" s="471">
        <f t="shared" ref="F686:J690" si="309">F687</f>
        <v>0</v>
      </c>
      <c r="G686" s="462">
        <f t="shared" si="309"/>
        <v>0</v>
      </c>
      <c r="H686" s="462"/>
      <c r="I686" s="462">
        <f t="shared" si="309"/>
        <v>0</v>
      </c>
      <c r="J686" s="462">
        <f t="shared" si="309"/>
        <v>0</v>
      </c>
      <c r="K686" s="462" t="e">
        <f t="shared" si="301"/>
        <v>#DIV/0!</v>
      </c>
      <c r="L686" s="462">
        <f t="shared" si="302"/>
        <v>0</v>
      </c>
      <c r="M686" s="462">
        <f t="shared" ref="M686:M690" si="310">M687</f>
        <v>0</v>
      </c>
      <c r="N686" s="178">
        <f t="shared" si="300"/>
        <v>0</v>
      </c>
    </row>
    <row r="687" spans="1:14" s="184" customFormat="1" ht="50.95" outlineLevel="3" x14ac:dyDescent="0.3">
      <c r="A687" s="233" t="s">
        <v>1017</v>
      </c>
      <c r="B687" s="397" t="s">
        <v>490</v>
      </c>
      <c r="C687" s="397" t="s">
        <v>95</v>
      </c>
      <c r="D687" s="397" t="s">
        <v>138</v>
      </c>
      <c r="E687" s="397" t="s">
        <v>6</v>
      </c>
      <c r="F687" s="473">
        <f t="shared" si="309"/>
        <v>0</v>
      </c>
      <c r="G687" s="465">
        <f t="shared" si="309"/>
        <v>0</v>
      </c>
      <c r="H687" s="465"/>
      <c r="I687" s="465">
        <f t="shared" si="309"/>
        <v>0</v>
      </c>
      <c r="J687" s="465">
        <f t="shared" si="309"/>
        <v>0</v>
      </c>
      <c r="K687" s="462" t="e">
        <f t="shared" si="301"/>
        <v>#DIV/0!</v>
      </c>
      <c r="L687" s="462">
        <f t="shared" si="302"/>
        <v>0</v>
      </c>
      <c r="M687" s="465">
        <f t="shared" si="310"/>
        <v>0</v>
      </c>
      <c r="N687" s="178">
        <f t="shared" si="300"/>
        <v>0</v>
      </c>
    </row>
    <row r="688" spans="1:14" s="184" customFormat="1" outlineLevel="3" x14ac:dyDescent="0.3">
      <c r="A688" s="189" t="s">
        <v>886</v>
      </c>
      <c r="B688" s="392" t="s">
        <v>490</v>
      </c>
      <c r="C688" s="392" t="s">
        <v>95</v>
      </c>
      <c r="D688" s="392" t="s">
        <v>667</v>
      </c>
      <c r="E688" s="392" t="s">
        <v>6</v>
      </c>
      <c r="F688" s="471">
        <f t="shared" si="309"/>
        <v>0</v>
      </c>
      <c r="G688" s="462">
        <f t="shared" si="309"/>
        <v>0</v>
      </c>
      <c r="H688" s="462"/>
      <c r="I688" s="462">
        <f t="shared" si="309"/>
        <v>0</v>
      </c>
      <c r="J688" s="462">
        <f t="shared" si="309"/>
        <v>0</v>
      </c>
      <c r="K688" s="462" t="e">
        <f t="shared" si="301"/>
        <v>#DIV/0!</v>
      </c>
      <c r="L688" s="462">
        <f t="shared" si="302"/>
        <v>0</v>
      </c>
      <c r="M688" s="462">
        <f t="shared" si="310"/>
        <v>0</v>
      </c>
      <c r="N688" s="178">
        <f t="shared" si="300"/>
        <v>0</v>
      </c>
    </row>
    <row r="689" spans="1:14" s="184" customFormat="1" ht="62.15" customHeight="1" outlineLevel="3" x14ac:dyDescent="0.3">
      <c r="A689" s="185" t="s">
        <v>941</v>
      </c>
      <c r="B689" s="392" t="s">
        <v>490</v>
      </c>
      <c r="C689" s="392" t="s">
        <v>95</v>
      </c>
      <c r="D689" s="392" t="s">
        <v>668</v>
      </c>
      <c r="E689" s="392" t="s">
        <v>6</v>
      </c>
      <c r="F689" s="471">
        <f t="shared" si="309"/>
        <v>0</v>
      </c>
      <c r="G689" s="462">
        <f t="shared" si="309"/>
        <v>0</v>
      </c>
      <c r="H689" s="462"/>
      <c r="I689" s="462">
        <f t="shared" si="309"/>
        <v>0</v>
      </c>
      <c r="J689" s="462">
        <f t="shared" si="309"/>
        <v>0</v>
      </c>
      <c r="K689" s="462" t="e">
        <f t="shared" si="301"/>
        <v>#DIV/0!</v>
      </c>
      <c r="L689" s="462">
        <f t="shared" si="302"/>
        <v>0</v>
      </c>
      <c r="M689" s="462">
        <f t="shared" si="310"/>
        <v>0</v>
      </c>
      <c r="N689" s="178">
        <f t="shared" si="300"/>
        <v>0</v>
      </c>
    </row>
    <row r="690" spans="1:14" s="184" customFormat="1" ht="23.3" customHeight="1" outlineLevel="3" x14ac:dyDescent="0.3">
      <c r="A690" s="189" t="s">
        <v>90</v>
      </c>
      <c r="B690" s="392" t="s">
        <v>490</v>
      </c>
      <c r="C690" s="392" t="s">
        <v>95</v>
      </c>
      <c r="D690" s="392" t="s">
        <v>668</v>
      </c>
      <c r="E690" s="392" t="s">
        <v>91</v>
      </c>
      <c r="F690" s="471">
        <f t="shared" si="309"/>
        <v>0</v>
      </c>
      <c r="G690" s="462">
        <f t="shared" si="309"/>
        <v>0</v>
      </c>
      <c r="H690" s="462"/>
      <c r="I690" s="462">
        <f t="shared" si="309"/>
        <v>0</v>
      </c>
      <c r="J690" s="462">
        <f t="shared" si="309"/>
        <v>0</v>
      </c>
      <c r="K690" s="462" t="e">
        <f t="shared" si="301"/>
        <v>#DIV/0!</v>
      </c>
      <c r="L690" s="462">
        <f t="shared" si="302"/>
        <v>0</v>
      </c>
      <c r="M690" s="462">
        <f t="shared" si="310"/>
        <v>0</v>
      </c>
      <c r="N690" s="178">
        <f t="shared" si="300"/>
        <v>0</v>
      </c>
    </row>
    <row r="691" spans="1:14" s="184" customFormat="1" ht="34" outlineLevel="3" x14ac:dyDescent="0.3">
      <c r="A691" s="189" t="s">
        <v>97</v>
      </c>
      <c r="B691" s="392" t="s">
        <v>490</v>
      </c>
      <c r="C691" s="392" t="s">
        <v>95</v>
      </c>
      <c r="D691" s="392" t="s">
        <v>668</v>
      </c>
      <c r="E691" s="392" t="s">
        <v>98</v>
      </c>
      <c r="F691" s="475">
        <v>0</v>
      </c>
      <c r="G691" s="449">
        <v>0</v>
      </c>
      <c r="H691" s="449"/>
      <c r="I691" s="449">
        <v>0</v>
      </c>
      <c r="J691" s="449"/>
      <c r="K691" s="462" t="e">
        <f t="shared" si="301"/>
        <v>#DIV/0!</v>
      </c>
      <c r="L691" s="462">
        <f t="shared" si="302"/>
        <v>0</v>
      </c>
      <c r="M691" s="449"/>
      <c r="N691" s="178">
        <f t="shared" si="300"/>
        <v>0</v>
      </c>
    </row>
    <row r="692" spans="1:14" s="184" customFormat="1" outlineLevel="3" x14ac:dyDescent="0.3">
      <c r="A692" s="189" t="s">
        <v>123</v>
      </c>
      <c r="B692" s="392" t="s">
        <v>490</v>
      </c>
      <c r="C692" s="392" t="s">
        <v>124</v>
      </c>
      <c r="D692" s="392" t="s">
        <v>126</v>
      </c>
      <c r="E692" s="392" t="s">
        <v>6</v>
      </c>
      <c r="F692" s="471">
        <f t="shared" ref="F692:J695" si="311">F693</f>
        <v>0</v>
      </c>
      <c r="G692" s="462">
        <f t="shared" si="311"/>
        <v>0</v>
      </c>
      <c r="H692" s="462"/>
      <c r="I692" s="462">
        <f t="shared" si="311"/>
        <v>0</v>
      </c>
      <c r="J692" s="462">
        <f t="shared" si="311"/>
        <v>0</v>
      </c>
      <c r="K692" s="462" t="e">
        <f t="shared" si="301"/>
        <v>#DIV/0!</v>
      </c>
      <c r="L692" s="462">
        <f t="shared" si="302"/>
        <v>0</v>
      </c>
      <c r="M692" s="462">
        <f t="shared" ref="M692:M695" si="312">M693</f>
        <v>0</v>
      </c>
      <c r="N692" s="178">
        <f t="shared" si="300"/>
        <v>0</v>
      </c>
    </row>
    <row r="693" spans="1:14" s="184" customFormat="1" ht="39.75" customHeight="1" outlineLevel="3" x14ac:dyDescent="0.3">
      <c r="A693" s="233" t="s">
        <v>1041</v>
      </c>
      <c r="B693" s="397" t="s">
        <v>490</v>
      </c>
      <c r="C693" s="397" t="s">
        <v>124</v>
      </c>
      <c r="D693" s="397" t="s">
        <v>138</v>
      </c>
      <c r="E693" s="397" t="s">
        <v>6</v>
      </c>
      <c r="F693" s="473">
        <f t="shared" si="311"/>
        <v>0</v>
      </c>
      <c r="G693" s="465">
        <f t="shared" si="311"/>
        <v>0</v>
      </c>
      <c r="H693" s="465"/>
      <c r="I693" s="465">
        <f t="shared" si="311"/>
        <v>0</v>
      </c>
      <c r="J693" s="465">
        <f t="shared" si="311"/>
        <v>0</v>
      </c>
      <c r="K693" s="462" t="e">
        <f t="shared" si="301"/>
        <v>#DIV/0!</v>
      </c>
      <c r="L693" s="462">
        <f t="shared" si="302"/>
        <v>0</v>
      </c>
      <c r="M693" s="465">
        <f t="shared" si="312"/>
        <v>0</v>
      </c>
      <c r="N693" s="178">
        <f t="shared" si="300"/>
        <v>0</v>
      </c>
    </row>
    <row r="694" spans="1:14" s="184" customFormat="1" ht="50.95" outlineLevel="3" x14ac:dyDescent="0.3">
      <c r="A694" s="189" t="s">
        <v>1038</v>
      </c>
      <c r="B694" s="392" t="s">
        <v>490</v>
      </c>
      <c r="C694" s="392" t="s">
        <v>124</v>
      </c>
      <c r="D694" s="392" t="s">
        <v>139</v>
      </c>
      <c r="E694" s="392" t="s">
        <v>6</v>
      </c>
      <c r="F694" s="471">
        <f t="shared" si="311"/>
        <v>0</v>
      </c>
      <c r="G694" s="462">
        <f t="shared" si="311"/>
        <v>0</v>
      </c>
      <c r="H694" s="462"/>
      <c r="I694" s="462">
        <f t="shared" si="311"/>
        <v>0</v>
      </c>
      <c r="J694" s="462">
        <f t="shared" si="311"/>
        <v>0</v>
      </c>
      <c r="K694" s="462" t="e">
        <f t="shared" si="301"/>
        <v>#DIV/0!</v>
      </c>
      <c r="L694" s="462">
        <f t="shared" si="302"/>
        <v>0</v>
      </c>
      <c r="M694" s="462">
        <f t="shared" si="312"/>
        <v>0</v>
      </c>
      <c r="N694" s="178">
        <f t="shared" si="300"/>
        <v>0</v>
      </c>
    </row>
    <row r="695" spans="1:14" s="184" customFormat="1" ht="24.8" customHeight="1" outlineLevel="3" x14ac:dyDescent="0.3">
      <c r="A695" s="189" t="s">
        <v>202</v>
      </c>
      <c r="B695" s="392" t="s">
        <v>490</v>
      </c>
      <c r="C695" s="392" t="s">
        <v>124</v>
      </c>
      <c r="D695" s="392" t="s">
        <v>231</v>
      </c>
      <c r="E695" s="392" t="s">
        <v>6</v>
      </c>
      <c r="F695" s="471">
        <f t="shared" si="311"/>
        <v>0</v>
      </c>
      <c r="G695" s="462">
        <f t="shared" si="311"/>
        <v>0</v>
      </c>
      <c r="H695" s="462"/>
      <c r="I695" s="462">
        <f t="shared" si="311"/>
        <v>0</v>
      </c>
      <c r="J695" s="462">
        <f t="shared" si="311"/>
        <v>0</v>
      </c>
      <c r="K695" s="462" t="e">
        <f t="shared" si="301"/>
        <v>#DIV/0!</v>
      </c>
      <c r="L695" s="462">
        <f t="shared" si="302"/>
        <v>0</v>
      </c>
      <c r="M695" s="462">
        <f t="shared" si="312"/>
        <v>0</v>
      </c>
      <c r="N695" s="178">
        <f t="shared" si="300"/>
        <v>0</v>
      </c>
    </row>
    <row r="696" spans="1:14" s="461" customFormat="1" ht="79.5" customHeight="1" x14ac:dyDescent="0.3">
      <c r="A696" s="185" t="s">
        <v>938</v>
      </c>
      <c r="B696" s="392" t="s">
        <v>490</v>
      </c>
      <c r="C696" s="392" t="s">
        <v>124</v>
      </c>
      <c r="D696" s="392" t="s">
        <v>156</v>
      </c>
      <c r="E696" s="392" t="s">
        <v>6</v>
      </c>
      <c r="F696" s="471">
        <f>F699+F697</f>
        <v>0</v>
      </c>
      <c r="G696" s="462">
        <f>G699+G697</f>
        <v>0</v>
      </c>
      <c r="H696" s="462"/>
      <c r="I696" s="462">
        <f>I699+I697</f>
        <v>0</v>
      </c>
      <c r="J696" s="462">
        <f>J699+J697</f>
        <v>0</v>
      </c>
      <c r="K696" s="462" t="e">
        <f t="shared" si="301"/>
        <v>#DIV/0!</v>
      </c>
      <c r="L696" s="462">
        <f t="shared" si="302"/>
        <v>0</v>
      </c>
      <c r="M696" s="462">
        <f>M699+M697</f>
        <v>0</v>
      </c>
      <c r="N696" s="178">
        <f t="shared" si="300"/>
        <v>0</v>
      </c>
    </row>
    <row r="697" spans="1:14" s="461" customFormat="1" ht="34" x14ac:dyDescent="0.3">
      <c r="A697" s="189" t="s">
        <v>15</v>
      </c>
      <c r="B697" s="392" t="s">
        <v>490</v>
      </c>
      <c r="C697" s="392" t="s">
        <v>124</v>
      </c>
      <c r="D697" s="392" t="s">
        <v>156</v>
      </c>
      <c r="E697" s="392" t="s">
        <v>16</v>
      </c>
      <c r="F697" s="471">
        <f>F698</f>
        <v>0</v>
      </c>
      <c r="G697" s="462">
        <f>G698</f>
        <v>0</v>
      </c>
      <c r="H697" s="462"/>
      <c r="I697" s="462">
        <f>I698</f>
        <v>0</v>
      </c>
      <c r="J697" s="462">
        <f>J698</f>
        <v>0</v>
      </c>
      <c r="K697" s="462" t="e">
        <f t="shared" si="301"/>
        <v>#DIV/0!</v>
      </c>
      <c r="L697" s="462">
        <f t="shared" si="302"/>
        <v>0</v>
      </c>
      <c r="M697" s="462">
        <f>M698</f>
        <v>0</v>
      </c>
      <c r="N697" s="178">
        <f t="shared" si="300"/>
        <v>0</v>
      </c>
    </row>
    <row r="698" spans="1:14" s="461" customFormat="1" ht="50.95" x14ac:dyDescent="0.3">
      <c r="A698" s="189" t="s">
        <v>17</v>
      </c>
      <c r="B698" s="392" t="s">
        <v>490</v>
      </c>
      <c r="C698" s="392" t="s">
        <v>124</v>
      </c>
      <c r="D698" s="392" t="s">
        <v>156</v>
      </c>
      <c r="E698" s="392" t="s">
        <v>18</v>
      </c>
      <c r="F698" s="475">
        <v>0</v>
      </c>
      <c r="G698" s="462">
        <v>0</v>
      </c>
      <c r="H698" s="462"/>
      <c r="I698" s="462">
        <v>0</v>
      </c>
      <c r="J698" s="489"/>
      <c r="K698" s="462" t="e">
        <f t="shared" si="301"/>
        <v>#DIV/0!</v>
      </c>
      <c r="L698" s="462">
        <f t="shared" si="302"/>
        <v>0</v>
      </c>
      <c r="M698" s="489"/>
      <c r="N698" s="178">
        <f t="shared" si="300"/>
        <v>0</v>
      </c>
    </row>
    <row r="699" spans="1:14" s="461" customFormat="1" ht="34" x14ac:dyDescent="0.3">
      <c r="A699" s="189" t="s">
        <v>90</v>
      </c>
      <c r="B699" s="392" t="s">
        <v>490</v>
      </c>
      <c r="C699" s="392" t="s">
        <v>124</v>
      </c>
      <c r="D699" s="392" t="s">
        <v>156</v>
      </c>
      <c r="E699" s="392" t="s">
        <v>91</v>
      </c>
      <c r="F699" s="471">
        <f>F700</f>
        <v>0</v>
      </c>
      <c r="G699" s="462">
        <f>G700</f>
        <v>0</v>
      </c>
      <c r="H699" s="462"/>
      <c r="I699" s="462">
        <f>I700</f>
        <v>0</v>
      </c>
      <c r="J699" s="462">
        <f>J700</f>
        <v>0</v>
      </c>
      <c r="K699" s="462" t="e">
        <f t="shared" si="301"/>
        <v>#DIV/0!</v>
      </c>
      <c r="L699" s="462">
        <f t="shared" si="302"/>
        <v>0</v>
      </c>
      <c r="M699" s="462">
        <f>M700</f>
        <v>0</v>
      </c>
      <c r="N699" s="178">
        <f t="shared" si="300"/>
        <v>0</v>
      </c>
    </row>
    <row r="700" spans="1:14" s="461" customFormat="1" ht="39.25" customHeight="1" x14ac:dyDescent="0.3">
      <c r="A700" s="189" t="s">
        <v>92</v>
      </c>
      <c r="B700" s="392" t="s">
        <v>490</v>
      </c>
      <c r="C700" s="392" t="s">
        <v>124</v>
      </c>
      <c r="D700" s="392" t="s">
        <v>156</v>
      </c>
      <c r="E700" s="392" t="s">
        <v>93</v>
      </c>
      <c r="F700" s="475">
        <v>0</v>
      </c>
      <c r="G700" s="449">
        <v>0</v>
      </c>
      <c r="H700" s="449"/>
      <c r="I700" s="449">
        <v>0</v>
      </c>
      <c r="J700" s="489"/>
      <c r="K700" s="462" t="e">
        <f t="shared" si="301"/>
        <v>#DIV/0!</v>
      </c>
      <c r="L700" s="462">
        <f t="shared" si="302"/>
        <v>0</v>
      </c>
      <c r="M700" s="489"/>
      <c r="N700" s="178">
        <f t="shared" si="300"/>
        <v>0</v>
      </c>
    </row>
    <row r="701" spans="1:14" s="461" customFormat="1" x14ac:dyDescent="0.3">
      <c r="A701" s="233" t="s">
        <v>100</v>
      </c>
      <c r="B701" s="392" t="s">
        <v>490</v>
      </c>
      <c r="C701" s="392" t="s">
        <v>101</v>
      </c>
      <c r="D701" s="397" t="s">
        <v>126</v>
      </c>
      <c r="E701" s="392" t="s">
        <v>6</v>
      </c>
      <c r="F701" s="476">
        <f t="shared" ref="F701:J703" si="313">F702</f>
        <v>1925454.14</v>
      </c>
      <c r="G701" s="449">
        <f t="shared" si="313"/>
        <v>1615300</v>
      </c>
      <c r="H701" s="449"/>
      <c r="I701" s="449">
        <f t="shared" si="313"/>
        <v>0</v>
      </c>
      <c r="J701" s="449">
        <f t="shared" si="313"/>
        <v>1900000</v>
      </c>
      <c r="K701" s="462">
        <f t="shared" si="301"/>
        <v>117.62520893951587</v>
      </c>
      <c r="L701" s="462">
        <f t="shared" si="302"/>
        <v>284700</v>
      </c>
      <c r="M701" s="449">
        <f t="shared" ref="M701:M703" si="314">M702</f>
        <v>1900000</v>
      </c>
      <c r="N701" s="178">
        <f t="shared" si="300"/>
        <v>0</v>
      </c>
    </row>
    <row r="702" spans="1:14" x14ac:dyDescent="0.3">
      <c r="A702" s="189" t="s">
        <v>291</v>
      </c>
      <c r="B702" s="392" t="s">
        <v>490</v>
      </c>
      <c r="C702" s="392" t="s">
        <v>290</v>
      </c>
      <c r="D702" s="397" t="s">
        <v>126</v>
      </c>
      <c r="E702" s="392" t="s">
        <v>6</v>
      </c>
      <c r="F702" s="476">
        <f t="shared" si="313"/>
        <v>1925454.14</v>
      </c>
      <c r="G702" s="449">
        <f t="shared" si="313"/>
        <v>1615300</v>
      </c>
      <c r="H702" s="449"/>
      <c r="I702" s="449">
        <f t="shared" si="313"/>
        <v>0</v>
      </c>
      <c r="J702" s="449">
        <f t="shared" si="313"/>
        <v>1900000</v>
      </c>
      <c r="K702" s="462">
        <f t="shared" si="301"/>
        <v>117.62520893951587</v>
      </c>
      <c r="L702" s="462">
        <f t="shared" si="302"/>
        <v>284700</v>
      </c>
      <c r="M702" s="449">
        <f t="shared" si="314"/>
        <v>1900000</v>
      </c>
      <c r="N702" s="178">
        <f t="shared" si="300"/>
        <v>0</v>
      </c>
    </row>
    <row r="703" spans="1:14" ht="44.5" customHeight="1" x14ac:dyDescent="0.3">
      <c r="A703" s="233" t="s">
        <v>1042</v>
      </c>
      <c r="B703" s="392" t="s">
        <v>490</v>
      </c>
      <c r="C703" s="392" t="s">
        <v>290</v>
      </c>
      <c r="D703" s="397" t="s">
        <v>198</v>
      </c>
      <c r="E703" s="392" t="s">
        <v>6</v>
      </c>
      <c r="F703" s="476">
        <f t="shared" si="313"/>
        <v>1925454.14</v>
      </c>
      <c r="G703" s="449">
        <f t="shared" si="313"/>
        <v>1615300</v>
      </c>
      <c r="H703" s="449"/>
      <c r="I703" s="449">
        <f t="shared" si="313"/>
        <v>0</v>
      </c>
      <c r="J703" s="449">
        <f t="shared" si="313"/>
        <v>1900000</v>
      </c>
      <c r="K703" s="462">
        <f t="shared" si="301"/>
        <v>117.62520893951587</v>
      </c>
      <c r="L703" s="462">
        <f t="shared" si="302"/>
        <v>284700</v>
      </c>
      <c r="M703" s="449">
        <f t="shared" si="314"/>
        <v>1900000</v>
      </c>
      <c r="N703" s="178">
        <f t="shared" si="300"/>
        <v>0</v>
      </c>
    </row>
    <row r="704" spans="1:14" ht="50.95" x14ac:dyDescent="0.3">
      <c r="A704" s="189" t="s">
        <v>1014</v>
      </c>
      <c r="B704" s="392" t="s">
        <v>490</v>
      </c>
      <c r="C704" s="392" t="s">
        <v>290</v>
      </c>
      <c r="D704" s="392" t="s">
        <v>227</v>
      </c>
      <c r="E704" s="392" t="s">
        <v>6</v>
      </c>
      <c r="F704" s="476">
        <f>F705+F708</f>
        <v>1925454.14</v>
      </c>
      <c r="G704" s="449">
        <f>G705+G711+G714</f>
        <v>1615300</v>
      </c>
      <c r="H704" s="449"/>
      <c r="I704" s="449">
        <f>I705+I711+I714</f>
        <v>0</v>
      </c>
      <c r="J704" s="449">
        <f>J705+J711+J714</f>
        <v>1900000</v>
      </c>
      <c r="K704" s="462">
        <f t="shared" si="301"/>
        <v>117.62520893951587</v>
      </c>
      <c r="L704" s="462">
        <f t="shared" si="302"/>
        <v>284700</v>
      </c>
      <c r="M704" s="449">
        <f>M705+M711+M714</f>
        <v>1900000</v>
      </c>
      <c r="N704" s="178">
        <f t="shared" si="300"/>
        <v>0</v>
      </c>
    </row>
    <row r="705" spans="1:14" ht="50.95" x14ac:dyDescent="0.3">
      <c r="A705" s="189" t="s">
        <v>797</v>
      </c>
      <c r="B705" s="392" t="s">
        <v>490</v>
      </c>
      <c r="C705" s="392" t="s">
        <v>290</v>
      </c>
      <c r="D705" s="392" t="s">
        <v>798</v>
      </c>
      <c r="E705" s="392" t="s">
        <v>6</v>
      </c>
      <c r="F705" s="476">
        <f>F706</f>
        <v>1610023.44</v>
      </c>
      <c r="G705" s="449">
        <f t="shared" ref="G705:J706" si="315">G706</f>
        <v>1600000</v>
      </c>
      <c r="H705" s="449"/>
      <c r="I705" s="449">
        <f t="shared" si="315"/>
        <v>0</v>
      </c>
      <c r="J705" s="449">
        <f t="shared" si="315"/>
        <v>1900000</v>
      </c>
      <c r="K705" s="462">
        <f t="shared" si="301"/>
        <v>118.75</v>
      </c>
      <c r="L705" s="462">
        <f t="shared" si="302"/>
        <v>300000</v>
      </c>
      <c r="M705" s="449">
        <f t="shared" ref="M705:M706" si="316">M706</f>
        <v>1900000</v>
      </c>
      <c r="N705" s="178">
        <f t="shared" si="300"/>
        <v>0</v>
      </c>
    </row>
    <row r="706" spans="1:14" ht="50.95" x14ac:dyDescent="0.3">
      <c r="A706" s="189" t="s">
        <v>37</v>
      </c>
      <c r="B706" s="392" t="s">
        <v>490</v>
      </c>
      <c r="C706" s="392" t="s">
        <v>290</v>
      </c>
      <c r="D706" s="392" t="s">
        <v>798</v>
      </c>
      <c r="E706" s="392" t="s">
        <v>38</v>
      </c>
      <c r="F706" s="476">
        <f>F707</f>
        <v>1610023.44</v>
      </c>
      <c r="G706" s="449">
        <f t="shared" si="315"/>
        <v>1600000</v>
      </c>
      <c r="H706" s="449"/>
      <c r="I706" s="449">
        <f t="shared" si="315"/>
        <v>0</v>
      </c>
      <c r="J706" s="449">
        <f t="shared" si="315"/>
        <v>1900000</v>
      </c>
      <c r="K706" s="462">
        <f t="shared" si="301"/>
        <v>118.75</v>
      </c>
      <c r="L706" s="462">
        <f t="shared" si="302"/>
        <v>300000</v>
      </c>
      <c r="M706" s="449">
        <f t="shared" si="316"/>
        <v>1900000</v>
      </c>
      <c r="N706" s="178">
        <f t="shared" si="300"/>
        <v>0</v>
      </c>
    </row>
    <row r="707" spans="1:14" x14ac:dyDescent="0.3">
      <c r="A707" s="189" t="s">
        <v>74</v>
      </c>
      <c r="B707" s="392" t="s">
        <v>490</v>
      </c>
      <c r="C707" s="392" t="s">
        <v>290</v>
      </c>
      <c r="D707" s="392" t="s">
        <v>798</v>
      </c>
      <c r="E707" s="392" t="s">
        <v>75</v>
      </c>
      <c r="F707" s="475">
        <v>1610023.44</v>
      </c>
      <c r="G707" s="449">
        <v>1600000</v>
      </c>
      <c r="H707" s="449"/>
      <c r="I707" s="449">
        <v>0</v>
      </c>
      <c r="J707" s="449">
        <v>1900000</v>
      </c>
      <c r="K707" s="462">
        <f t="shared" si="301"/>
        <v>118.75</v>
      </c>
      <c r="L707" s="462">
        <f t="shared" si="302"/>
        <v>300000</v>
      </c>
      <c r="M707" s="449">
        <v>1900000</v>
      </c>
      <c r="N707" s="178">
        <f t="shared" si="300"/>
        <v>0</v>
      </c>
    </row>
    <row r="708" spans="1:14" ht="34" x14ac:dyDescent="0.3">
      <c r="A708" s="452" t="s">
        <v>102</v>
      </c>
      <c r="B708" s="451" t="s">
        <v>490</v>
      </c>
      <c r="C708" s="451" t="s">
        <v>290</v>
      </c>
      <c r="D708" s="451" t="s">
        <v>199</v>
      </c>
      <c r="E708" s="451" t="s">
        <v>6</v>
      </c>
      <c r="F708" s="476">
        <f>F709</f>
        <v>315430.7</v>
      </c>
      <c r="G708" s="449"/>
      <c r="H708" s="449"/>
      <c r="I708" s="449"/>
      <c r="J708" s="449"/>
      <c r="K708" s="462" t="e">
        <f t="shared" si="301"/>
        <v>#DIV/0!</v>
      </c>
      <c r="L708" s="462">
        <f t="shared" si="302"/>
        <v>0</v>
      </c>
      <c r="M708" s="449"/>
      <c r="N708" s="178">
        <f t="shared" si="300"/>
        <v>0</v>
      </c>
    </row>
    <row r="709" spans="1:14" ht="50.95" x14ac:dyDescent="0.3">
      <c r="A709" s="452" t="s">
        <v>37</v>
      </c>
      <c r="B709" s="451" t="s">
        <v>490</v>
      </c>
      <c r="C709" s="451" t="s">
        <v>290</v>
      </c>
      <c r="D709" s="451" t="s">
        <v>199</v>
      </c>
      <c r="E709" s="451" t="s">
        <v>38</v>
      </c>
      <c r="F709" s="476">
        <f>F710</f>
        <v>315430.7</v>
      </c>
      <c r="G709" s="449"/>
      <c r="H709" s="449"/>
      <c r="I709" s="449"/>
      <c r="J709" s="449"/>
      <c r="K709" s="462" t="e">
        <f t="shared" si="301"/>
        <v>#DIV/0!</v>
      </c>
      <c r="L709" s="462">
        <f t="shared" si="302"/>
        <v>0</v>
      </c>
      <c r="M709" s="449"/>
      <c r="N709" s="178">
        <f t="shared" si="300"/>
        <v>0</v>
      </c>
    </row>
    <row r="710" spans="1:14" x14ac:dyDescent="0.3">
      <c r="A710" s="452" t="s">
        <v>74</v>
      </c>
      <c r="B710" s="451" t="s">
        <v>490</v>
      </c>
      <c r="C710" s="451" t="s">
        <v>290</v>
      </c>
      <c r="D710" s="451" t="s">
        <v>199</v>
      </c>
      <c r="E710" s="451" t="s">
        <v>75</v>
      </c>
      <c r="F710" s="496">
        <v>315430.7</v>
      </c>
      <c r="G710" s="449"/>
      <c r="H710" s="449"/>
      <c r="I710" s="449"/>
      <c r="J710" s="449"/>
      <c r="K710" s="462" t="e">
        <f t="shared" si="301"/>
        <v>#DIV/0!</v>
      </c>
      <c r="L710" s="462">
        <f t="shared" si="302"/>
        <v>0</v>
      </c>
      <c r="M710" s="449"/>
      <c r="N710" s="178">
        <f t="shared" si="300"/>
        <v>0</v>
      </c>
    </row>
    <row r="711" spans="1:14" ht="50.95" x14ac:dyDescent="0.3">
      <c r="A711" s="189" t="s">
        <v>848</v>
      </c>
      <c r="B711" s="392" t="s">
        <v>490</v>
      </c>
      <c r="C711" s="392" t="s">
        <v>290</v>
      </c>
      <c r="D711" s="392" t="s">
        <v>867</v>
      </c>
      <c r="E711" s="392" t="s">
        <v>6</v>
      </c>
      <c r="F711" s="449">
        <v>0</v>
      </c>
      <c r="G711" s="449">
        <f>G713</f>
        <v>0</v>
      </c>
      <c r="H711" s="449"/>
      <c r="I711" s="449">
        <f>I713</f>
        <v>0</v>
      </c>
      <c r="J711" s="449">
        <f>J713</f>
        <v>0</v>
      </c>
      <c r="K711" s="462" t="e">
        <f t="shared" si="301"/>
        <v>#DIV/0!</v>
      </c>
      <c r="L711" s="462">
        <f t="shared" si="302"/>
        <v>0</v>
      </c>
      <c r="M711" s="449">
        <f>M713</f>
        <v>0</v>
      </c>
      <c r="N711" s="178">
        <f t="shared" si="300"/>
        <v>0</v>
      </c>
    </row>
    <row r="712" spans="1:14" ht="50.95" x14ac:dyDescent="0.3">
      <c r="A712" s="189" t="s">
        <v>37</v>
      </c>
      <c r="B712" s="392" t="s">
        <v>490</v>
      </c>
      <c r="C712" s="392" t="s">
        <v>290</v>
      </c>
      <c r="D712" s="392" t="s">
        <v>867</v>
      </c>
      <c r="E712" s="392" t="s">
        <v>38</v>
      </c>
      <c r="F712" s="449">
        <v>0</v>
      </c>
      <c r="G712" s="449">
        <f>G713</f>
        <v>0</v>
      </c>
      <c r="H712" s="449"/>
      <c r="I712" s="449">
        <f>I713</f>
        <v>0</v>
      </c>
      <c r="J712" s="449">
        <f>J713</f>
        <v>0</v>
      </c>
      <c r="K712" s="462" t="e">
        <f t="shared" si="301"/>
        <v>#DIV/0!</v>
      </c>
      <c r="L712" s="462">
        <f t="shared" si="302"/>
        <v>0</v>
      </c>
      <c r="M712" s="449">
        <f>M713</f>
        <v>0</v>
      </c>
      <c r="N712" s="178">
        <f t="shared" ref="N712:N742" si="317">M712-J712</f>
        <v>0</v>
      </c>
    </row>
    <row r="713" spans="1:14" x14ac:dyDescent="0.3">
      <c r="A713" s="189" t="s">
        <v>74</v>
      </c>
      <c r="B713" s="392" t="s">
        <v>490</v>
      </c>
      <c r="C713" s="392" t="s">
        <v>290</v>
      </c>
      <c r="D713" s="392" t="s">
        <v>867</v>
      </c>
      <c r="E713" s="392" t="s">
        <v>75</v>
      </c>
      <c r="F713" s="449">
        <v>0</v>
      </c>
      <c r="G713" s="449">
        <v>0</v>
      </c>
      <c r="H713" s="449"/>
      <c r="I713" s="449">
        <v>0</v>
      </c>
      <c r="J713" s="449"/>
      <c r="K713" s="462" t="e">
        <f t="shared" ref="K713:K742" si="318">J713/G713*100</f>
        <v>#DIV/0!</v>
      </c>
      <c r="L713" s="462">
        <f t="shared" ref="L713:L742" si="319">J713-G713</f>
        <v>0</v>
      </c>
      <c r="M713" s="449"/>
      <c r="N713" s="178">
        <f t="shared" si="317"/>
        <v>0</v>
      </c>
    </row>
    <row r="714" spans="1:14" ht="67.95" x14ac:dyDescent="0.3">
      <c r="A714" s="189" t="s">
        <v>787</v>
      </c>
      <c r="B714" s="392" t="s">
        <v>490</v>
      </c>
      <c r="C714" s="392" t="s">
        <v>290</v>
      </c>
      <c r="D714" s="392" t="s">
        <v>868</v>
      </c>
      <c r="E714" s="392" t="s">
        <v>6</v>
      </c>
      <c r="F714" s="462">
        <v>0</v>
      </c>
      <c r="G714" s="449">
        <f t="shared" ref="G714:J715" si="320">G715</f>
        <v>15300</v>
      </c>
      <c r="H714" s="449"/>
      <c r="I714" s="449">
        <f t="shared" si="320"/>
        <v>0</v>
      </c>
      <c r="J714" s="449">
        <f t="shared" si="320"/>
        <v>0</v>
      </c>
      <c r="K714" s="462">
        <f t="shared" si="318"/>
        <v>0</v>
      </c>
      <c r="L714" s="462">
        <f t="shared" si="319"/>
        <v>-15300</v>
      </c>
      <c r="M714" s="449">
        <f t="shared" ref="M714:M715" si="321">M715</f>
        <v>0</v>
      </c>
      <c r="N714" s="178">
        <f t="shared" si="317"/>
        <v>0</v>
      </c>
    </row>
    <row r="715" spans="1:14" s="184" customFormat="1" ht="50.95" x14ac:dyDescent="0.3">
      <c r="A715" s="189" t="s">
        <v>37</v>
      </c>
      <c r="B715" s="392" t="s">
        <v>490</v>
      </c>
      <c r="C715" s="392" t="s">
        <v>290</v>
      </c>
      <c r="D715" s="392" t="s">
        <v>868</v>
      </c>
      <c r="E715" s="392" t="s">
        <v>38</v>
      </c>
      <c r="F715" s="462">
        <v>0</v>
      </c>
      <c r="G715" s="449">
        <f t="shared" si="320"/>
        <v>15300</v>
      </c>
      <c r="H715" s="449"/>
      <c r="I715" s="449">
        <f t="shared" si="320"/>
        <v>0</v>
      </c>
      <c r="J715" s="449">
        <f t="shared" si="320"/>
        <v>0</v>
      </c>
      <c r="K715" s="462">
        <f t="shared" si="318"/>
        <v>0</v>
      </c>
      <c r="L715" s="462">
        <f t="shared" si="319"/>
        <v>-15300</v>
      </c>
      <c r="M715" s="449">
        <f t="shared" si="321"/>
        <v>0</v>
      </c>
      <c r="N715" s="178">
        <f t="shared" si="317"/>
        <v>0</v>
      </c>
    </row>
    <row r="716" spans="1:14" s="184" customFormat="1" x14ac:dyDescent="0.3">
      <c r="A716" s="189" t="s">
        <v>74</v>
      </c>
      <c r="B716" s="392" t="s">
        <v>490</v>
      </c>
      <c r="C716" s="392" t="s">
        <v>290</v>
      </c>
      <c r="D716" s="392" t="s">
        <v>868</v>
      </c>
      <c r="E716" s="392" t="s">
        <v>75</v>
      </c>
      <c r="F716" s="462">
        <v>0</v>
      </c>
      <c r="G716" s="449">
        <v>15300</v>
      </c>
      <c r="H716" s="449"/>
      <c r="I716" s="449">
        <v>0</v>
      </c>
      <c r="J716" s="449"/>
      <c r="K716" s="462">
        <f t="shared" si="318"/>
        <v>0</v>
      </c>
      <c r="L716" s="462">
        <f t="shared" si="319"/>
        <v>-15300</v>
      </c>
      <c r="M716" s="449"/>
      <c r="N716" s="178">
        <f t="shared" si="317"/>
        <v>0</v>
      </c>
    </row>
    <row r="717" spans="1:14" s="184" customFormat="1" ht="34" x14ac:dyDescent="0.3">
      <c r="A717" s="208" t="s">
        <v>671</v>
      </c>
      <c r="B717" s="487">
        <v>959</v>
      </c>
      <c r="C717" s="488" t="s">
        <v>5</v>
      </c>
      <c r="D717" s="488" t="s">
        <v>126</v>
      </c>
      <c r="E717" s="488" t="s">
        <v>6</v>
      </c>
      <c r="F717" s="502">
        <f t="shared" ref="F717:F719" si="322">F718</f>
        <v>1619115.8599999999</v>
      </c>
      <c r="G717" s="489">
        <f>G718</f>
        <v>1787622</v>
      </c>
      <c r="H717" s="489"/>
      <c r="I717" s="489">
        <f>I718</f>
        <v>1768008</v>
      </c>
      <c r="J717" s="489">
        <f>J718</f>
        <v>1912374.3199999998</v>
      </c>
      <c r="K717" s="462">
        <f t="shared" si="318"/>
        <v>106.97867446249822</v>
      </c>
      <c r="L717" s="462">
        <f t="shared" si="319"/>
        <v>124752.31999999983</v>
      </c>
      <c r="M717" s="489">
        <f>M718</f>
        <v>1912374.3199999998</v>
      </c>
      <c r="N717" s="178">
        <f t="shared" si="317"/>
        <v>0</v>
      </c>
    </row>
    <row r="718" spans="1:14" s="184" customFormat="1" x14ac:dyDescent="0.3">
      <c r="A718" s="189" t="s">
        <v>7</v>
      </c>
      <c r="B718" s="392" t="s">
        <v>672</v>
      </c>
      <c r="C718" s="392" t="s">
        <v>8</v>
      </c>
      <c r="D718" s="392" t="s">
        <v>126</v>
      </c>
      <c r="E718" s="392" t="s">
        <v>6</v>
      </c>
      <c r="F718" s="476">
        <f t="shared" si="322"/>
        <v>1619115.8599999999</v>
      </c>
      <c r="G718" s="449">
        <f>G719+G731</f>
        <v>1787622</v>
      </c>
      <c r="H718" s="449"/>
      <c r="I718" s="449">
        <f>I719+I731</f>
        <v>1768008</v>
      </c>
      <c r="J718" s="449">
        <f>J719+J731</f>
        <v>1912374.3199999998</v>
      </c>
      <c r="K718" s="462">
        <f t="shared" si="318"/>
        <v>106.97867446249822</v>
      </c>
      <c r="L718" s="462">
        <f t="shared" si="319"/>
        <v>124752.31999999983</v>
      </c>
      <c r="M718" s="449">
        <f>M719+M731</f>
        <v>1912374.3199999998</v>
      </c>
      <c r="N718" s="178">
        <f t="shared" si="317"/>
        <v>0</v>
      </c>
    </row>
    <row r="719" spans="1:14" s="184" customFormat="1" ht="50.95" x14ac:dyDescent="0.3">
      <c r="A719" s="189" t="s">
        <v>9</v>
      </c>
      <c r="B719" s="392" t="s">
        <v>672</v>
      </c>
      <c r="C719" s="392" t="s">
        <v>10</v>
      </c>
      <c r="D719" s="392" t="s">
        <v>126</v>
      </c>
      <c r="E719" s="392" t="s">
        <v>6</v>
      </c>
      <c r="F719" s="471">
        <f t="shared" si="322"/>
        <v>1619115.8599999999</v>
      </c>
      <c r="G719" s="462">
        <f>G720</f>
        <v>1767872</v>
      </c>
      <c r="H719" s="462"/>
      <c r="I719" s="462">
        <f>I720</f>
        <v>1748508</v>
      </c>
      <c r="J719" s="462">
        <f>J720</f>
        <v>1893374.3199999998</v>
      </c>
      <c r="K719" s="462">
        <f t="shared" si="318"/>
        <v>107.09906147051369</v>
      </c>
      <c r="L719" s="462">
        <f t="shared" si="319"/>
        <v>125502.31999999983</v>
      </c>
      <c r="M719" s="462">
        <f>M720</f>
        <v>1893374.3199999998</v>
      </c>
      <c r="N719" s="178">
        <f t="shared" si="317"/>
        <v>0</v>
      </c>
    </row>
    <row r="720" spans="1:14" s="184" customFormat="1" ht="34" x14ac:dyDescent="0.3">
      <c r="A720" s="189" t="s">
        <v>132</v>
      </c>
      <c r="B720" s="392" t="s">
        <v>672</v>
      </c>
      <c r="C720" s="392" t="s">
        <v>10</v>
      </c>
      <c r="D720" s="392" t="s">
        <v>127</v>
      </c>
      <c r="E720" s="392" t="s">
        <v>6</v>
      </c>
      <c r="F720" s="471">
        <f>F721+F724</f>
        <v>1619115.8599999999</v>
      </c>
      <c r="G720" s="462">
        <f>G721+G724</f>
        <v>1767872</v>
      </c>
      <c r="H720" s="462"/>
      <c r="I720" s="462">
        <f>I721+I724</f>
        <v>1748508</v>
      </c>
      <c r="J720" s="462">
        <f>J721+J724</f>
        <v>1893374.3199999998</v>
      </c>
      <c r="K720" s="462">
        <f t="shared" si="318"/>
        <v>107.09906147051369</v>
      </c>
      <c r="L720" s="462">
        <f t="shared" si="319"/>
        <v>125502.31999999983</v>
      </c>
      <c r="M720" s="462">
        <f>M721+M724</f>
        <v>1893374.3199999998</v>
      </c>
      <c r="N720" s="178">
        <f t="shared" si="317"/>
        <v>0</v>
      </c>
    </row>
    <row r="721" spans="1:14" s="184" customFormat="1" x14ac:dyDescent="0.3">
      <c r="A721" s="189" t="s">
        <v>673</v>
      </c>
      <c r="B721" s="392" t="s">
        <v>672</v>
      </c>
      <c r="C721" s="392" t="s">
        <v>10</v>
      </c>
      <c r="D721" s="392" t="s">
        <v>143</v>
      </c>
      <c r="E721" s="392" t="s">
        <v>6</v>
      </c>
      <c r="F721" s="471">
        <f>F722</f>
        <v>1379932.18</v>
      </c>
      <c r="G721" s="462">
        <f t="shared" ref="G721:J722" si="323">G722</f>
        <v>1484637</v>
      </c>
      <c r="H721" s="462"/>
      <c r="I721" s="462">
        <f t="shared" si="323"/>
        <v>1439461</v>
      </c>
      <c r="J721" s="462">
        <f t="shared" si="323"/>
        <v>1611254.16</v>
      </c>
      <c r="K721" s="462">
        <f t="shared" si="318"/>
        <v>108.52849282349825</v>
      </c>
      <c r="L721" s="462">
        <f t="shared" si="319"/>
        <v>126617.15999999992</v>
      </c>
      <c r="M721" s="462">
        <f t="shared" ref="M721:M722" si="324">M722</f>
        <v>1611254.16</v>
      </c>
      <c r="N721" s="178">
        <f t="shared" si="317"/>
        <v>0</v>
      </c>
    </row>
    <row r="722" spans="1:14" s="184" customFormat="1" ht="101.9" x14ac:dyDescent="0.3">
      <c r="A722" s="189" t="s">
        <v>11</v>
      </c>
      <c r="B722" s="392" t="s">
        <v>672</v>
      </c>
      <c r="C722" s="392" t="s">
        <v>10</v>
      </c>
      <c r="D722" s="392" t="s">
        <v>143</v>
      </c>
      <c r="E722" s="392" t="s">
        <v>12</v>
      </c>
      <c r="F722" s="471">
        <f>F723</f>
        <v>1379932.18</v>
      </c>
      <c r="G722" s="462">
        <f t="shared" si="323"/>
        <v>1484637</v>
      </c>
      <c r="H722" s="462"/>
      <c r="I722" s="462">
        <f t="shared" si="323"/>
        <v>1439461</v>
      </c>
      <c r="J722" s="462">
        <f t="shared" si="323"/>
        <v>1611254.16</v>
      </c>
      <c r="K722" s="462">
        <f t="shared" si="318"/>
        <v>108.52849282349825</v>
      </c>
      <c r="L722" s="462">
        <f t="shared" si="319"/>
        <v>126617.15999999992</v>
      </c>
      <c r="M722" s="462">
        <f t="shared" si="324"/>
        <v>1611254.16</v>
      </c>
      <c r="N722" s="178">
        <f t="shared" si="317"/>
        <v>0</v>
      </c>
    </row>
    <row r="723" spans="1:14" s="184" customFormat="1" ht="34" x14ac:dyDescent="0.3">
      <c r="A723" s="189" t="s">
        <v>13</v>
      </c>
      <c r="B723" s="392" t="s">
        <v>672</v>
      </c>
      <c r="C723" s="392" t="s">
        <v>10</v>
      </c>
      <c r="D723" s="392" t="s">
        <v>143</v>
      </c>
      <c r="E723" s="392" t="s">
        <v>14</v>
      </c>
      <c r="F723" s="475">
        <v>1379932.18</v>
      </c>
      <c r="G723" s="449">
        <f>'потребность 2023 (5)'!K740</f>
        <v>1484637</v>
      </c>
      <c r="H723" s="449"/>
      <c r="I723" s="449">
        <v>1439461</v>
      </c>
      <c r="J723" s="449">
        <v>1611254.16</v>
      </c>
      <c r="K723" s="462">
        <f t="shared" si="318"/>
        <v>108.52849282349825</v>
      </c>
      <c r="L723" s="462">
        <f t="shared" si="319"/>
        <v>126617.15999999992</v>
      </c>
      <c r="M723" s="449">
        <v>1611254.16</v>
      </c>
      <c r="N723" s="178">
        <f t="shared" si="317"/>
        <v>0</v>
      </c>
    </row>
    <row r="724" spans="1:14" s="184" customFormat="1" ht="45.7" customHeight="1" x14ac:dyDescent="0.3">
      <c r="A724" s="189" t="s">
        <v>449</v>
      </c>
      <c r="B724" s="392" t="s">
        <v>672</v>
      </c>
      <c r="C724" s="392" t="s">
        <v>10</v>
      </c>
      <c r="D724" s="392" t="s">
        <v>450</v>
      </c>
      <c r="E724" s="392" t="s">
        <v>6</v>
      </c>
      <c r="F724" s="476">
        <f>F725+F727</f>
        <v>239183.68</v>
      </c>
      <c r="G724" s="449">
        <f>G725+G727+G729</f>
        <v>283235</v>
      </c>
      <c r="H724" s="449"/>
      <c r="I724" s="449">
        <f>I725+I727+I729</f>
        <v>309047</v>
      </c>
      <c r="J724" s="449">
        <f>J725+J727+J729</f>
        <v>282120.16000000003</v>
      </c>
      <c r="K724" s="462">
        <f t="shared" si="318"/>
        <v>99.606390453157275</v>
      </c>
      <c r="L724" s="462">
        <f t="shared" si="319"/>
        <v>-1114.8399999999674</v>
      </c>
      <c r="M724" s="449">
        <f>M725+M727+M729</f>
        <v>282120.16000000003</v>
      </c>
      <c r="N724" s="178">
        <f t="shared" si="317"/>
        <v>0</v>
      </c>
    </row>
    <row r="725" spans="1:14" s="184" customFormat="1" ht="101.9" x14ac:dyDescent="0.3">
      <c r="A725" s="189" t="s">
        <v>11</v>
      </c>
      <c r="B725" s="392" t="s">
        <v>672</v>
      </c>
      <c r="C725" s="392" t="s">
        <v>10</v>
      </c>
      <c r="D725" s="392" t="s">
        <v>450</v>
      </c>
      <c r="E725" s="392" t="s">
        <v>12</v>
      </c>
      <c r="F725" s="476">
        <f>F726</f>
        <v>207828.68</v>
      </c>
      <c r="G725" s="449">
        <f>G726</f>
        <v>206182</v>
      </c>
      <c r="H725" s="449"/>
      <c r="I725" s="449">
        <f>I726</f>
        <v>213387</v>
      </c>
      <c r="J725" s="449">
        <f>J726</f>
        <v>220620.16</v>
      </c>
      <c r="K725" s="462">
        <f t="shared" si="318"/>
        <v>107.0026287454773</v>
      </c>
      <c r="L725" s="462">
        <f t="shared" si="319"/>
        <v>14438.160000000003</v>
      </c>
      <c r="M725" s="449">
        <f>M726</f>
        <v>220620.16</v>
      </c>
      <c r="N725" s="178">
        <f t="shared" si="317"/>
        <v>0</v>
      </c>
    </row>
    <row r="726" spans="1:14" s="184" customFormat="1" ht="34" x14ac:dyDescent="0.3">
      <c r="A726" s="189" t="s">
        <v>13</v>
      </c>
      <c r="B726" s="392" t="s">
        <v>672</v>
      </c>
      <c r="C726" s="392" t="s">
        <v>10</v>
      </c>
      <c r="D726" s="392" t="s">
        <v>450</v>
      </c>
      <c r="E726" s="392" t="s">
        <v>14</v>
      </c>
      <c r="F726" s="475">
        <v>207828.68</v>
      </c>
      <c r="G726" s="449">
        <f>'потребность 2023 (5)'!K743</f>
        <v>206182</v>
      </c>
      <c r="H726" s="449"/>
      <c r="I726" s="449">
        <v>213387</v>
      </c>
      <c r="J726" s="449">
        <v>220620.16</v>
      </c>
      <c r="K726" s="462">
        <f t="shared" si="318"/>
        <v>107.0026287454773</v>
      </c>
      <c r="L726" s="462">
        <f t="shared" si="319"/>
        <v>14438.160000000003</v>
      </c>
      <c r="M726" s="449">
        <v>220620.16</v>
      </c>
      <c r="N726" s="178">
        <f t="shared" si="317"/>
        <v>0</v>
      </c>
    </row>
    <row r="727" spans="1:14" s="184" customFormat="1" ht="34" x14ac:dyDescent="0.3">
      <c r="A727" s="189" t="s">
        <v>15</v>
      </c>
      <c r="B727" s="392" t="s">
        <v>672</v>
      </c>
      <c r="C727" s="392" t="s">
        <v>10</v>
      </c>
      <c r="D727" s="392" t="s">
        <v>450</v>
      </c>
      <c r="E727" s="392" t="s">
        <v>16</v>
      </c>
      <c r="F727" s="476">
        <f>F728</f>
        <v>31355</v>
      </c>
      <c r="G727" s="449">
        <f>G728</f>
        <v>76553</v>
      </c>
      <c r="H727" s="449"/>
      <c r="I727" s="449">
        <f>I728</f>
        <v>95160</v>
      </c>
      <c r="J727" s="449">
        <f>J728</f>
        <v>61000</v>
      </c>
      <c r="K727" s="462">
        <f t="shared" si="318"/>
        <v>79.683356628740881</v>
      </c>
      <c r="L727" s="462">
        <f t="shared" si="319"/>
        <v>-15553</v>
      </c>
      <c r="M727" s="449">
        <f>M728</f>
        <v>61000</v>
      </c>
      <c r="N727" s="178">
        <f t="shared" si="317"/>
        <v>0</v>
      </c>
    </row>
    <row r="728" spans="1:14" s="184" customFormat="1" ht="50.95" x14ac:dyDescent="0.3">
      <c r="A728" s="189" t="s">
        <v>17</v>
      </c>
      <c r="B728" s="392" t="s">
        <v>672</v>
      </c>
      <c r="C728" s="392" t="s">
        <v>10</v>
      </c>
      <c r="D728" s="392" t="s">
        <v>450</v>
      </c>
      <c r="E728" s="392" t="s">
        <v>18</v>
      </c>
      <c r="F728" s="475">
        <v>31355</v>
      </c>
      <c r="G728" s="449">
        <f>'потребность 2023 (5)'!K745+39000</f>
        <v>76553</v>
      </c>
      <c r="H728" s="449"/>
      <c r="I728" s="449">
        <v>95160</v>
      </c>
      <c r="J728" s="449">
        <v>61000</v>
      </c>
      <c r="K728" s="462">
        <f t="shared" si="318"/>
        <v>79.683356628740881</v>
      </c>
      <c r="L728" s="462">
        <f t="shared" si="319"/>
        <v>-15553</v>
      </c>
      <c r="M728" s="449">
        <v>61000</v>
      </c>
      <c r="N728" s="178">
        <f t="shared" si="317"/>
        <v>0</v>
      </c>
    </row>
    <row r="729" spans="1:14" s="184" customFormat="1" x14ac:dyDescent="0.3">
      <c r="A729" s="189" t="s">
        <v>19</v>
      </c>
      <c r="B729" s="392" t="s">
        <v>672</v>
      </c>
      <c r="C729" s="392" t="s">
        <v>10</v>
      </c>
      <c r="D729" s="298" t="s">
        <v>450</v>
      </c>
      <c r="E729" s="298" t="s">
        <v>20</v>
      </c>
      <c r="F729" s="462">
        <v>0</v>
      </c>
      <c r="G729" s="449">
        <f>G730</f>
        <v>500</v>
      </c>
      <c r="H729" s="449"/>
      <c r="I729" s="449">
        <f>I730</f>
        <v>500</v>
      </c>
      <c r="J729" s="449">
        <f>J730</f>
        <v>500</v>
      </c>
      <c r="K729" s="462">
        <f t="shared" si="318"/>
        <v>100</v>
      </c>
      <c r="L729" s="462">
        <f t="shared" si="319"/>
        <v>0</v>
      </c>
      <c r="M729" s="449">
        <f>M730</f>
        <v>500</v>
      </c>
      <c r="N729" s="178">
        <f t="shared" si="317"/>
        <v>0</v>
      </c>
    </row>
    <row r="730" spans="1:14" s="184" customFormat="1" x14ac:dyDescent="0.3">
      <c r="A730" s="189" t="s">
        <v>21</v>
      </c>
      <c r="B730" s="392" t="s">
        <v>672</v>
      </c>
      <c r="C730" s="392" t="s">
        <v>10</v>
      </c>
      <c r="D730" s="298" t="s">
        <v>450</v>
      </c>
      <c r="E730" s="298" t="s">
        <v>22</v>
      </c>
      <c r="F730" s="462">
        <v>0</v>
      </c>
      <c r="G730" s="449">
        <f>'потребность 2023 (5)'!K747</f>
        <v>500</v>
      </c>
      <c r="H730" s="449"/>
      <c r="I730" s="449">
        <v>500</v>
      </c>
      <c r="J730" s="449">
        <v>500</v>
      </c>
      <c r="K730" s="462">
        <f t="shared" si="318"/>
        <v>100</v>
      </c>
      <c r="L730" s="462">
        <f t="shared" si="319"/>
        <v>0</v>
      </c>
      <c r="M730" s="449">
        <v>500</v>
      </c>
      <c r="N730" s="178">
        <f t="shared" si="317"/>
        <v>0</v>
      </c>
    </row>
    <row r="731" spans="1:14" s="184" customFormat="1" x14ac:dyDescent="0.3">
      <c r="A731" s="189" t="s">
        <v>23</v>
      </c>
      <c r="B731" s="392" t="s">
        <v>672</v>
      </c>
      <c r="C731" s="392" t="s">
        <v>24</v>
      </c>
      <c r="D731" s="298" t="s">
        <v>126</v>
      </c>
      <c r="E731" s="298" t="s">
        <v>6</v>
      </c>
      <c r="F731" s="462">
        <v>0</v>
      </c>
      <c r="G731" s="449">
        <f>G732+G737</f>
        <v>19750</v>
      </c>
      <c r="H731" s="449"/>
      <c r="I731" s="449">
        <f>I732+I737</f>
        <v>19500</v>
      </c>
      <c r="J731" s="449">
        <f>J732+J737</f>
        <v>19000</v>
      </c>
      <c r="K731" s="462">
        <f t="shared" si="318"/>
        <v>96.202531645569621</v>
      </c>
      <c r="L731" s="462">
        <f t="shared" si="319"/>
        <v>-750</v>
      </c>
      <c r="M731" s="449">
        <f>M732+M737</f>
        <v>19000</v>
      </c>
      <c r="N731" s="178">
        <f t="shared" si="317"/>
        <v>0</v>
      </c>
    </row>
    <row r="732" spans="1:14" s="184" customFormat="1" ht="50.95" x14ac:dyDescent="0.3">
      <c r="A732" s="233" t="s">
        <v>1020</v>
      </c>
      <c r="B732" s="397" t="s">
        <v>672</v>
      </c>
      <c r="C732" s="397" t="s">
        <v>24</v>
      </c>
      <c r="D732" s="398" t="s">
        <v>128</v>
      </c>
      <c r="E732" s="398" t="s">
        <v>6</v>
      </c>
      <c r="F732" s="465">
        <v>0</v>
      </c>
      <c r="G732" s="449">
        <f t="shared" ref="G732:J735" si="325">G733</f>
        <v>10000</v>
      </c>
      <c r="H732" s="449"/>
      <c r="I732" s="449">
        <f t="shared" si="325"/>
        <v>10400</v>
      </c>
      <c r="J732" s="449">
        <f t="shared" si="325"/>
        <v>10000</v>
      </c>
      <c r="K732" s="462">
        <f t="shared" si="318"/>
        <v>100</v>
      </c>
      <c r="L732" s="462">
        <f t="shared" si="319"/>
        <v>0</v>
      </c>
      <c r="M732" s="449">
        <f t="shared" ref="M732:M735" si="326">M733</f>
        <v>10000</v>
      </c>
      <c r="N732" s="178">
        <f t="shared" si="317"/>
        <v>0</v>
      </c>
    </row>
    <row r="733" spans="1:14" s="184" customFormat="1" ht="50.95" x14ac:dyDescent="0.3">
      <c r="A733" s="189" t="s">
        <v>729</v>
      </c>
      <c r="B733" s="392" t="s">
        <v>672</v>
      </c>
      <c r="C733" s="392" t="s">
        <v>24</v>
      </c>
      <c r="D733" s="298" t="s">
        <v>303</v>
      </c>
      <c r="E733" s="298" t="s">
        <v>6</v>
      </c>
      <c r="F733" s="462">
        <v>0</v>
      </c>
      <c r="G733" s="449">
        <f t="shared" si="325"/>
        <v>10000</v>
      </c>
      <c r="H733" s="449"/>
      <c r="I733" s="449">
        <f t="shared" si="325"/>
        <v>10400</v>
      </c>
      <c r="J733" s="449">
        <f t="shared" si="325"/>
        <v>10000</v>
      </c>
      <c r="K733" s="462">
        <f t="shared" si="318"/>
        <v>100</v>
      </c>
      <c r="L733" s="462">
        <f t="shared" si="319"/>
        <v>0</v>
      </c>
      <c r="M733" s="449">
        <f t="shared" si="326"/>
        <v>10000</v>
      </c>
      <c r="N733" s="178">
        <f t="shared" si="317"/>
        <v>0</v>
      </c>
    </row>
    <row r="734" spans="1:14" s="184" customFormat="1" x14ac:dyDescent="0.3">
      <c r="A734" s="189" t="s">
        <v>309</v>
      </c>
      <c r="B734" s="392" t="s">
        <v>672</v>
      </c>
      <c r="C734" s="392" t="s">
        <v>24</v>
      </c>
      <c r="D734" s="298" t="s">
        <v>304</v>
      </c>
      <c r="E734" s="298" t="s">
        <v>6</v>
      </c>
      <c r="F734" s="462">
        <v>0</v>
      </c>
      <c r="G734" s="449">
        <f t="shared" si="325"/>
        <v>10000</v>
      </c>
      <c r="H734" s="449"/>
      <c r="I734" s="449">
        <f t="shared" si="325"/>
        <v>10400</v>
      </c>
      <c r="J734" s="449">
        <f t="shared" si="325"/>
        <v>10000</v>
      </c>
      <c r="K734" s="462">
        <f t="shared" si="318"/>
        <v>100</v>
      </c>
      <c r="L734" s="462">
        <f t="shared" si="319"/>
        <v>0</v>
      </c>
      <c r="M734" s="449">
        <f t="shared" si="326"/>
        <v>10000</v>
      </c>
      <c r="N734" s="178">
        <f t="shared" si="317"/>
        <v>0</v>
      </c>
    </row>
    <row r="735" spans="1:14" s="184" customFormat="1" ht="34" x14ac:dyDescent="0.3">
      <c r="A735" s="189" t="s">
        <v>15</v>
      </c>
      <c r="B735" s="392" t="s">
        <v>672</v>
      </c>
      <c r="C735" s="392" t="s">
        <v>24</v>
      </c>
      <c r="D735" s="298" t="s">
        <v>304</v>
      </c>
      <c r="E735" s="298" t="s">
        <v>16</v>
      </c>
      <c r="F735" s="462">
        <v>0</v>
      </c>
      <c r="G735" s="449">
        <f t="shared" si="325"/>
        <v>10000</v>
      </c>
      <c r="H735" s="449"/>
      <c r="I735" s="449">
        <f t="shared" si="325"/>
        <v>10400</v>
      </c>
      <c r="J735" s="449">
        <f t="shared" si="325"/>
        <v>10000</v>
      </c>
      <c r="K735" s="462">
        <f t="shared" si="318"/>
        <v>100</v>
      </c>
      <c r="L735" s="462">
        <f t="shared" si="319"/>
        <v>0</v>
      </c>
      <c r="M735" s="449">
        <f t="shared" si="326"/>
        <v>10000</v>
      </c>
      <c r="N735" s="178">
        <f t="shared" si="317"/>
        <v>0</v>
      </c>
    </row>
    <row r="736" spans="1:14" s="184" customFormat="1" ht="50.95" x14ac:dyDescent="0.3">
      <c r="A736" s="189" t="s">
        <v>17</v>
      </c>
      <c r="B736" s="392" t="s">
        <v>672</v>
      </c>
      <c r="C736" s="392" t="s">
        <v>24</v>
      </c>
      <c r="D736" s="298" t="s">
        <v>304</v>
      </c>
      <c r="E736" s="298" t="s">
        <v>18</v>
      </c>
      <c r="F736" s="462">
        <v>0</v>
      </c>
      <c r="G736" s="449">
        <f>'потребность 2023 (5)'!K753</f>
        <v>10000</v>
      </c>
      <c r="H736" s="449"/>
      <c r="I736" s="449">
        <v>10400</v>
      </c>
      <c r="J736" s="449">
        <v>10000</v>
      </c>
      <c r="K736" s="462">
        <f t="shared" si="318"/>
        <v>100</v>
      </c>
      <c r="L736" s="462">
        <f t="shared" si="319"/>
        <v>0</v>
      </c>
      <c r="M736" s="449">
        <v>10000</v>
      </c>
      <c r="N736" s="178">
        <f t="shared" si="317"/>
        <v>0</v>
      </c>
    </row>
    <row r="737" spans="1:14" s="184" customFormat="1" ht="50.95" x14ac:dyDescent="0.3">
      <c r="A737" s="233" t="s">
        <v>1028</v>
      </c>
      <c r="B737" s="397" t="s">
        <v>672</v>
      </c>
      <c r="C737" s="392" t="s">
        <v>24</v>
      </c>
      <c r="D737" s="398" t="s">
        <v>305</v>
      </c>
      <c r="E737" s="398" t="s">
        <v>6</v>
      </c>
      <c r="F737" s="465">
        <v>0</v>
      </c>
      <c r="G737" s="449">
        <f t="shared" ref="G737:J740" si="327">G738</f>
        <v>9750</v>
      </c>
      <c r="H737" s="449"/>
      <c r="I737" s="449">
        <f t="shared" si="327"/>
        <v>9100</v>
      </c>
      <c r="J737" s="449">
        <f t="shared" si="327"/>
        <v>9000</v>
      </c>
      <c r="K737" s="462">
        <f t="shared" si="318"/>
        <v>92.307692307692307</v>
      </c>
      <c r="L737" s="462">
        <f t="shared" si="319"/>
        <v>-750</v>
      </c>
      <c r="M737" s="449">
        <f t="shared" ref="M737:M740" si="328">M738</f>
        <v>9000</v>
      </c>
      <c r="N737" s="178">
        <f t="shared" si="317"/>
        <v>0</v>
      </c>
    </row>
    <row r="738" spans="1:14" s="184" customFormat="1" ht="50.95" x14ac:dyDescent="0.3">
      <c r="A738" s="189" t="s">
        <v>245</v>
      </c>
      <c r="B738" s="392" t="s">
        <v>672</v>
      </c>
      <c r="C738" s="392" t="s">
        <v>24</v>
      </c>
      <c r="D738" s="298" t="s">
        <v>306</v>
      </c>
      <c r="E738" s="298" t="s">
        <v>6</v>
      </c>
      <c r="F738" s="462">
        <v>0</v>
      </c>
      <c r="G738" s="449">
        <f t="shared" si="327"/>
        <v>9750</v>
      </c>
      <c r="H738" s="449"/>
      <c r="I738" s="449">
        <f t="shared" si="327"/>
        <v>9100</v>
      </c>
      <c r="J738" s="449">
        <f t="shared" si="327"/>
        <v>9000</v>
      </c>
      <c r="K738" s="462">
        <f t="shared" si="318"/>
        <v>92.307692307692307</v>
      </c>
      <c r="L738" s="462">
        <f t="shared" si="319"/>
        <v>-750</v>
      </c>
      <c r="M738" s="449">
        <f t="shared" si="328"/>
        <v>9000</v>
      </c>
      <c r="N738" s="178">
        <f t="shared" si="317"/>
        <v>0</v>
      </c>
    </row>
    <row r="739" spans="1:14" s="184" customFormat="1" ht="45" customHeight="1" x14ac:dyDescent="0.3">
      <c r="A739" s="189" t="s">
        <v>25</v>
      </c>
      <c r="B739" s="392" t="s">
        <v>672</v>
      </c>
      <c r="C739" s="392" t="s">
        <v>24</v>
      </c>
      <c r="D739" s="298" t="s">
        <v>317</v>
      </c>
      <c r="E739" s="298" t="s">
        <v>6</v>
      </c>
      <c r="F739" s="462">
        <v>0</v>
      </c>
      <c r="G739" s="449">
        <f t="shared" si="327"/>
        <v>9750</v>
      </c>
      <c r="H739" s="449"/>
      <c r="I739" s="449">
        <f t="shared" si="327"/>
        <v>9100</v>
      </c>
      <c r="J739" s="449">
        <f t="shared" si="327"/>
        <v>9000</v>
      </c>
      <c r="K739" s="462">
        <f t="shared" si="318"/>
        <v>92.307692307692307</v>
      </c>
      <c r="L739" s="462">
        <f t="shared" si="319"/>
        <v>-750</v>
      </c>
      <c r="M739" s="449">
        <f t="shared" si="328"/>
        <v>9000</v>
      </c>
      <c r="N739" s="178">
        <f t="shared" si="317"/>
        <v>0</v>
      </c>
    </row>
    <row r="740" spans="1:14" s="184" customFormat="1" ht="34" x14ac:dyDescent="0.3">
      <c r="A740" s="189" t="s">
        <v>15</v>
      </c>
      <c r="B740" s="392" t="s">
        <v>672</v>
      </c>
      <c r="C740" s="392" t="s">
        <v>24</v>
      </c>
      <c r="D740" s="298" t="s">
        <v>317</v>
      </c>
      <c r="E740" s="298" t="s">
        <v>16</v>
      </c>
      <c r="F740" s="462">
        <v>0</v>
      </c>
      <c r="G740" s="449">
        <f t="shared" si="327"/>
        <v>9750</v>
      </c>
      <c r="H740" s="449"/>
      <c r="I740" s="449">
        <f t="shared" si="327"/>
        <v>9100</v>
      </c>
      <c r="J740" s="449">
        <f t="shared" si="327"/>
        <v>9000</v>
      </c>
      <c r="K740" s="462">
        <f t="shared" si="318"/>
        <v>92.307692307692307</v>
      </c>
      <c r="L740" s="462">
        <f t="shared" si="319"/>
        <v>-750</v>
      </c>
      <c r="M740" s="449">
        <f t="shared" si="328"/>
        <v>9000</v>
      </c>
      <c r="N740" s="178">
        <f t="shared" si="317"/>
        <v>0</v>
      </c>
    </row>
    <row r="741" spans="1:14" s="184" customFormat="1" ht="50.95" x14ac:dyDescent="0.3">
      <c r="A741" s="189" t="s">
        <v>17</v>
      </c>
      <c r="B741" s="392" t="s">
        <v>672</v>
      </c>
      <c r="C741" s="392" t="s">
        <v>24</v>
      </c>
      <c r="D741" s="298" t="s">
        <v>317</v>
      </c>
      <c r="E741" s="298" t="s">
        <v>18</v>
      </c>
      <c r="F741" s="462">
        <v>0</v>
      </c>
      <c r="G741" s="449">
        <f>'потребность 2023 (5)'!K758+1000</f>
        <v>9750</v>
      </c>
      <c r="H741" s="449"/>
      <c r="I741" s="449">
        <v>9100</v>
      </c>
      <c r="J741" s="449">
        <v>9000</v>
      </c>
      <c r="K741" s="462">
        <f t="shared" si="318"/>
        <v>92.307692307692307</v>
      </c>
      <c r="L741" s="462">
        <f t="shared" si="319"/>
        <v>-750</v>
      </c>
      <c r="M741" s="449">
        <v>9000</v>
      </c>
      <c r="N741" s="178">
        <f t="shared" si="317"/>
        <v>0</v>
      </c>
    </row>
    <row r="742" spans="1:14" s="184" customFormat="1" x14ac:dyDescent="0.3">
      <c r="A742" s="191" t="s">
        <v>685</v>
      </c>
      <c r="B742" s="192"/>
      <c r="C742" s="192"/>
      <c r="D742" s="490"/>
      <c r="E742" s="192"/>
      <c r="F742" s="459" t="e">
        <f>F8+F30+F493+F520+F717</f>
        <v>#REF!</v>
      </c>
      <c r="G742" s="459">
        <f>G8+G30+G493+G520+G717</f>
        <v>503937140.96000004</v>
      </c>
      <c r="H742" s="459"/>
      <c r="I742" s="459" t="e">
        <f>I8+I30+I493+I520+I717</f>
        <v>#REF!</v>
      </c>
      <c r="J742" s="459">
        <f>J8+J30+J493+J520+J717</f>
        <v>560274759.8900001</v>
      </c>
      <c r="K742" s="462">
        <f t="shared" si="318"/>
        <v>111.17949330400154</v>
      </c>
      <c r="L742" s="462">
        <f t="shared" si="319"/>
        <v>56337618.930000067</v>
      </c>
      <c r="M742" s="459">
        <f>M8+M30+M493+M520+M717</f>
        <v>489798066.19000006</v>
      </c>
      <c r="N742" s="178">
        <f t="shared" si="317"/>
        <v>-70476693.700000048</v>
      </c>
    </row>
    <row r="743" spans="1:14" s="184" customFormat="1" x14ac:dyDescent="0.3">
      <c r="A743" s="383"/>
      <c r="B743" s="192"/>
      <c r="C743" s="192"/>
      <c r="D743" s="491" t="s">
        <v>1107</v>
      </c>
      <c r="E743" s="192"/>
      <c r="F743" s="449"/>
      <c r="G743" s="449">
        <f>511169940.96-7232800-17069200.78</f>
        <v>486867940.17999995</v>
      </c>
      <c r="H743" s="449"/>
      <c r="I743" s="449"/>
      <c r="J743" s="449"/>
      <c r="K743" s="449">
        <v>100.6</v>
      </c>
      <c r="L743" s="462"/>
      <c r="M743" s="449">
        <v>489798066</v>
      </c>
      <c r="N743" s="192"/>
    </row>
    <row r="744" spans="1:14" s="184" customFormat="1" x14ac:dyDescent="0.3">
      <c r="A744" s="383"/>
      <c r="B744" s="192"/>
      <c r="C744" s="192"/>
      <c r="D744" s="491" t="s">
        <v>1106</v>
      </c>
      <c r="E744" s="192"/>
      <c r="F744" s="449"/>
      <c r="G744" s="449">
        <v>675094322.65999997</v>
      </c>
      <c r="H744" s="449"/>
      <c r="I744" s="449"/>
      <c r="J744" s="449"/>
      <c r="K744" s="449"/>
      <c r="L744" s="449"/>
      <c r="M744" s="464"/>
      <c r="N744" s="192"/>
    </row>
    <row r="745" spans="1:14" s="184" customFormat="1" x14ac:dyDescent="0.3">
      <c r="A745" s="195"/>
      <c r="B745" s="183"/>
      <c r="C745" s="183"/>
      <c r="D745" s="492" t="s">
        <v>1108</v>
      </c>
      <c r="E745" s="183"/>
      <c r="G745" s="184">
        <v>7232800</v>
      </c>
      <c r="I745" s="454"/>
      <c r="M745" s="183"/>
      <c r="N745" s="183"/>
    </row>
    <row r="746" spans="1:14" s="184" customFormat="1" x14ac:dyDescent="0.3">
      <c r="A746" s="195"/>
      <c r="B746" s="183"/>
      <c r="C746" s="183"/>
      <c r="D746" s="492" t="s">
        <v>1112</v>
      </c>
      <c r="E746" s="183"/>
      <c r="G746" s="184">
        <f>G743-G742</f>
        <v>-17069200.780000091</v>
      </c>
      <c r="I746" s="454"/>
      <c r="N746" s="183"/>
    </row>
    <row r="747" spans="1:14" s="184" customFormat="1" x14ac:dyDescent="0.3">
      <c r="A747" s="195"/>
      <c r="B747" s="183"/>
      <c r="C747" s="183"/>
      <c r="D747" s="492"/>
      <c r="E747" s="183"/>
      <c r="I747" s="454"/>
      <c r="N747" s="183"/>
    </row>
    <row r="748" spans="1:14" s="184" customFormat="1" x14ac:dyDescent="0.3">
      <c r="A748" s="195"/>
      <c r="B748" s="183"/>
      <c r="C748" s="183"/>
      <c r="D748" s="493"/>
      <c r="E748" s="183"/>
      <c r="I748" s="454"/>
      <c r="J748" s="251"/>
      <c r="K748" s="251"/>
      <c r="L748" s="251"/>
      <c r="M748" s="250"/>
      <c r="N748" s="183"/>
    </row>
    <row r="749" spans="1:14" s="184" customFormat="1" ht="18.350000000000001" x14ac:dyDescent="0.3">
      <c r="A749" s="671"/>
      <c r="B749" s="671"/>
      <c r="C749" s="671"/>
      <c r="D749" s="671"/>
      <c r="E749" s="671"/>
      <c r="F749" s="671"/>
      <c r="G749" s="671"/>
      <c r="H749" s="511"/>
      <c r="I749" s="512"/>
      <c r="J749" s="513"/>
      <c r="K749" s="514"/>
      <c r="L749" s="514"/>
      <c r="M749" s="251"/>
      <c r="N749" s="183"/>
    </row>
    <row r="750" spans="1:14" s="184" customFormat="1" ht="18.350000000000001" x14ac:dyDescent="0.3">
      <c r="A750" s="670"/>
      <c r="B750" s="670"/>
      <c r="C750" s="670"/>
      <c r="D750" s="670"/>
      <c r="E750" s="670"/>
      <c r="F750" s="670"/>
      <c r="G750" s="670"/>
      <c r="H750" s="515"/>
      <c r="I750" s="512"/>
      <c r="J750" s="516"/>
      <c r="K750" s="251"/>
      <c r="L750" s="251"/>
      <c r="M750" s="251"/>
      <c r="N750" s="183"/>
    </row>
    <row r="751" spans="1:14" s="184" customFormat="1" ht="18.350000000000001" x14ac:dyDescent="0.3">
      <c r="A751" s="670"/>
      <c r="B751" s="670"/>
      <c r="C751" s="670"/>
      <c r="D751" s="670"/>
      <c r="E751" s="670"/>
      <c r="F751" s="670"/>
      <c r="G751" s="670"/>
      <c r="H751" s="515"/>
      <c r="I751" s="512"/>
      <c r="J751" s="516"/>
      <c r="M751" s="183"/>
      <c r="N751" s="183"/>
    </row>
    <row r="752" spans="1:14" s="184" customFormat="1" ht="18.350000000000001" x14ac:dyDescent="0.3">
      <c r="A752" s="670"/>
      <c r="B752" s="670"/>
      <c r="C752" s="670"/>
      <c r="D752" s="670"/>
      <c r="E752" s="670"/>
      <c r="F752" s="670"/>
      <c r="G752" s="670"/>
      <c r="H752" s="515"/>
      <c r="I752" s="512"/>
      <c r="J752" s="516"/>
      <c r="M752" s="183"/>
      <c r="N752" s="183"/>
    </row>
    <row r="753" spans="1:14" s="184" customFormat="1" ht="18.350000000000001" x14ac:dyDescent="0.3">
      <c r="A753" s="670"/>
      <c r="B753" s="670"/>
      <c r="C753" s="670"/>
      <c r="D753" s="670"/>
      <c r="E753" s="670"/>
      <c r="F753" s="670"/>
      <c r="G753" s="670"/>
      <c r="H753" s="515"/>
      <c r="I753" s="512"/>
      <c r="J753" s="516"/>
      <c r="M753" s="183"/>
      <c r="N753" s="183"/>
    </row>
    <row r="754" spans="1:14" s="184" customFormat="1" ht="18.350000000000001" x14ac:dyDescent="0.3">
      <c r="A754" s="670"/>
      <c r="B754" s="670"/>
      <c r="C754" s="670"/>
      <c r="D754" s="670"/>
      <c r="E754" s="670"/>
      <c r="F754" s="670"/>
      <c r="G754" s="670"/>
      <c r="H754" s="515"/>
      <c r="I754" s="512"/>
      <c r="J754" s="516"/>
      <c r="M754" s="183"/>
      <c r="N754" s="183"/>
    </row>
    <row r="755" spans="1:14" s="184" customFormat="1" ht="18.350000000000001" x14ac:dyDescent="0.3">
      <c r="A755" s="670"/>
      <c r="B755" s="670"/>
      <c r="C755" s="670"/>
      <c r="D755" s="670"/>
      <c r="E755" s="670"/>
      <c r="F755" s="670"/>
      <c r="G755" s="670"/>
      <c r="H755" s="515"/>
      <c r="I755" s="512"/>
      <c r="J755" s="516"/>
      <c r="M755" s="183"/>
      <c r="N755" s="183"/>
    </row>
    <row r="756" spans="1:14" s="184" customFormat="1" ht="18.350000000000001" x14ac:dyDescent="0.3">
      <c r="A756" s="671"/>
      <c r="B756" s="671"/>
      <c r="C756" s="671"/>
      <c r="D756" s="671"/>
      <c r="E756" s="671"/>
      <c r="F756" s="671"/>
      <c r="G756" s="671"/>
      <c r="H756" s="515"/>
      <c r="I756" s="512"/>
      <c r="J756" s="513"/>
      <c r="M756" s="183"/>
      <c r="N756" s="183"/>
    </row>
    <row r="757" spans="1:14" s="184" customFormat="1" ht="18.350000000000001" x14ac:dyDescent="0.3">
      <c r="A757" s="670"/>
      <c r="B757" s="670"/>
      <c r="C757" s="670"/>
      <c r="D757" s="670"/>
      <c r="E757" s="670"/>
      <c r="F757" s="670"/>
      <c r="G757" s="670"/>
      <c r="H757" s="515"/>
      <c r="I757" s="512"/>
      <c r="J757" s="516"/>
      <c r="M757" s="183"/>
      <c r="N757" s="183"/>
    </row>
    <row r="758" spans="1:14" s="184" customFormat="1" ht="18.350000000000001" x14ac:dyDescent="0.3">
      <c r="A758" s="670"/>
      <c r="B758" s="670"/>
      <c r="C758" s="670"/>
      <c r="D758" s="670"/>
      <c r="E758" s="670"/>
      <c r="F758" s="670"/>
      <c r="G758" s="670"/>
      <c r="H758" s="515"/>
      <c r="I758" s="512"/>
      <c r="J758" s="516"/>
      <c r="M758" s="183"/>
      <c r="N758" s="183"/>
    </row>
    <row r="759" spans="1:14" s="184" customFormat="1" ht="18.350000000000001" x14ac:dyDescent="0.3">
      <c r="A759" s="670"/>
      <c r="B759" s="670"/>
      <c r="C759" s="670"/>
      <c r="D759" s="670"/>
      <c r="E759" s="670"/>
      <c r="F759" s="670"/>
      <c r="G759" s="670"/>
      <c r="H759" s="517"/>
      <c r="I759" s="512"/>
      <c r="J759" s="516"/>
      <c r="K759" s="253"/>
      <c r="L759" s="253"/>
      <c r="M759" s="183"/>
      <c r="N759" s="183"/>
    </row>
    <row r="760" spans="1:14" s="184" customFormat="1" ht="18.350000000000001" x14ac:dyDescent="0.3">
      <c r="A760" s="670"/>
      <c r="B760" s="670"/>
      <c r="C760" s="670"/>
      <c r="D760" s="670"/>
      <c r="E760" s="670"/>
      <c r="F760" s="670"/>
      <c r="G760" s="670"/>
      <c r="H760" s="517"/>
      <c r="I760" s="512"/>
      <c r="J760" s="516"/>
      <c r="K760" s="253"/>
      <c r="L760" s="253"/>
      <c r="M760" s="183"/>
      <c r="N760" s="183"/>
    </row>
    <row r="761" spans="1:14" s="184" customFormat="1" ht="18.350000000000001" x14ac:dyDescent="0.3">
      <c r="A761" s="670"/>
      <c r="B761" s="670"/>
      <c r="C761" s="670"/>
      <c r="D761" s="670"/>
      <c r="E761" s="670"/>
      <c r="F761" s="670"/>
      <c r="G761" s="670"/>
      <c r="H761" s="515"/>
      <c r="I761" s="512"/>
      <c r="J761" s="516"/>
      <c r="M761" s="183"/>
      <c r="N761" s="183"/>
    </row>
    <row r="762" spans="1:14" s="184" customFormat="1" ht="18.350000000000001" x14ac:dyDescent="0.3">
      <c r="A762" s="670"/>
      <c r="B762" s="670"/>
      <c r="C762" s="670"/>
      <c r="D762" s="670"/>
      <c r="E762" s="670"/>
      <c r="F762" s="670"/>
      <c r="G762" s="670"/>
      <c r="H762" s="517"/>
      <c r="I762" s="512"/>
      <c r="J762" s="516"/>
      <c r="K762" s="253"/>
      <c r="L762" s="253"/>
      <c r="M762" s="183"/>
      <c r="N762" s="183"/>
    </row>
    <row r="763" spans="1:14" s="184" customFormat="1" ht="18.350000000000001" x14ac:dyDescent="0.3">
      <c r="A763" s="670"/>
      <c r="B763" s="670"/>
      <c r="C763" s="670"/>
      <c r="D763" s="670"/>
      <c r="E763" s="670"/>
      <c r="F763" s="670"/>
      <c r="G763" s="670"/>
      <c r="H763" s="517"/>
      <c r="I763" s="512"/>
      <c r="J763" s="516"/>
      <c r="K763" s="253"/>
      <c r="L763" s="253"/>
      <c r="M763" s="183"/>
      <c r="N763" s="183"/>
    </row>
    <row r="764" spans="1:14" s="184" customFormat="1" ht="18.350000000000001" x14ac:dyDescent="0.3">
      <c r="A764" s="670"/>
      <c r="B764" s="670"/>
      <c r="C764" s="670"/>
      <c r="D764" s="670"/>
      <c r="E764" s="670"/>
      <c r="F764" s="670"/>
      <c r="G764" s="670"/>
      <c r="H764" s="518"/>
      <c r="I764" s="512"/>
      <c r="J764" s="516"/>
      <c r="K764" s="262"/>
      <c r="L764" s="262"/>
      <c r="M764" s="183"/>
      <c r="N764" s="183"/>
    </row>
    <row r="765" spans="1:14" s="184" customFormat="1" ht="18.350000000000001" x14ac:dyDescent="0.3">
      <c r="A765" s="670"/>
      <c r="B765" s="670"/>
      <c r="C765" s="670"/>
      <c r="D765" s="670"/>
      <c r="E765" s="670"/>
      <c r="F765" s="670"/>
      <c r="G765" s="670"/>
      <c r="H765" s="518"/>
      <c r="I765" s="512"/>
      <c r="J765" s="516"/>
      <c r="K765" s="262"/>
      <c r="L765" s="262"/>
      <c r="M765" s="183"/>
      <c r="N765" s="183"/>
    </row>
    <row r="766" spans="1:14" s="184" customFormat="1" ht="18.350000000000001" x14ac:dyDescent="0.3">
      <c r="A766" s="670"/>
      <c r="B766" s="670"/>
      <c r="C766" s="670"/>
      <c r="D766" s="670"/>
      <c r="E766" s="670"/>
      <c r="F766" s="670"/>
      <c r="G766" s="670"/>
      <c r="H766" s="518"/>
      <c r="I766" s="512"/>
      <c r="J766" s="516"/>
      <c r="K766" s="262"/>
      <c r="L766" s="262"/>
      <c r="M766" s="183"/>
      <c r="N766" s="183"/>
    </row>
    <row r="767" spans="1:14" s="184" customFormat="1" ht="18.350000000000001" x14ac:dyDescent="0.3">
      <c r="A767" s="670"/>
      <c r="B767" s="670"/>
      <c r="C767" s="670"/>
      <c r="D767" s="670"/>
      <c r="E767" s="670"/>
      <c r="F767" s="670"/>
      <c r="G767" s="670"/>
      <c r="H767" s="517"/>
      <c r="I767" s="512"/>
      <c r="J767" s="516"/>
      <c r="K767" s="253"/>
      <c r="L767" s="253"/>
      <c r="M767" s="183"/>
      <c r="N767" s="183"/>
    </row>
    <row r="768" spans="1:14" s="184" customFormat="1" ht="18.350000000000001" x14ac:dyDescent="0.3">
      <c r="A768" s="670"/>
      <c r="B768" s="670"/>
      <c r="C768" s="670"/>
      <c r="D768" s="670"/>
      <c r="E768" s="670"/>
      <c r="F768" s="670"/>
      <c r="G768" s="670"/>
      <c r="H768" s="517"/>
      <c r="I768" s="512"/>
      <c r="J768" s="516"/>
      <c r="K768" s="253"/>
      <c r="L768" s="253"/>
      <c r="M768" s="183"/>
      <c r="N768" s="183"/>
    </row>
    <row r="769" spans="1:14" s="184" customFormat="1" ht="18.350000000000001" x14ac:dyDescent="0.3">
      <c r="A769" s="670"/>
      <c r="B769" s="670"/>
      <c r="C769" s="670"/>
      <c r="D769" s="670"/>
      <c r="E769" s="670"/>
      <c r="F769" s="670"/>
      <c r="G769" s="670"/>
      <c r="H769" s="517"/>
      <c r="I769" s="512"/>
      <c r="J769" s="516"/>
      <c r="K769" s="253"/>
      <c r="L769" s="253"/>
      <c r="M769" s="183"/>
      <c r="N769" s="183"/>
    </row>
    <row r="770" spans="1:14" s="184" customFormat="1" ht="18.350000000000001" x14ac:dyDescent="0.3">
      <c r="A770" s="519"/>
      <c r="B770" s="519"/>
      <c r="C770" s="519"/>
      <c r="D770" s="519"/>
      <c r="E770" s="519"/>
      <c r="F770" s="519"/>
      <c r="G770" s="519"/>
      <c r="H770" s="517"/>
      <c r="I770" s="512"/>
      <c r="J770" s="516"/>
      <c r="K770" s="253"/>
      <c r="L770" s="253"/>
      <c r="M770" s="183"/>
      <c r="N770" s="183"/>
    </row>
    <row r="771" spans="1:14" s="184" customFormat="1" ht="18.350000000000001" x14ac:dyDescent="0.3">
      <c r="A771" s="671"/>
      <c r="B771" s="671"/>
      <c r="C771" s="671"/>
      <c r="D771" s="671"/>
      <c r="E771" s="671"/>
      <c r="F771" s="671"/>
      <c r="G771" s="671"/>
      <c r="H771" s="517"/>
      <c r="I771" s="512"/>
      <c r="J771" s="513"/>
      <c r="K771" s="253"/>
      <c r="L771" s="253"/>
      <c r="M771" s="183"/>
      <c r="N771" s="183"/>
    </row>
    <row r="772" spans="1:14" s="184" customFormat="1" ht="18.350000000000001" x14ac:dyDescent="0.3">
      <c r="A772" s="670"/>
      <c r="B772" s="670"/>
      <c r="C772" s="670"/>
      <c r="D772" s="670"/>
      <c r="E772" s="670"/>
      <c r="F772" s="670"/>
      <c r="G772" s="670"/>
      <c r="H772" s="517"/>
      <c r="I772" s="512"/>
      <c r="J772" s="516"/>
      <c r="K772" s="253"/>
      <c r="L772" s="253"/>
      <c r="M772" s="183"/>
      <c r="N772" s="183"/>
    </row>
    <row r="773" spans="1:14" s="184" customFormat="1" ht="18.350000000000001" x14ac:dyDescent="0.3">
      <c r="A773" s="670"/>
      <c r="B773" s="670"/>
      <c r="C773" s="670"/>
      <c r="D773" s="670"/>
      <c r="E773" s="670"/>
      <c r="F773" s="670"/>
      <c r="G773" s="670"/>
      <c r="H773" s="517"/>
      <c r="I773" s="512"/>
      <c r="J773" s="516"/>
      <c r="K773" s="253"/>
      <c r="L773" s="253"/>
      <c r="M773" s="183"/>
      <c r="N773" s="183"/>
    </row>
    <row r="774" spans="1:14" s="184" customFormat="1" ht="18.350000000000001" x14ac:dyDescent="0.3">
      <c r="A774" s="670"/>
      <c r="B774" s="670"/>
      <c r="C774" s="670"/>
      <c r="D774" s="670"/>
      <c r="E774" s="670"/>
      <c r="F774" s="670"/>
      <c r="G774" s="670"/>
      <c r="H774" s="517"/>
      <c r="I774" s="512"/>
      <c r="J774" s="516"/>
      <c r="K774" s="253"/>
      <c r="L774" s="253"/>
      <c r="M774" s="183"/>
      <c r="N774" s="183"/>
    </row>
    <row r="775" spans="1:14" s="184" customFormat="1" ht="18.350000000000001" x14ac:dyDescent="0.3">
      <c r="A775" s="670"/>
      <c r="B775" s="670"/>
      <c r="C775" s="670"/>
      <c r="D775" s="670"/>
      <c r="E775" s="670"/>
      <c r="F775" s="670"/>
      <c r="G775" s="670"/>
      <c r="H775" s="517"/>
      <c r="I775" s="512"/>
      <c r="J775" s="516"/>
      <c r="K775" s="253"/>
      <c r="L775" s="253"/>
      <c r="M775" s="183"/>
      <c r="N775" s="183"/>
    </row>
    <row r="776" spans="1:14" s="184" customFormat="1" ht="18.350000000000001" x14ac:dyDescent="0.3">
      <c r="A776" s="670"/>
      <c r="B776" s="670"/>
      <c r="C776" s="670"/>
      <c r="D776" s="670"/>
      <c r="E776" s="670"/>
      <c r="F776" s="670"/>
      <c r="G776" s="670"/>
      <c r="H776" s="517"/>
      <c r="I776" s="512"/>
      <c r="J776" s="516"/>
      <c r="K776" s="253"/>
      <c r="L776" s="253"/>
      <c r="M776" s="183"/>
      <c r="N776" s="183"/>
    </row>
    <row r="777" spans="1:14" s="184" customFormat="1" ht="18.350000000000001" x14ac:dyDescent="0.3">
      <c r="A777" s="670"/>
      <c r="B777" s="670"/>
      <c r="C777" s="670"/>
      <c r="D777" s="670"/>
      <c r="E777" s="670"/>
      <c r="F777" s="670"/>
      <c r="G777" s="670"/>
      <c r="H777" s="517"/>
      <c r="I777" s="512"/>
      <c r="J777" s="516"/>
      <c r="K777" s="253"/>
      <c r="L777" s="253"/>
      <c r="M777" s="183"/>
      <c r="N777" s="183"/>
    </row>
    <row r="778" spans="1:14" s="184" customFormat="1" ht="18.350000000000001" x14ac:dyDescent="0.3">
      <c r="A778" s="671"/>
      <c r="B778" s="671"/>
      <c r="C778" s="671"/>
      <c r="D778" s="671"/>
      <c r="E778" s="671"/>
      <c r="F778" s="671"/>
      <c r="G778" s="671"/>
      <c r="H778" s="517"/>
      <c r="I778" s="512"/>
      <c r="J778" s="520"/>
      <c r="K778" s="253"/>
      <c r="L778" s="253"/>
      <c r="M778" s="183"/>
      <c r="N778" s="183"/>
    </row>
    <row r="779" spans="1:14" s="184" customFormat="1" x14ac:dyDescent="0.3">
      <c r="A779" s="521"/>
      <c r="B779" s="250"/>
      <c r="C779" s="251"/>
      <c r="D779" s="522"/>
      <c r="E779" s="183"/>
      <c r="G779" s="253"/>
      <c r="H779" s="253"/>
      <c r="I779" s="454"/>
      <c r="J779" s="253"/>
      <c r="K779" s="253"/>
      <c r="L779" s="253"/>
      <c r="M779" s="183"/>
      <c r="N779" s="183"/>
    </row>
    <row r="780" spans="1:14" s="184" customFormat="1" x14ac:dyDescent="0.3">
      <c r="A780" s="521"/>
      <c r="B780" s="250"/>
      <c r="C780" s="251"/>
      <c r="D780" s="522"/>
      <c r="E780" s="183"/>
      <c r="G780" s="253"/>
      <c r="H780" s="253"/>
      <c r="I780" s="454"/>
      <c r="J780" s="253"/>
      <c r="K780" s="253"/>
      <c r="L780" s="253"/>
      <c r="M780" s="183"/>
      <c r="N780" s="183"/>
    </row>
    <row r="781" spans="1:14" s="184" customFormat="1" x14ac:dyDescent="0.3">
      <c r="A781" s="195"/>
      <c r="B781" s="183"/>
      <c r="D781" s="522"/>
      <c r="E781" s="183"/>
      <c r="G781" s="253"/>
      <c r="H781" s="253"/>
      <c r="I781" s="454"/>
      <c r="J781" s="253"/>
      <c r="K781" s="253"/>
      <c r="L781" s="253"/>
      <c r="M781" s="183"/>
      <c r="N781" s="183"/>
    </row>
    <row r="782" spans="1:14" s="184" customFormat="1" x14ac:dyDescent="0.3">
      <c r="A782" s="195"/>
      <c r="B782" s="183"/>
      <c r="D782" s="522"/>
      <c r="E782" s="183"/>
      <c r="G782" s="253"/>
      <c r="H782" s="253"/>
      <c r="I782" s="454"/>
      <c r="J782" s="253"/>
      <c r="K782" s="253"/>
      <c r="L782" s="253"/>
      <c r="M782" s="183"/>
      <c r="N782" s="183"/>
    </row>
    <row r="783" spans="1:14" s="184" customFormat="1" x14ac:dyDescent="0.3">
      <c r="A783" s="195"/>
      <c r="B783" s="183"/>
      <c r="D783" s="522"/>
      <c r="E783" s="183"/>
      <c r="G783" s="253"/>
      <c r="H783" s="253"/>
      <c r="I783" s="454"/>
      <c r="J783" s="253"/>
      <c r="K783" s="253"/>
      <c r="L783" s="253"/>
      <c r="M783" s="183"/>
      <c r="N783" s="183"/>
    </row>
    <row r="784" spans="1:14" s="184" customFormat="1" x14ac:dyDescent="0.3">
      <c r="A784" s="195"/>
      <c r="B784" s="183"/>
      <c r="D784" s="522"/>
      <c r="E784" s="183"/>
      <c r="G784" s="253"/>
      <c r="H784" s="253"/>
      <c r="I784" s="454"/>
      <c r="J784" s="253"/>
      <c r="K784" s="253"/>
      <c r="L784" s="253"/>
      <c r="M784" s="183"/>
      <c r="N784" s="183"/>
    </row>
    <row r="785" spans="1:14" s="184" customFormat="1" x14ac:dyDescent="0.3">
      <c r="A785" s="195"/>
      <c r="B785" s="183"/>
      <c r="D785" s="522"/>
      <c r="E785" s="183"/>
      <c r="G785" s="253"/>
      <c r="H785" s="253"/>
      <c r="I785" s="454"/>
      <c r="J785" s="253"/>
      <c r="K785" s="253"/>
      <c r="L785" s="253"/>
      <c r="M785" s="183"/>
      <c r="N785" s="183"/>
    </row>
    <row r="786" spans="1:14" s="184" customFormat="1" x14ac:dyDescent="0.3">
      <c r="A786" s="195"/>
      <c r="B786" s="183"/>
      <c r="D786" s="522"/>
      <c r="E786" s="183"/>
      <c r="G786" s="253"/>
      <c r="H786" s="253"/>
      <c r="I786" s="454"/>
      <c r="J786" s="253"/>
      <c r="K786" s="253"/>
      <c r="L786" s="253"/>
      <c r="M786" s="183"/>
      <c r="N786" s="183"/>
    </row>
    <row r="787" spans="1:14" s="184" customFormat="1" x14ac:dyDescent="0.3">
      <c r="A787" s="195"/>
      <c r="B787" s="183"/>
      <c r="D787" s="183"/>
      <c r="E787" s="183"/>
      <c r="G787" s="260"/>
      <c r="H787" s="260"/>
      <c r="I787" s="454"/>
      <c r="J787" s="260"/>
      <c r="K787" s="253"/>
      <c r="L787" s="253"/>
      <c r="M787" s="183"/>
      <c r="N787" s="183"/>
    </row>
    <row r="788" spans="1:14" s="184" customFormat="1" x14ac:dyDescent="0.3">
      <c r="A788" s="195"/>
      <c r="B788" s="183"/>
      <c r="D788" s="183"/>
      <c r="E788" s="183"/>
      <c r="G788" s="260"/>
      <c r="H788" s="260"/>
      <c r="I788" s="454"/>
      <c r="J788" s="260"/>
      <c r="K788" s="253"/>
      <c r="L788" s="253"/>
      <c r="M788" s="183"/>
      <c r="N788" s="183"/>
    </row>
    <row r="789" spans="1:14" x14ac:dyDescent="0.3">
      <c r="C789" s="184"/>
    </row>
    <row r="790" spans="1:14" s="184" customFormat="1" x14ac:dyDescent="0.3">
      <c r="A790" s="195"/>
      <c r="B790" s="183"/>
      <c r="D790" s="183"/>
      <c r="E790" s="183"/>
      <c r="G790" s="253"/>
      <c r="H790" s="253"/>
      <c r="I790" s="454"/>
      <c r="J790" s="253"/>
      <c r="K790" s="253"/>
      <c r="L790" s="253"/>
      <c r="M790" s="183"/>
      <c r="N790" s="183"/>
    </row>
    <row r="791" spans="1:14" s="184" customFormat="1" x14ac:dyDescent="0.3">
      <c r="A791" s="258"/>
      <c r="B791" s="183"/>
      <c r="C791" s="264"/>
      <c r="D791" s="183"/>
      <c r="E791" s="183"/>
      <c r="G791" s="253"/>
      <c r="H791" s="253"/>
      <c r="I791" s="454"/>
      <c r="M791" s="183"/>
      <c r="N791" s="183"/>
    </row>
  </sheetData>
  <autoFilter ref="A7:N744"/>
  <mergeCells count="32">
    <mergeCell ref="A777:G777"/>
    <mergeCell ref="A778:G778"/>
    <mergeCell ref="A771:G771"/>
    <mergeCell ref="A772:G772"/>
    <mergeCell ref="A773:G773"/>
    <mergeCell ref="A774:G774"/>
    <mergeCell ref="A775:G775"/>
    <mergeCell ref="A776:G776"/>
    <mergeCell ref="A769:G769"/>
    <mergeCell ref="A758:G758"/>
    <mergeCell ref="A759:G759"/>
    <mergeCell ref="A760:G760"/>
    <mergeCell ref="A761:G761"/>
    <mergeCell ref="A762:G762"/>
    <mergeCell ref="A763:G763"/>
    <mergeCell ref="A764:G764"/>
    <mergeCell ref="A765:G765"/>
    <mergeCell ref="A766:G766"/>
    <mergeCell ref="A767:G767"/>
    <mergeCell ref="A768:G768"/>
    <mergeCell ref="A757:G757"/>
    <mergeCell ref="A3:G3"/>
    <mergeCell ref="A4:G4"/>
    <mergeCell ref="A5:G5"/>
    <mergeCell ref="A749:G749"/>
    <mergeCell ref="A750:G750"/>
    <mergeCell ref="A751:G751"/>
    <mergeCell ref="A752:G752"/>
    <mergeCell ref="A753:G753"/>
    <mergeCell ref="A754:G754"/>
    <mergeCell ref="A755:G755"/>
    <mergeCell ref="A756:G756"/>
  </mergeCells>
  <pageMargins left="1.1811023622047243" right="0.39370078740157483" top="0.39370078740157483" bottom="0.39370078740157483" header="0.31496062992125984" footer="0.31496062992125984"/>
  <pageSetup paperSize="9" scale="50" fitToHeight="0" orientation="portrait" r:id="rId1"/>
  <rowBreaks count="3" manualBreakCount="3">
    <brk id="89" max="13" man="1"/>
    <brk id="164" max="13" man="1"/>
    <brk id="421" max="1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N772"/>
  <sheetViews>
    <sheetView topLeftCell="A49" zoomScale="110" zoomScaleNormal="110" zoomScaleSheetLayoutView="90" workbookViewId="0">
      <selection activeCell="M59" sqref="M59"/>
    </sheetView>
  </sheetViews>
  <sheetFormatPr defaultRowHeight="17" outlineLevelRow="7" x14ac:dyDescent="0.3"/>
  <cols>
    <col min="1" max="1" width="50.875" style="195" customWidth="1"/>
    <col min="2" max="2" width="5.25" style="183" customWidth="1"/>
    <col min="3" max="3" width="8.375" style="183" customWidth="1"/>
    <col min="4" max="4" width="15.375" style="525" customWidth="1"/>
    <col min="5" max="5" width="6.875" style="183" customWidth="1"/>
    <col min="6" max="6" width="17" style="184" hidden="1" customWidth="1"/>
    <col min="7" max="7" width="16.875" style="253" hidden="1" customWidth="1"/>
    <col min="8" max="8" width="21.125" style="253" hidden="1" customWidth="1"/>
    <col min="9" max="9" width="19.75" style="454" hidden="1" customWidth="1"/>
    <col min="10" max="10" width="17.125" style="184" customWidth="1"/>
    <col min="11" max="11" width="12.25" style="184" hidden="1" customWidth="1"/>
    <col min="12" max="12" width="15.625" style="184" hidden="1" customWidth="1"/>
    <col min="13" max="13" width="16.875" style="183" customWidth="1"/>
    <col min="14" max="14" width="17.25" style="183" customWidth="1"/>
    <col min="15" max="241" width="9" style="183"/>
    <col min="242" max="242" width="75.875" style="183" customWidth="1"/>
    <col min="243" max="244" width="7.625" style="183" customWidth="1"/>
    <col min="245" max="245" width="9.625" style="183" customWidth="1"/>
    <col min="246" max="246" width="7.625" style="183" customWidth="1"/>
    <col min="247" max="250" width="0" style="183" hidden="1" customWidth="1"/>
    <col min="251" max="251" width="14.375" style="183" customWidth="1"/>
    <col min="252" max="257" width="0" style="183" hidden="1" customWidth="1"/>
    <col min="258" max="258" width="10.125" style="183" bestFit="1" customWidth="1"/>
    <col min="259" max="497" width="9" style="183"/>
    <col min="498" max="498" width="75.875" style="183" customWidth="1"/>
    <col min="499" max="500" width="7.625" style="183" customWidth="1"/>
    <col min="501" max="501" width="9.625" style="183" customWidth="1"/>
    <col min="502" max="502" width="7.625" style="183" customWidth="1"/>
    <col min="503" max="506" width="0" style="183" hidden="1" customWidth="1"/>
    <col min="507" max="507" width="14.375" style="183" customWidth="1"/>
    <col min="508" max="513" width="0" style="183" hidden="1" customWidth="1"/>
    <col min="514" max="514" width="10.125" style="183" bestFit="1" customWidth="1"/>
    <col min="515" max="753" width="9" style="183"/>
    <col min="754" max="754" width="75.875" style="183" customWidth="1"/>
    <col min="755" max="756" width="7.625" style="183" customWidth="1"/>
    <col min="757" max="757" width="9.625" style="183" customWidth="1"/>
    <col min="758" max="758" width="7.625" style="183" customWidth="1"/>
    <col min="759" max="762" width="0" style="183" hidden="1" customWidth="1"/>
    <col min="763" max="763" width="14.375" style="183" customWidth="1"/>
    <col min="764" max="769" width="0" style="183" hidden="1" customWidth="1"/>
    <col min="770" max="770" width="10.125" style="183" bestFit="1" customWidth="1"/>
    <col min="771" max="1009" width="9" style="183"/>
    <col min="1010" max="1010" width="75.875" style="183" customWidth="1"/>
    <col min="1011" max="1012" width="7.625" style="183" customWidth="1"/>
    <col min="1013" max="1013" width="9.625" style="183" customWidth="1"/>
    <col min="1014" max="1014" width="7.625" style="183" customWidth="1"/>
    <col min="1015" max="1018" width="0" style="183" hidden="1" customWidth="1"/>
    <col min="1019" max="1019" width="14.375" style="183" customWidth="1"/>
    <col min="1020" max="1025" width="0" style="183" hidden="1" customWidth="1"/>
    <col min="1026" max="1026" width="10.125" style="183" bestFit="1" customWidth="1"/>
    <col min="1027" max="1265" width="9" style="183"/>
    <col min="1266" max="1266" width="75.875" style="183" customWidth="1"/>
    <col min="1267" max="1268" width="7.625" style="183" customWidth="1"/>
    <col min="1269" max="1269" width="9.625" style="183" customWidth="1"/>
    <col min="1270" max="1270" width="7.625" style="183" customWidth="1"/>
    <col min="1271" max="1274" width="0" style="183" hidden="1" customWidth="1"/>
    <col min="1275" max="1275" width="14.375" style="183" customWidth="1"/>
    <col min="1276" max="1281" width="0" style="183" hidden="1" customWidth="1"/>
    <col min="1282" max="1282" width="10.125" style="183" bestFit="1" customWidth="1"/>
    <col min="1283" max="1521" width="9" style="183"/>
    <col min="1522" max="1522" width="75.875" style="183" customWidth="1"/>
    <col min="1523" max="1524" width="7.625" style="183" customWidth="1"/>
    <col min="1525" max="1525" width="9.625" style="183" customWidth="1"/>
    <col min="1526" max="1526" width="7.625" style="183" customWidth="1"/>
    <col min="1527" max="1530" width="0" style="183" hidden="1" customWidth="1"/>
    <col min="1531" max="1531" width="14.375" style="183" customWidth="1"/>
    <col min="1532" max="1537" width="0" style="183" hidden="1" customWidth="1"/>
    <col min="1538" max="1538" width="10.125" style="183" bestFit="1" customWidth="1"/>
    <col min="1539" max="1777" width="9" style="183"/>
    <col min="1778" max="1778" width="75.875" style="183" customWidth="1"/>
    <col min="1779" max="1780" width="7.625" style="183" customWidth="1"/>
    <col min="1781" max="1781" width="9.625" style="183" customWidth="1"/>
    <col min="1782" max="1782" width="7.625" style="183" customWidth="1"/>
    <col min="1783" max="1786" width="0" style="183" hidden="1" customWidth="1"/>
    <col min="1787" max="1787" width="14.375" style="183" customWidth="1"/>
    <col min="1788" max="1793" width="0" style="183" hidden="1" customWidth="1"/>
    <col min="1794" max="1794" width="10.125" style="183" bestFit="1" customWidth="1"/>
    <col min="1795" max="2033" width="9" style="183"/>
    <col min="2034" max="2034" width="75.875" style="183" customWidth="1"/>
    <col min="2035" max="2036" width="7.625" style="183" customWidth="1"/>
    <col min="2037" max="2037" width="9.625" style="183" customWidth="1"/>
    <col min="2038" max="2038" width="7.625" style="183" customWidth="1"/>
    <col min="2039" max="2042" width="0" style="183" hidden="1" customWidth="1"/>
    <col min="2043" max="2043" width="14.375" style="183" customWidth="1"/>
    <col min="2044" max="2049" width="0" style="183" hidden="1" customWidth="1"/>
    <col min="2050" max="2050" width="10.125" style="183" bestFit="1" customWidth="1"/>
    <col min="2051" max="2289" width="9" style="183"/>
    <col min="2290" max="2290" width="75.875" style="183" customWidth="1"/>
    <col min="2291" max="2292" width="7.625" style="183" customWidth="1"/>
    <col min="2293" max="2293" width="9.625" style="183" customWidth="1"/>
    <col min="2294" max="2294" width="7.625" style="183" customWidth="1"/>
    <col min="2295" max="2298" width="0" style="183" hidden="1" customWidth="1"/>
    <col min="2299" max="2299" width="14.375" style="183" customWidth="1"/>
    <col min="2300" max="2305" width="0" style="183" hidden="1" customWidth="1"/>
    <col min="2306" max="2306" width="10.125" style="183" bestFit="1" customWidth="1"/>
    <col min="2307" max="2545" width="9" style="183"/>
    <col min="2546" max="2546" width="75.875" style="183" customWidth="1"/>
    <col min="2547" max="2548" width="7.625" style="183" customWidth="1"/>
    <col min="2549" max="2549" width="9.625" style="183" customWidth="1"/>
    <col min="2550" max="2550" width="7.625" style="183" customWidth="1"/>
    <col min="2551" max="2554" width="0" style="183" hidden="1" customWidth="1"/>
    <col min="2555" max="2555" width="14.375" style="183" customWidth="1"/>
    <col min="2556" max="2561" width="0" style="183" hidden="1" customWidth="1"/>
    <col min="2562" max="2562" width="10.125" style="183" bestFit="1" customWidth="1"/>
    <col min="2563" max="2801" width="9" style="183"/>
    <col min="2802" max="2802" width="75.875" style="183" customWidth="1"/>
    <col min="2803" max="2804" width="7.625" style="183" customWidth="1"/>
    <col min="2805" max="2805" width="9.625" style="183" customWidth="1"/>
    <col min="2806" max="2806" width="7.625" style="183" customWidth="1"/>
    <col min="2807" max="2810" width="0" style="183" hidden="1" customWidth="1"/>
    <col min="2811" max="2811" width="14.375" style="183" customWidth="1"/>
    <col min="2812" max="2817" width="0" style="183" hidden="1" customWidth="1"/>
    <col min="2818" max="2818" width="10.125" style="183" bestFit="1" customWidth="1"/>
    <col min="2819" max="3057" width="9" style="183"/>
    <col min="3058" max="3058" width="75.875" style="183" customWidth="1"/>
    <col min="3059" max="3060" width="7.625" style="183" customWidth="1"/>
    <col min="3061" max="3061" width="9.625" style="183" customWidth="1"/>
    <col min="3062" max="3062" width="7.625" style="183" customWidth="1"/>
    <col min="3063" max="3066" width="0" style="183" hidden="1" customWidth="1"/>
    <col min="3067" max="3067" width="14.375" style="183" customWidth="1"/>
    <col min="3068" max="3073" width="0" style="183" hidden="1" customWidth="1"/>
    <col min="3074" max="3074" width="10.125" style="183" bestFit="1" customWidth="1"/>
    <col min="3075" max="3313" width="9" style="183"/>
    <col min="3314" max="3314" width="75.875" style="183" customWidth="1"/>
    <col min="3315" max="3316" width="7.625" style="183" customWidth="1"/>
    <col min="3317" max="3317" width="9.625" style="183" customWidth="1"/>
    <col min="3318" max="3318" width="7.625" style="183" customWidth="1"/>
    <col min="3319" max="3322" width="0" style="183" hidden="1" customWidth="1"/>
    <col min="3323" max="3323" width="14.375" style="183" customWidth="1"/>
    <col min="3324" max="3329" width="0" style="183" hidden="1" customWidth="1"/>
    <col min="3330" max="3330" width="10.125" style="183" bestFit="1" customWidth="1"/>
    <col min="3331" max="3569" width="9" style="183"/>
    <col min="3570" max="3570" width="75.875" style="183" customWidth="1"/>
    <col min="3571" max="3572" width="7.625" style="183" customWidth="1"/>
    <col min="3573" max="3573" width="9.625" style="183" customWidth="1"/>
    <col min="3574" max="3574" width="7.625" style="183" customWidth="1"/>
    <col min="3575" max="3578" width="0" style="183" hidden="1" customWidth="1"/>
    <col min="3579" max="3579" width="14.375" style="183" customWidth="1"/>
    <col min="3580" max="3585" width="0" style="183" hidden="1" customWidth="1"/>
    <col min="3586" max="3586" width="10.125" style="183" bestFit="1" customWidth="1"/>
    <col min="3587" max="3825" width="9" style="183"/>
    <col min="3826" max="3826" width="75.875" style="183" customWidth="1"/>
    <col min="3827" max="3828" width="7.625" style="183" customWidth="1"/>
    <col min="3829" max="3829" width="9.625" style="183" customWidth="1"/>
    <col min="3830" max="3830" width="7.625" style="183" customWidth="1"/>
    <col min="3831" max="3834" width="0" style="183" hidden="1" customWidth="1"/>
    <col min="3835" max="3835" width="14.375" style="183" customWidth="1"/>
    <col min="3836" max="3841" width="0" style="183" hidden="1" customWidth="1"/>
    <col min="3842" max="3842" width="10.125" style="183" bestFit="1" customWidth="1"/>
    <col min="3843" max="4081" width="9" style="183"/>
    <col min="4082" max="4082" width="75.875" style="183" customWidth="1"/>
    <col min="4083" max="4084" width="7.625" style="183" customWidth="1"/>
    <col min="4085" max="4085" width="9.625" style="183" customWidth="1"/>
    <col min="4086" max="4086" width="7.625" style="183" customWidth="1"/>
    <col min="4087" max="4090" width="0" style="183" hidden="1" customWidth="1"/>
    <col min="4091" max="4091" width="14.375" style="183" customWidth="1"/>
    <col min="4092" max="4097" width="0" style="183" hidden="1" customWidth="1"/>
    <col min="4098" max="4098" width="10.125" style="183" bestFit="1" customWidth="1"/>
    <col min="4099" max="4337" width="9" style="183"/>
    <col min="4338" max="4338" width="75.875" style="183" customWidth="1"/>
    <col min="4339" max="4340" width="7.625" style="183" customWidth="1"/>
    <col min="4341" max="4341" width="9.625" style="183" customWidth="1"/>
    <col min="4342" max="4342" width="7.625" style="183" customWidth="1"/>
    <col min="4343" max="4346" width="0" style="183" hidden="1" customWidth="1"/>
    <col min="4347" max="4347" width="14.375" style="183" customWidth="1"/>
    <col min="4348" max="4353" width="0" style="183" hidden="1" customWidth="1"/>
    <col min="4354" max="4354" width="10.125" style="183" bestFit="1" customWidth="1"/>
    <col min="4355" max="4593" width="9" style="183"/>
    <col min="4594" max="4594" width="75.875" style="183" customWidth="1"/>
    <col min="4595" max="4596" width="7.625" style="183" customWidth="1"/>
    <col min="4597" max="4597" width="9.625" style="183" customWidth="1"/>
    <col min="4598" max="4598" width="7.625" style="183" customWidth="1"/>
    <col min="4599" max="4602" width="0" style="183" hidden="1" customWidth="1"/>
    <col min="4603" max="4603" width="14.375" style="183" customWidth="1"/>
    <col min="4604" max="4609" width="0" style="183" hidden="1" customWidth="1"/>
    <col min="4610" max="4610" width="10.125" style="183" bestFit="1" customWidth="1"/>
    <col min="4611" max="4849" width="9" style="183"/>
    <col min="4850" max="4850" width="75.875" style="183" customWidth="1"/>
    <col min="4851" max="4852" width="7.625" style="183" customWidth="1"/>
    <col min="4853" max="4853" width="9.625" style="183" customWidth="1"/>
    <col min="4854" max="4854" width="7.625" style="183" customWidth="1"/>
    <col min="4855" max="4858" width="0" style="183" hidden="1" customWidth="1"/>
    <col min="4859" max="4859" width="14.375" style="183" customWidth="1"/>
    <col min="4860" max="4865" width="0" style="183" hidden="1" customWidth="1"/>
    <col min="4866" max="4866" width="10.125" style="183" bestFit="1" customWidth="1"/>
    <col min="4867" max="5105" width="9" style="183"/>
    <col min="5106" max="5106" width="75.875" style="183" customWidth="1"/>
    <col min="5107" max="5108" width="7.625" style="183" customWidth="1"/>
    <col min="5109" max="5109" width="9.625" style="183" customWidth="1"/>
    <col min="5110" max="5110" width="7.625" style="183" customWidth="1"/>
    <col min="5111" max="5114" width="0" style="183" hidden="1" customWidth="1"/>
    <col min="5115" max="5115" width="14.375" style="183" customWidth="1"/>
    <col min="5116" max="5121" width="0" style="183" hidden="1" customWidth="1"/>
    <col min="5122" max="5122" width="10.125" style="183" bestFit="1" customWidth="1"/>
    <col min="5123" max="5361" width="9" style="183"/>
    <col min="5362" max="5362" width="75.875" style="183" customWidth="1"/>
    <col min="5363" max="5364" width="7.625" style="183" customWidth="1"/>
    <col min="5365" max="5365" width="9.625" style="183" customWidth="1"/>
    <col min="5366" max="5366" width="7.625" style="183" customWidth="1"/>
    <col min="5367" max="5370" width="0" style="183" hidden="1" customWidth="1"/>
    <col min="5371" max="5371" width="14.375" style="183" customWidth="1"/>
    <col min="5372" max="5377" width="0" style="183" hidden="1" customWidth="1"/>
    <col min="5378" max="5378" width="10.125" style="183" bestFit="1" customWidth="1"/>
    <col min="5379" max="5617" width="9" style="183"/>
    <col min="5618" max="5618" width="75.875" style="183" customWidth="1"/>
    <col min="5619" max="5620" width="7.625" style="183" customWidth="1"/>
    <col min="5621" max="5621" width="9.625" style="183" customWidth="1"/>
    <col min="5622" max="5622" width="7.625" style="183" customWidth="1"/>
    <col min="5623" max="5626" width="0" style="183" hidden="1" customWidth="1"/>
    <col min="5627" max="5627" width="14.375" style="183" customWidth="1"/>
    <col min="5628" max="5633" width="0" style="183" hidden="1" customWidth="1"/>
    <col min="5634" max="5634" width="10.125" style="183" bestFit="1" customWidth="1"/>
    <col min="5635" max="5873" width="9" style="183"/>
    <col min="5874" max="5874" width="75.875" style="183" customWidth="1"/>
    <col min="5875" max="5876" width="7.625" style="183" customWidth="1"/>
    <col min="5877" max="5877" width="9.625" style="183" customWidth="1"/>
    <col min="5878" max="5878" width="7.625" style="183" customWidth="1"/>
    <col min="5879" max="5882" width="0" style="183" hidden="1" customWidth="1"/>
    <col min="5883" max="5883" width="14.375" style="183" customWidth="1"/>
    <col min="5884" max="5889" width="0" style="183" hidden="1" customWidth="1"/>
    <col min="5890" max="5890" width="10.125" style="183" bestFit="1" customWidth="1"/>
    <col min="5891" max="6129" width="9" style="183"/>
    <col min="6130" max="6130" width="75.875" style="183" customWidth="1"/>
    <col min="6131" max="6132" width="7.625" style="183" customWidth="1"/>
    <col min="6133" max="6133" width="9.625" style="183" customWidth="1"/>
    <col min="6134" max="6134" width="7.625" style="183" customWidth="1"/>
    <col min="6135" max="6138" width="0" style="183" hidden="1" customWidth="1"/>
    <col min="6139" max="6139" width="14.375" style="183" customWidth="1"/>
    <col min="6140" max="6145" width="0" style="183" hidden="1" customWidth="1"/>
    <col min="6146" max="6146" width="10.125" style="183" bestFit="1" customWidth="1"/>
    <col min="6147" max="6385" width="9" style="183"/>
    <col min="6386" max="6386" width="75.875" style="183" customWidth="1"/>
    <col min="6387" max="6388" width="7.625" style="183" customWidth="1"/>
    <col min="6389" max="6389" width="9.625" style="183" customWidth="1"/>
    <col min="6390" max="6390" width="7.625" style="183" customWidth="1"/>
    <col min="6391" max="6394" width="0" style="183" hidden="1" customWidth="1"/>
    <col min="6395" max="6395" width="14.375" style="183" customWidth="1"/>
    <col min="6396" max="6401" width="0" style="183" hidden="1" customWidth="1"/>
    <col min="6402" max="6402" width="10.125" style="183" bestFit="1" customWidth="1"/>
    <col min="6403" max="6641" width="9" style="183"/>
    <col min="6642" max="6642" width="75.875" style="183" customWidth="1"/>
    <col min="6643" max="6644" width="7.625" style="183" customWidth="1"/>
    <col min="6645" max="6645" width="9.625" style="183" customWidth="1"/>
    <col min="6646" max="6646" width="7.625" style="183" customWidth="1"/>
    <col min="6647" max="6650" width="0" style="183" hidden="1" customWidth="1"/>
    <col min="6651" max="6651" width="14.375" style="183" customWidth="1"/>
    <col min="6652" max="6657" width="0" style="183" hidden="1" customWidth="1"/>
    <col min="6658" max="6658" width="10.125" style="183" bestFit="1" customWidth="1"/>
    <col min="6659" max="6897" width="9" style="183"/>
    <col min="6898" max="6898" width="75.875" style="183" customWidth="1"/>
    <col min="6899" max="6900" width="7.625" style="183" customWidth="1"/>
    <col min="6901" max="6901" width="9.625" style="183" customWidth="1"/>
    <col min="6902" max="6902" width="7.625" style="183" customWidth="1"/>
    <col min="6903" max="6906" width="0" style="183" hidden="1" customWidth="1"/>
    <col min="6907" max="6907" width="14.375" style="183" customWidth="1"/>
    <col min="6908" max="6913" width="0" style="183" hidden="1" customWidth="1"/>
    <col min="6914" max="6914" width="10.125" style="183" bestFit="1" customWidth="1"/>
    <col min="6915" max="7153" width="9" style="183"/>
    <col min="7154" max="7154" width="75.875" style="183" customWidth="1"/>
    <col min="7155" max="7156" width="7.625" style="183" customWidth="1"/>
    <col min="7157" max="7157" width="9.625" style="183" customWidth="1"/>
    <col min="7158" max="7158" width="7.625" style="183" customWidth="1"/>
    <col min="7159" max="7162" width="0" style="183" hidden="1" customWidth="1"/>
    <col min="7163" max="7163" width="14.375" style="183" customWidth="1"/>
    <col min="7164" max="7169" width="0" style="183" hidden="1" customWidth="1"/>
    <col min="7170" max="7170" width="10.125" style="183" bestFit="1" customWidth="1"/>
    <col min="7171" max="7409" width="9" style="183"/>
    <col min="7410" max="7410" width="75.875" style="183" customWidth="1"/>
    <col min="7411" max="7412" width="7.625" style="183" customWidth="1"/>
    <col min="7413" max="7413" width="9.625" style="183" customWidth="1"/>
    <col min="7414" max="7414" width="7.625" style="183" customWidth="1"/>
    <col min="7415" max="7418" width="0" style="183" hidden="1" customWidth="1"/>
    <col min="7419" max="7419" width="14.375" style="183" customWidth="1"/>
    <col min="7420" max="7425" width="0" style="183" hidden="1" customWidth="1"/>
    <col min="7426" max="7426" width="10.125" style="183" bestFit="1" customWidth="1"/>
    <col min="7427" max="7665" width="9" style="183"/>
    <col min="7666" max="7666" width="75.875" style="183" customWidth="1"/>
    <col min="7667" max="7668" width="7.625" style="183" customWidth="1"/>
    <col min="7669" max="7669" width="9.625" style="183" customWidth="1"/>
    <col min="7670" max="7670" width="7.625" style="183" customWidth="1"/>
    <col min="7671" max="7674" width="0" style="183" hidden="1" customWidth="1"/>
    <col min="7675" max="7675" width="14.375" style="183" customWidth="1"/>
    <col min="7676" max="7681" width="0" style="183" hidden="1" customWidth="1"/>
    <col min="7682" max="7682" width="10.125" style="183" bestFit="1" customWidth="1"/>
    <col min="7683" max="7921" width="9" style="183"/>
    <col min="7922" max="7922" width="75.875" style="183" customWidth="1"/>
    <col min="7923" max="7924" width="7.625" style="183" customWidth="1"/>
    <col min="7925" max="7925" width="9.625" style="183" customWidth="1"/>
    <col min="7926" max="7926" width="7.625" style="183" customWidth="1"/>
    <col min="7927" max="7930" width="0" style="183" hidden="1" customWidth="1"/>
    <col min="7931" max="7931" width="14.375" style="183" customWidth="1"/>
    <col min="7932" max="7937" width="0" style="183" hidden="1" customWidth="1"/>
    <col min="7938" max="7938" width="10.125" style="183" bestFit="1" customWidth="1"/>
    <col min="7939" max="8177" width="9" style="183"/>
    <col min="8178" max="8178" width="75.875" style="183" customWidth="1"/>
    <col min="8179" max="8180" width="7.625" style="183" customWidth="1"/>
    <col min="8181" max="8181" width="9.625" style="183" customWidth="1"/>
    <col min="8182" max="8182" width="7.625" style="183" customWidth="1"/>
    <col min="8183" max="8186" width="0" style="183" hidden="1" customWidth="1"/>
    <col min="8187" max="8187" width="14.375" style="183" customWidth="1"/>
    <col min="8188" max="8193" width="0" style="183" hidden="1" customWidth="1"/>
    <col min="8194" max="8194" width="10.125" style="183" bestFit="1" customWidth="1"/>
    <col min="8195" max="8433" width="9" style="183"/>
    <col min="8434" max="8434" width="75.875" style="183" customWidth="1"/>
    <col min="8435" max="8436" width="7.625" style="183" customWidth="1"/>
    <col min="8437" max="8437" width="9.625" style="183" customWidth="1"/>
    <col min="8438" max="8438" width="7.625" style="183" customWidth="1"/>
    <col min="8439" max="8442" width="0" style="183" hidden="1" customWidth="1"/>
    <col min="8443" max="8443" width="14.375" style="183" customWidth="1"/>
    <col min="8444" max="8449" width="0" style="183" hidden="1" customWidth="1"/>
    <col min="8450" max="8450" width="10.125" style="183" bestFit="1" customWidth="1"/>
    <col min="8451" max="8689" width="9" style="183"/>
    <col min="8690" max="8690" width="75.875" style="183" customWidth="1"/>
    <col min="8691" max="8692" width="7.625" style="183" customWidth="1"/>
    <col min="8693" max="8693" width="9.625" style="183" customWidth="1"/>
    <col min="8694" max="8694" width="7.625" style="183" customWidth="1"/>
    <col min="8695" max="8698" width="0" style="183" hidden="1" customWidth="1"/>
    <col min="8699" max="8699" width="14.375" style="183" customWidth="1"/>
    <col min="8700" max="8705" width="0" style="183" hidden="1" customWidth="1"/>
    <col min="8706" max="8706" width="10.125" style="183" bestFit="1" customWidth="1"/>
    <col min="8707" max="8945" width="9" style="183"/>
    <col min="8946" max="8946" width="75.875" style="183" customWidth="1"/>
    <col min="8947" max="8948" width="7.625" style="183" customWidth="1"/>
    <col min="8949" max="8949" width="9.625" style="183" customWidth="1"/>
    <col min="8950" max="8950" width="7.625" style="183" customWidth="1"/>
    <col min="8951" max="8954" width="0" style="183" hidden="1" customWidth="1"/>
    <col min="8955" max="8955" width="14.375" style="183" customWidth="1"/>
    <col min="8956" max="8961" width="0" style="183" hidden="1" customWidth="1"/>
    <col min="8962" max="8962" width="10.125" style="183" bestFit="1" customWidth="1"/>
    <col min="8963" max="9201" width="9" style="183"/>
    <col min="9202" max="9202" width="75.875" style="183" customWidth="1"/>
    <col min="9203" max="9204" width="7.625" style="183" customWidth="1"/>
    <col min="9205" max="9205" width="9.625" style="183" customWidth="1"/>
    <col min="9206" max="9206" width="7.625" style="183" customWidth="1"/>
    <col min="9207" max="9210" width="0" style="183" hidden="1" customWidth="1"/>
    <col min="9211" max="9211" width="14.375" style="183" customWidth="1"/>
    <col min="9212" max="9217" width="0" style="183" hidden="1" customWidth="1"/>
    <col min="9218" max="9218" width="10.125" style="183" bestFit="1" customWidth="1"/>
    <col min="9219" max="9457" width="9" style="183"/>
    <col min="9458" max="9458" width="75.875" style="183" customWidth="1"/>
    <col min="9459" max="9460" width="7.625" style="183" customWidth="1"/>
    <col min="9461" max="9461" width="9.625" style="183" customWidth="1"/>
    <col min="9462" max="9462" width="7.625" style="183" customWidth="1"/>
    <col min="9463" max="9466" width="0" style="183" hidden="1" customWidth="1"/>
    <col min="9467" max="9467" width="14.375" style="183" customWidth="1"/>
    <col min="9468" max="9473" width="0" style="183" hidden="1" customWidth="1"/>
    <col min="9474" max="9474" width="10.125" style="183" bestFit="1" customWidth="1"/>
    <col min="9475" max="9713" width="9" style="183"/>
    <col min="9714" max="9714" width="75.875" style="183" customWidth="1"/>
    <col min="9715" max="9716" width="7.625" style="183" customWidth="1"/>
    <col min="9717" max="9717" width="9.625" style="183" customWidth="1"/>
    <col min="9718" max="9718" width="7.625" style="183" customWidth="1"/>
    <col min="9719" max="9722" width="0" style="183" hidden="1" customWidth="1"/>
    <col min="9723" max="9723" width="14.375" style="183" customWidth="1"/>
    <col min="9724" max="9729" width="0" style="183" hidden="1" customWidth="1"/>
    <col min="9730" max="9730" width="10.125" style="183" bestFit="1" customWidth="1"/>
    <col min="9731" max="9969" width="9" style="183"/>
    <col min="9970" max="9970" width="75.875" style="183" customWidth="1"/>
    <col min="9971" max="9972" width="7.625" style="183" customWidth="1"/>
    <col min="9973" max="9973" width="9.625" style="183" customWidth="1"/>
    <col min="9974" max="9974" width="7.625" style="183" customWidth="1"/>
    <col min="9975" max="9978" width="0" style="183" hidden="1" customWidth="1"/>
    <col min="9979" max="9979" width="14.375" style="183" customWidth="1"/>
    <col min="9980" max="9985" width="0" style="183" hidden="1" customWidth="1"/>
    <col min="9986" max="9986" width="10.125" style="183" bestFit="1" customWidth="1"/>
    <col min="9987" max="10225" width="9" style="183"/>
    <col min="10226" max="10226" width="75.875" style="183" customWidth="1"/>
    <col min="10227" max="10228" width="7.625" style="183" customWidth="1"/>
    <col min="10229" max="10229" width="9.625" style="183" customWidth="1"/>
    <col min="10230" max="10230" width="7.625" style="183" customWidth="1"/>
    <col min="10231" max="10234" width="0" style="183" hidden="1" customWidth="1"/>
    <col min="10235" max="10235" width="14.375" style="183" customWidth="1"/>
    <col min="10236" max="10241" width="0" style="183" hidden="1" customWidth="1"/>
    <col min="10242" max="10242" width="10.125" style="183" bestFit="1" customWidth="1"/>
    <col min="10243" max="10481" width="9" style="183"/>
    <col min="10482" max="10482" width="75.875" style="183" customWidth="1"/>
    <col min="10483" max="10484" width="7.625" style="183" customWidth="1"/>
    <col min="10485" max="10485" width="9.625" style="183" customWidth="1"/>
    <col min="10486" max="10486" width="7.625" style="183" customWidth="1"/>
    <col min="10487" max="10490" width="0" style="183" hidden="1" customWidth="1"/>
    <col min="10491" max="10491" width="14.375" style="183" customWidth="1"/>
    <col min="10492" max="10497" width="0" style="183" hidden="1" customWidth="1"/>
    <col min="10498" max="10498" width="10.125" style="183" bestFit="1" customWidth="1"/>
    <col min="10499" max="10737" width="9" style="183"/>
    <col min="10738" max="10738" width="75.875" style="183" customWidth="1"/>
    <col min="10739" max="10740" width="7.625" style="183" customWidth="1"/>
    <col min="10741" max="10741" width="9.625" style="183" customWidth="1"/>
    <col min="10742" max="10742" width="7.625" style="183" customWidth="1"/>
    <col min="10743" max="10746" width="0" style="183" hidden="1" customWidth="1"/>
    <col min="10747" max="10747" width="14.375" style="183" customWidth="1"/>
    <col min="10748" max="10753" width="0" style="183" hidden="1" customWidth="1"/>
    <col min="10754" max="10754" width="10.125" style="183" bestFit="1" customWidth="1"/>
    <col min="10755" max="10993" width="9" style="183"/>
    <col min="10994" max="10994" width="75.875" style="183" customWidth="1"/>
    <col min="10995" max="10996" width="7.625" style="183" customWidth="1"/>
    <col min="10997" max="10997" width="9.625" style="183" customWidth="1"/>
    <col min="10998" max="10998" width="7.625" style="183" customWidth="1"/>
    <col min="10999" max="11002" width="0" style="183" hidden="1" customWidth="1"/>
    <col min="11003" max="11003" width="14.375" style="183" customWidth="1"/>
    <col min="11004" max="11009" width="0" style="183" hidden="1" customWidth="1"/>
    <col min="11010" max="11010" width="10.125" style="183" bestFit="1" customWidth="1"/>
    <col min="11011" max="11249" width="9" style="183"/>
    <col min="11250" max="11250" width="75.875" style="183" customWidth="1"/>
    <col min="11251" max="11252" width="7.625" style="183" customWidth="1"/>
    <col min="11253" max="11253" width="9.625" style="183" customWidth="1"/>
    <col min="11254" max="11254" width="7.625" style="183" customWidth="1"/>
    <col min="11255" max="11258" width="0" style="183" hidden="1" customWidth="1"/>
    <col min="11259" max="11259" width="14.375" style="183" customWidth="1"/>
    <col min="11260" max="11265" width="0" style="183" hidden="1" customWidth="1"/>
    <col min="11266" max="11266" width="10.125" style="183" bestFit="1" customWidth="1"/>
    <col min="11267" max="11505" width="9" style="183"/>
    <col min="11506" max="11506" width="75.875" style="183" customWidth="1"/>
    <col min="11507" max="11508" width="7.625" style="183" customWidth="1"/>
    <col min="11509" max="11509" width="9.625" style="183" customWidth="1"/>
    <col min="11510" max="11510" width="7.625" style="183" customWidth="1"/>
    <col min="11511" max="11514" width="0" style="183" hidden="1" customWidth="1"/>
    <col min="11515" max="11515" width="14.375" style="183" customWidth="1"/>
    <col min="11516" max="11521" width="0" style="183" hidden="1" customWidth="1"/>
    <col min="11522" max="11522" width="10.125" style="183" bestFit="1" customWidth="1"/>
    <col min="11523" max="11761" width="9" style="183"/>
    <col min="11762" max="11762" width="75.875" style="183" customWidth="1"/>
    <col min="11763" max="11764" width="7.625" style="183" customWidth="1"/>
    <col min="11765" max="11765" width="9.625" style="183" customWidth="1"/>
    <col min="11766" max="11766" width="7.625" style="183" customWidth="1"/>
    <col min="11767" max="11770" width="0" style="183" hidden="1" customWidth="1"/>
    <col min="11771" max="11771" width="14.375" style="183" customWidth="1"/>
    <col min="11772" max="11777" width="0" style="183" hidden="1" customWidth="1"/>
    <col min="11778" max="11778" width="10.125" style="183" bestFit="1" customWidth="1"/>
    <col min="11779" max="12017" width="9" style="183"/>
    <col min="12018" max="12018" width="75.875" style="183" customWidth="1"/>
    <col min="12019" max="12020" width="7.625" style="183" customWidth="1"/>
    <col min="12021" max="12021" width="9.625" style="183" customWidth="1"/>
    <col min="12022" max="12022" width="7.625" style="183" customWidth="1"/>
    <col min="12023" max="12026" width="0" style="183" hidden="1" customWidth="1"/>
    <col min="12027" max="12027" width="14.375" style="183" customWidth="1"/>
    <col min="12028" max="12033" width="0" style="183" hidden="1" customWidth="1"/>
    <col min="12034" max="12034" width="10.125" style="183" bestFit="1" customWidth="1"/>
    <col min="12035" max="12273" width="9" style="183"/>
    <col min="12274" max="12274" width="75.875" style="183" customWidth="1"/>
    <col min="12275" max="12276" width="7.625" style="183" customWidth="1"/>
    <col min="12277" max="12277" width="9.625" style="183" customWidth="1"/>
    <col min="12278" max="12278" width="7.625" style="183" customWidth="1"/>
    <col min="12279" max="12282" width="0" style="183" hidden="1" customWidth="1"/>
    <col min="12283" max="12283" width="14.375" style="183" customWidth="1"/>
    <col min="12284" max="12289" width="0" style="183" hidden="1" customWidth="1"/>
    <col min="12290" max="12290" width="10.125" style="183" bestFit="1" customWidth="1"/>
    <col min="12291" max="12529" width="9" style="183"/>
    <col min="12530" max="12530" width="75.875" style="183" customWidth="1"/>
    <col min="12531" max="12532" width="7.625" style="183" customWidth="1"/>
    <col min="12533" max="12533" width="9.625" style="183" customWidth="1"/>
    <col min="12534" max="12534" width="7.625" style="183" customWidth="1"/>
    <col min="12535" max="12538" width="0" style="183" hidden="1" customWidth="1"/>
    <col min="12539" max="12539" width="14.375" style="183" customWidth="1"/>
    <col min="12540" max="12545" width="0" style="183" hidden="1" customWidth="1"/>
    <col min="12546" max="12546" width="10.125" style="183" bestFit="1" customWidth="1"/>
    <col min="12547" max="12785" width="9" style="183"/>
    <col min="12786" max="12786" width="75.875" style="183" customWidth="1"/>
    <col min="12787" max="12788" width="7.625" style="183" customWidth="1"/>
    <col min="12789" max="12789" width="9.625" style="183" customWidth="1"/>
    <col min="12790" max="12790" width="7.625" style="183" customWidth="1"/>
    <col min="12791" max="12794" width="0" style="183" hidden="1" customWidth="1"/>
    <col min="12795" max="12795" width="14.375" style="183" customWidth="1"/>
    <col min="12796" max="12801" width="0" style="183" hidden="1" customWidth="1"/>
    <col min="12802" max="12802" width="10.125" style="183" bestFit="1" customWidth="1"/>
    <col min="12803" max="13041" width="9" style="183"/>
    <col min="13042" max="13042" width="75.875" style="183" customWidth="1"/>
    <col min="13043" max="13044" width="7.625" style="183" customWidth="1"/>
    <col min="13045" max="13045" width="9.625" style="183" customWidth="1"/>
    <col min="13046" max="13046" width="7.625" style="183" customWidth="1"/>
    <col min="13047" max="13050" width="0" style="183" hidden="1" customWidth="1"/>
    <col min="13051" max="13051" width="14.375" style="183" customWidth="1"/>
    <col min="13052" max="13057" width="0" style="183" hidden="1" customWidth="1"/>
    <col min="13058" max="13058" width="10.125" style="183" bestFit="1" customWidth="1"/>
    <col min="13059" max="13297" width="9" style="183"/>
    <col min="13298" max="13298" width="75.875" style="183" customWidth="1"/>
    <col min="13299" max="13300" width="7.625" style="183" customWidth="1"/>
    <col min="13301" max="13301" width="9.625" style="183" customWidth="1"/>
    <col min="13302" max="13302" width="7.625" style="183" customWidth="1"/>
    <col min="13303" max="13306" width="0" style="183" hidden="1" customWidth="1"/>
    <col min="13307" max="13307" width="14.375" style="183" customWidth="1"/>
    <col min="13308" max="13313" width="0" style="183" hidden="1" customWidth="1"/>
    <col min="13314" max="13314" width="10.125" style="183" bestFit="1" customWidth="1"/>
    <col min="13315" max="13553" width="9" style="183"/>
    <col min="13554" max="13554" width="75.875" style="183" customWidth="1"/>
    <col min="13555" max="13556" width="7.625" style="183" customWidth="1"/>
    <col min="13557" max="13557" width="9.625" style="183" customWidth="1"/>
    <col min="13558" max="13558" width="7.625" style="183" customWidth="1"/>
    <col min="13559" max="13562" width="0" style="183" hidden="1" customWidth="1"/>
    <col min="13563" max="13563" width="14.375" style="183" customWidth="1"/>
    <col min="13564" max="13569" width="0" style="183" hidden="1" customWidth="1"/>
    <col min="13570" max="13570" width="10.125" style="183" bestFit="1" customWidth="1"/>
    <col min="13571" max="13809" width="9" style="183"/>
    <col min="13810" max="13810" width="75.875" style="183" customWidth="1"/>
    <col min="13811" max="13812" width="7.625" style="183" customWidth="1"/>
    <col min="13813" max="13813" width="9.625" style="183" customWidth="1"/>
    <col min="13814" max="13814" width="7.625" style="183" customWidth="1"/>
    <col min="13815" max="13818" width="0" style="183" hidden="1" customWidth="1"/>
    <col min="13819" max="13819" width="14.375" style="183" customWidth="1"/>
    <col min="13820" max="13825" width="0" style="183" hidden="1" customWidth="1"/>
    <col min="13826" max="13826" width="10.125" style="183" bestFit="1" customWidth="1"/>
    <col min="13827" max="14065" width="9" style="183"/>
    <col min="14066" max="14066" width="75.875" style="183" customWidth="1"/>
    <col min="14067" max="14068" width="7.625" style="183" customWidth="1"/>
    <col min="14069" max="14069" width="9.625" style="183" customWidth="1"/>
    <col min="14070" max="14070" width="7.625" style="183" customWidth="1"/>
    <col min="14071" max="14074" width="0" style="183" hidden="1" customWidth="1"/>
    <col min="14075" max="14075" width="14.375" style="183" customWidth="1"/>
    <col min="14076" max="14081" width="0" style="183" hidden="1" customWidth="1"/>
    <col min="14082" max="14082" width="10.125" style="183" bestFit="1" customWidth="1"/>
    <col min="14083" max="14321" width="9" style="183"/>
    <col min="14322" max="14322" width="75.875" style="183" customWidth="1"/>
    <col min="14323" max="14324" width="7.625" style="183" customWidth="1"/>
    <col min="14325" max="14325" width="9.625" style="183" customWidth="1"/>
    <col min="14326" max="14326" width="7.625" style="183" customWidth="1"/>
    <col min="14327" max="14330" width="0" style="183" hidden="1" customWidth="1"/>
    <col min="14331" max="14331" width="14.375" style="183" customWidth="1"/>
    <col min="14332" max="14337" width="0" style="183" hidden="1" customWidth="1"/>
    <col min="14338" max="14338" width="10.125" style="183" bestFit="1" customWidth="1"/>
    <col min="14339" max="14577" width="9" style="183"/>
    <col min="14578" max="14578" width="75.875" style="183" customWidth="1"/>
    <col min="14579" max="14580" width="7.625" style="183" customWidth="1"/>
    <col min="14581" max="14581" width="9.625" style="183" customWidth="1"/>
    <col min="14582" max="14582" width="7.625" style="183" customWidth="1"/>
    <col min="14583" max="14586" width="0" style="183" hidden="1" customWidth="1"/>
    <col min="14587" max="14587" width="14.375" style="183" customWidth="1"/>
    <col min="14588" max="14593" width="0" style="183" hidden="1" customWidth="1"/>
    <col min="14594" max="14594" width="10.125" style="183" bestFit="1" customWidth="1"/>
    <col min="14595" max="14833" width="9" style="183"/>
    <col min="14834" max="14834" width="75.875" style="183" customWidth="1"/>
    <col min="14835" max="14836" width="7.625" style="183" customWidth="1"/>
    <col min="14837" max="14837" width="9.625" style="183" customWidth="1"/>
    <col min="14838" max="14838" width="7.625" style="183" customWidth="1"/>
    <col min="14839" max="14842" width="0" style="183" hidden="1" customWidth="1"/>
    <col min="14843" max="14843" width="14.375" style="183" customWidth="1"/>
    <col min="14844" max="14849" width="0" style="183" hidden="1" customWidth="1"/>
    <col min="14850" max="14850" width="10.125" style="183" bestFit="1" customWidth="1"/>
    <col min="14851" max="15089" width="9" style="183"/>
    <col min="15090" max="15090" width="75.875" style="183" customWidth="1"/>
    <col min="15091" max="15092" width="7.625" style="183" customWidth="1"/>
    <col min="15093" max="15093" width="9.625" style="183" customWidth="1"/>
    <col min="15094" max="15094" width="7.625" style="183" customWidth="1"/>
    <col min="15095" max="15098" width="0" style="183" hidden="1" customWidth="1"/>
    <col min="15099" max="15099" width="14.375" style="183" customWidth="1"/>
    <col min="15100" max="15105" width="0" style="183" hidden="1" customWidth="1"/>
    <col min="15106" max="15106" width="10.125" style="183" bestFit="1" customWidth="1"/>
    <col min="15107" max="15345" width="9" style="183"/>
    <col min="15346" max="15346" width="75.875" style="183" customWidth="1"/>
    <col min="15347" max="15348" width="7.625" style="183" customWidth="1"/>
    <col min="15349" max="15349" width="9.625" style="183" customWidth="1"/>
    <col min="15350" max="15350" width="7.625" style="183" customWidth="1"/>
    <col min="15351" max="15354" width="0" style="183" hidden="1" customWidth="1"/>
    <col min="15355" max="15355" width="14.375" style="183" customWidth="1"/>
    <col min="15356" max="15361" width="0" style="183" hidden="1" customWidth="1"/>
    <col min="15362" max="15362" width="10.125" style="183" bestFit="1" customWidth="1"/>
    <col min="15363" max="15601" width="9" style="183"/>
    <col min="15602" max="15602" width="75.875" style="183" customWidth="1"/>
    <col min="15603" max="15604" width="7.625" style="183" customWidth="1"/>
    <col min="15605" max="15605" width="9.625" style="183" customWidth="1"/>
    <col min="15606" max="15606" width="7.625" style="183" customWidth="1"/>
    <col min="15607" max="15610" width="0" style="183" hidden="1" customWidth="1"/>
    <col min="15611" max="15611" width="14.375" style="183" customWidth="1"/>
    <col min="15612" max="15617" width="0" style="183" hidden="1" customWidth="1"/>
    <col min="15618" max="15618" width="10.125" style="183" bestFit="1" customWidth="1"/>
    <col min="15619" max="15857" width="9" style="183"/>
    <col min="15858" max="15858" width="75.875" style="183" customWidth="1"/>
    <col min="15859" max="15860" width="7.625" style="183" customWidth="1"/>
    <col min="15861" max="15861" width="9.625" style="183" customWidth="1"/>
    <col min="15862" max="15862" width="7.625" style="183" customWidth="1"/>
    <col min="15863" max="15866" width="0" style="183" hidden="1" customWidth="1"/>
    <col min="15867" max="15867" width="14.375" style="183" customWidth="1"/>
    <col min="15868" max="15873" width="0" style="183" hidden="1" customWidth="1"/>
    <col min="15874" max="15874" width="10.125" style="183" bestFit="1" customWidth="1"/>
    <col min="15875" max="16113" width="9" style="183"/>
    <col min="16114" max="16114" width="75.875" style="183" customWidth="1"/>
    <col min="16115" max="16116" width="7.625" style="183" customWidth="1"/>
    <col min="16117" max="16117" width="9.625" style="183" customWidth="1"/>
    <col min="16118" max="16118" width="7.625" style="183" customWidth="1"/>
    <col min="16119" max="16122" width="0" style="183" hidden="1" customWidth="1"/>
    <col min="16123" max="16123" width="14.375" style="183" customWidth="1"/>
    <col min="16124" max="16129" width="0" style="183" hidden="1" customWidth="1"/>
    <col min="16130" max="16130" width="10.125" style="183" bestFit="1" customWidth="1"/>
    <col min="16131" max="16384" width="9" style="183"/>
  </cols>
  <sheetData>
    <row r="1" spans="1:14" x14ac:dyDescent="0.3">
      <c r="G1" s="197"/>
      <c r="H1" s="197"/>
    </row>
    <row r="2" spans="1:14" x14ac:dyDescent="0.3">
      <c r="G2" s="197"/>
      <c r="H2" s="197"/>
    </row>
    <row r="3" spans="1:14" x14ac:dyDescent="0.3">
      <c r="A3" s="668" t="s">
        <v>236</v>
      </c>
      <c r="B3" s="647"/>
      <c r="C3" s="647"/>
      <c r="D3" s="647"/>
      <c r="E3" s="647"/>
      <c r="F3" s="647"/>
      <c r="G3" s="647"/>
      <c r="H3" s="508"/>
    </row>
    <row r="4" spans="1:14" x14ac:dyDescent="0.3">
      <c r="A4" s="669" t="s">
        <v>1097</v>
      </c>
      <c r="B4" s="654"/>
      <c r="C4" s="654"/>
      <c r="D4" s="654"/>
      <c r="E4" s="654"/>
      <c r="F4" s="654"/>
      <c r="G4" s="654"/>
      <c r="H4" s="507"/>
    </row>
    <row r="5" spans="1:14" x14ac:dyDescent="0.3">
      <c r="A5" s="669" t="s">
        <v>427</v>
      </c>
      <c r="B5" s="654"/>
      <c r="C5" s="654"/>
      <c r="D5" s="654"/>
      <c r="E5" s="654"/>
      <c r="F5" s="654"/>
      <c r="G5" s="654"/>
      <c r="H5" s="507"/>
    </row>
    <row r="6" spans="1:14" x14ac:dyDescent="0.3">
      <c r="A6" s="509"/>
      <c r="B6" s="507"/>
      <c r="C6" s="507"/>
      <c r="D6" s="526"/>
      <c r="E6" s="507"/>
      <c r="F6" s="455"/>
      <c r="G6" s="454" t="s">
        <v>382</v>
      </c>
      <c r="H6" s="454"/>
    </row>
    <row r="7" spans="1:14" ht="63.2" customHeight="1" x14ac:dyDescent="0.3">
      <c r="A7" s="173" t="s">
        <v>0</v>
      </c>
      <c r="B7" s="174" t="s">
        <v>1</v>
      </c>
      <c r="C7" s="174" t="s">
        <v>2</v>
      </c>
      <c r="D7" s="173" t="s">
        <v>3</v>
      </c>
      <c r="E7" s="174" t="s">
        <v>4</v>
      </c>
      <c r="F7" s="456" t="s">
        <v>1101</v>
      </c>
      <c r="G7" s="175" t="s">
        <v>1094</v>
      </c>
      <c r="H7" s="175" t="s">
        <v>1102</v>
      </c>
      <c r="I7" s="457" t="s">
        <v>1098</v>
      </c>
      <c r="J7" s="456" t="s">
        <v>1095</v>
      </c>
      <c r="K7" s="456" t="s">
        <v>1105</v>
      </c>
      <c r="L7" s="456"/>
      <c r="M7" s="456" t="s">
        <v>1096</v>
      </c>
      <c r="N7" s="312" t="s">
        <v>677</v>
      </c>
    </row>
    <row r="8" spans="1:14" s="461" customFormat="1" ht="50.95" x14ac:dyDescent="0.3">
      <c r="A8" s="186" t="s">
        <v>448</v>
      </c>
      <c r="B8" s="458" t="s">
        <v>454</v>
      </c>
      <c r="C8" s="458" t="s">
        <v>5</v>
      </c>
      <c r="D8" s="458" t="s">
        <v>126</v>
      </c>
      <c r="E8" s="458" t="s">
        <v>6</v>
      </c>
      <c r="F8" s="495">
        <f>F9</f>
        <v>8004587.75</v>
      </c>
      <c r="G8" s="459">
        <f>G9</f>
        <v>8251204</v>
      </c>
      <c r="H8" s="460">
        <v>6112546.1100000003</v>
      </c>
      <c r="I8" s="459">
        <f>I9</f>
        <v>8500186.379999999</v>
      </c>
      <c r="J8" s="459">
        <f>J9</f>
        <v>9033233</v>
      </c>
      <c r="K8" s="462">
        <f>J8/G8*100</f>
        <v>109.47775621594134</v>
      </c>
      <c r="L8" s="462">
        <f>J8-G8</f>
        <v>782029</v>
      </c>
      <c r="M8" s="459">
        <f>M9</f>
        <v>9033233</v>
      </c>
      <c r="N8" s="178">
        <f t="shared" ref="N8:N71" si="0">M8-J8</f>
        <v>0</v>
      </c>
    </row>
    <row r="9" spans="1:14" outlineLevel="1" x14ac:dyDescent="0.3">
      <c r="A9" s="189" t="s">
        <v>7</v>
      </c>
      <c r="B9" s="392" t="s">
        <v>454</v>
      </c>
      <c r="C9" s="392" t="s">
        <v>8</v>
      </c>
      <c r="D9" s="392" t="s">
        <v>126</v>
      </c>
      <c r="E9" s="392" t="s">
        <v>6</v>
      </c>
      <c r="F9" s="471">
        <f>F10+F19</f>
        <v>8004587.75</v>
      </c>
      <c r="G9" s="462">
        <f>G10+G19</f>
        <v>8251204</v>
      </c>
      <c r="H9" s="463">
        <v>6112546.1100000003</v>
      </c>
      <c r="I9" s="462">
        <f>I10+I19</f>
        <v>8500186.379999999</v>
      </c>
      <c r="J9" s="462">
        <f>J10+J19</f>
        <v>9033233</v>
      </c>
      <c r="K9" s="462">
        <f t="shared" ref="K9:K72" si="1">J9/G9*100</f>
        <v>109.47775621594134</v>
      </c>
      <c r="L9" s="462">
        <f t="shared" ref="L9:L72" si="2">J9-G9</f>
        <v>782029</v>
      </c>
      <c r="M9" s="462">
        <f>M10+M19</f>
        <v>9033233</v>
      </c>
      <c r="N9" s="178">
        <f t="shared" si="0"/>
        <v>0</v>
      </c>
    </row>
    <row r="10" spans="1:14" ht="54.35" customHeight="1" outlineLevel="2" x14ac:dyDescent="0.3">
      <c r="A10" s="189" t="s">
        <v>9</v>
      </c>
      <c r="B10" s="392" t="s">
        <v>454</v>
      </c>
      <c r="C10" s="392" t="s">
        <v>10</v>
      </c>
      <c r="D10" s="392" t="s">
        <v>126</v>
      </c>
      <c r="E10" s="392" t="s">
        <v>6</v>
      </c>
      <c r="F10" s="471">
        <f>F11</f>
        <v>7452126.75</v>
      </c>
      <c r="G10" s="462">
        <f t="shared" ref="G10:J11" si="3">G11</f>
        <v>7534704</v>
      </c>
      <c r="H10" s="463">
        <v>5469092.1100000003</v>
      </c>
      <c r="I10" s="462">
        <f t="shared" si="3"/>
        <v>7898658.3799999999</v>
      </c>
      <c r="J10" s="462">
        <f t="shared" si="3"/>
        <v>8364034</v>
      </c>
      <c r="K10" s="462">
        <f t="shared" si="1"/>
        <v>111.00680265608311</v>
      </c>
      <c r="L10" s="462">
        <f t="shared" si="2"/>
        <v>829330</v>
      </c>
      <c r="M10" s="462">
        <f t="shared" ref="M10:M11" si="4">M11</f>
        <v>8364034</v>
      </c>
      <c r="N10" s="178">
        <f t="shared" si="0"/>
        <v>0</v>
      </c>
    </row>
    <row r="11" spans="1:14" ht="34" outlineLevel="4" x14ac:dyDescent="0.3">
      <c r="A11" s="189" t="s">
        <v>132</v>
      </c>
      <c r="B11" s="392" t="s">
        <v>454</v>
      </c>
      <c r="C11" s="392" t="s">
        <v>10</v>
      </c>
      <c r="D11" s="392" t="s">
        <v>127</v>
      </c>
      <c r="E11" s="392" t="s">
        <v>6</v>
      </c>
      <c r="F11" s="471">
        <f>F12</f>
        <v>7452126.75</v>
      </c>
      <c r="G11" s="462">
        <f t="shared" si="3"/>
        <v>7534704</v>
      </c>
      <c r="H11" s="463">
        <v>5469092.1100000003</v>
      </c>
      <c r="I11" s="462">
        <f t="shared" si="3"/>
        <v>7898658.3799999999</v>
      </c>
      <c r="J11" s="462">
        <f t="shared" si="3"/>
        <v>8364034</v>
      </c>
      <c r="K11" s="462">
        <f t="shared" si="1"/>
        <v>111.00680265608311</v>
      </c>
      <c r="L11" s="462">
        <f t="shared" si="2"/>
        <v>829330</v>
      </c>
      <c r="M11" s="462">
        <f t="shared" si="4"/>
        <v>8364034</v>
      </c>
      <c r="N11" s="178">
        <f t="shared" si="0"/>
        <v>0</v>
      </c>
    </row>
    <row r="12" spans="1:14" ht="43.5" customHeight="1" outlineLevel="5" x14ac:dyDescent="0.3">
      <c r="A12" s="189" t="s">
        <v>449</v>
      </c>
      <c r="B12" s="392" t="s">
        <v>454</v>
      </c>
      <c r="C12" s="392" t="s">
        <v>10</v>
      </c>
      <c r="D12" s="392" t="s">
        <v>450</v>
      </c>
      <c r="E12" s="392" t="s">
        <v>6</v>
      </c>
      <c r="F12" s="471">
        <f>F13+F15</f>
        <v>7452126.75</v>
      </c>
      <c r="G12" s="462">
        <f>G13+G15+G17</f>
        <v>7534704</v>
      </c>
      <c r="H12" s="463">
        <v>5469092.1100000003</v>
      </c>
      <c r="I12" s="462">
        <f>I13+I15+I17</f>
        <v>7898658.3799999999</v>
      </c>
      <c r="J12" s="462">
        <f>J13+J15+J17</f>
        <v>8364034</v>
      </c>
      <c r="K12" s="462">
        <f t="shared" si="1"/>
        <v>111.00680265608311</v>
      </c>
      <c r="L12" s="462">
        <f t="shared" si="2"/>
        <v>829330</v>
      </c>
      <c r="M12" s="462">
        <f>M13+M15+M17</f>
        <v>8364034</v>
      </c>
      <c r="N12" s="178">
        <f t="shared" si="0"/>
        <v>0</v>
      </c>
    </row>
    <row r="13" spans="1:14" ht="76.75" customHeight="1" outlineLevel="6" x14ac:dyDescent="0.3">
      <c r="A13" s="189" t="s">
        <v>11</v>
      </c>
      <c r="B13" s="392" t="s">
        <v>454</v>
      </c>
      <c r="C13" s="392" t="s">
        <v>10</v>
      </c>
      <c r="D13" s="392" t="s">
        <v>450</v>
      </c>
      <c r="E13" s="392" t="s">
        <v>12</v>
      </c>
      <c r="F13" s="471">
        <f>F14</f>
        <v>7224638.0899999999</v>
      </c>
      <c r="G13" s="462">
        <f>G14</f>
        <v>7311140</v>
      </c>
      <c r="H13" s="463">
        <v>5371932.6600000001</v>
      </c>
      <c r="I13" s="462">
        <f>I14</f>
        <v>7603584.3799999999</v>
      </c>
      <c r="J13" s="462">
        <f>J14</f>
        <v>8098234</v>
      </c>
      <c r="K13" s="462">
        <f t="shared" si="1"/>
        <v>110.7656808650908</v>
      </c>
      <c r="L13" s="462">
        <f t="shared" si="2"/>
        <v>787094</v>
      </c>
      <c r="M13" s="462">
        <f>M14</f>
        <v>8098234</v>
      </c>
      <c r="N13" s="178">
        <f t="shared" si="0"/>
        <v>0</v>
      </c>
    </row>
    <row r="14" spans="1:14" ht="34" outlineLevel="7" x14ac:dyDescent="0.3">
      <c r="A14" s="189" t="s">
        <v>13</v>
      </c>
      <c r="B14" s="392" t="s">
        <v>454</v>
      </c>
      <c r="C14" s="392" t="s">
        <v>10</v>
      </c>
      <c r="D14" s="392" t="s">
        <v>450</v>
      </c>
      <c r="E14" s="392" t="s">
        <v>14</v>
      </c>
      <c r="F14" s="475">
        <v>7224638.0899999999</v>
      </c>
      <c r="G14" s="449">
        <f>'потребность 2023 (5)'!K13</f>
        <v>7311140</v>
      </c>
      <c r="H14" s="463">
        <v>5371932.6600000001</v>
      </c>
      <c r="I14" s="449">
        <f>5839926.56+1763657.82</f>
        <v>7603584.3799999999</v>
      </c>
      <c r="J14" s="449">
        <v>8098234</v>
      </c>
      <c r="K14" s="462">
        <f t="shared" si="1"/>
        <v>110.7656808650908</v>
      </c>
      <c r="L14" s="462">
        <f t="shared" si="2"/>
        <v>787094</v>
      </c>
      <c r="M14" s="449">
        <v>8098234</v>
      </c>
      <c r="N14" s="178">
        <f t="shared" si="0"/>
        <v>0</v>
      </c>
    </row>
    <row r="15" spans="1:14" ht="34" outlineLevel="6" x14ac:dyDescent="0.3">
      <c r="A15" s="189" t="s">
        <v>15</v>
      </c>
      <c r="B15" s="392" t="s">
        <v>454</v>
      </c>
      <c r="C15" s="392" t="s">
        <v>10</v>
      </c>
      <c r="D15" s="392" t="s">
        <v>450</v>
      </c>
      <c r="E15" s="392" t="s">
        <v>16</v>
      </c>
      <c r="F15" s="471">
        <f>F16</f>
        <v>227488.66</v>
      </c>
      <c r="G15" s="462">
        <f>G16</f>
        <v>222564</v>
      </c>
      <c r="H15" s="463">
        <v>97159.45</v>
      </c>
      <c r="I15" s="462">
        <f>I16</f>
        <v>294074</v>
      </c>
      <c r="J15" s="462">
        <f>J16</f>
        <v>264800</v>
      </c>
      <c r="K15" s="462">
        <f t="shared" si="1"/>
        <v>118.97701335346238</v>
      </c>
      <c r="L15" s="462">
        <f t="shared" si="2"/>
        <v>42236</v>
      </c>
      <c r="M15" s="462">
        <f>M16</f>
        <v>264800</v>
      </c>
      <c r="N15" s="178">
        <f t="shared" si="0"/>
        <v>0</v>
      </c>
    </row>
    <row r="16" spans="1:14" ht="34.65" customHeight="1" outlineLevel="7" x14ac:dyDescent="0.3">
      <c r="A16" s="189" t="s">
        <v>17</v>
      </c>
      <c r="B16" s="392" t="s">
        <v>454</v>
      </c>
      <c r="C16" s="392" t="s">
        <v>10</v>
      </c>
      <c r="D16" s="392" t="s">
        <v>450</v>
      </c>
      <c r="E16" s="392" t="s">
        <v>18</v>
      </c>
      <c r="F16" s="496">
        <v>227488.66</v>
      </c>
      <c r="G16" s="449">
        <f>'потребность 2023 (5)'!K15-20000</f>
        <v>222564</v>
      </c>
      <c r="H16" s="463">
        <v>97159.45</v>
      </c>
      <c r="I16" s="449">
        <v>294074</v>
      </c>
      <c r="J16" s="449">
        <v>264800</v>
      </c>
      <c r="K16" s="462">
        <f t="shared" si="1"/>
        <v>118.97701335346238</v>
      </c>
      <c r="L16" s="462">
        <f t="shared" si="2"/>
        <v>42236</v>
      </c>
      <c r="M16" s="449">
        <v>264800</v>
      </c>
      <c r="N16" s="178">
        <f t="shared" si="0"/>
        <v>0</v>
      </c>
    </row>
    <row r="17" spans="1:14" outlineLevel="6" x14ac:dyDescent="0.3">
      <c r="A17" s="189" t="s">
        <v>19</v>
      </c>
      <c r="B17" s="392" t="s">
        <v>454</v>
      </c>
      <c r="C17" s="392" t="s">
        <v>10</v>
      </c>
      <c r="D17" s="392" t="s">
        <v>450</v>
      </c>
      <c r="E17" s="392" t="s">
        <v>20</v>
      </c>
      <c r="F17" s="449">
        <v>0</v>
      </c>
      <c r="G17" s="462">
        <f>G18</f>
        <v>1000</v>
      </c>
      <c r="H17" s="463">
        <v>0</v>
      </c>
      <c r="I17" s="462">
        <f>I18</f>
        <v>1000</v>
      </c>
      <c r="J17" s="462">
        <f>J18</f>
        <v>1000</v>
      </c>
      <c r="K17" s="462">
        <f t="shared" si="1"/>
        <v>100</v>
      </c>
      <c r="L17" s="462">
        <f t="shared" si="2"/>
        <v>0</v>
      </c>
      <c r="M17" s="462">
        <f>M18</f>
        <v>1000</v>
      </c>
      <c r="N17" s="178">
        <f t="shared" si="0"/>
        <v>0</v>
      </c>
    </row>
    <row r="18" spans="1:14" outlineLevel="7" x14ac:dyDescent="0.3">
      <c r="A18" s="189" t="s">
        <v>21</v>
      </c>
      <c r="B18" s="392" t="s">
        <v>454</v>
      </c>
      <c r="C18" s="392" t="s">
        <v>10</v>
      </c>
      <c r="D18" s="392" t="s">
        <v>450</v>
      </c>
      <c r="E18" s="392" t="s">
        <v>22</v>
      </c>
      <c r="F18" s="449">
        <v>0</v>
      </c>
      <c r="G18" s="449">
        <f>'потребность 2023 (5)'!K17</f>
        <v>1000</v>
      </c>
      <c r="H18" s="463">
        <v>0</v>
      </c>
      <c r="I18" s="449">
        <v>1000</v>
      </c>
      <c r="J18" s="449">
        <v>1000</v>
      </c>
      <c r="K18" s="462">
        <f t="shared" si="1"/>
        <v>100</v>
      </c>
      <c r="L18" s="462">
        <f t="shared" si="2"/>
        <v>0</v>
      </c>
      <c r="M18" s="449">
        <v>1000</v>
      </c>
      <c r="N18" s="178">
        <f t="shared" si="0"/>
        <v>0</v>
      </c>
    </row>
    <row r="19" spans="1:14" outlineLevel="2" x14ac:dyDescent="0.3">
      <c r="A19" s="189" t="s">
        <v>23</v>
      </c>
      <c r="B19" s="392" t="s">
        <v>454</v>
      </c>
      <c r="C19" s="392" t="s">
        <v>24</v>
      </c>
      <c r="D19" s="392" t="s">
        <v>126</v>
      </c>
      <c r="E19" s="392" t="s">
        <v>6</v>
      </c>
      <c r="F19" s="471">
        <f>F20+F25</f>
        <v>552461</v>
      </c>
      <c r="G19" s="462">
        <f>G20+G25</f>
        <v>716500</v>
      </c>
      <c r="H19" s="463">
        <v>643454</v>
      </c>
      <c r="I19" s="462">
        <f>I20+I25</f>
        <v>601528</v>
      </c>
      <c r="J19" s="462">
        <f>J20+J25</f>
        <v>669199</v>
      </c>
      <c r="K19" s="462">
        <f t="shared" si="1"/>
        <v>93.398325191905101</v>
      </c>
      <c r="L19" s="462">
        <f t="shared" si="2"/>
        <v>-47301</v>
      </c>
      <c r="M19" s="462">
        <f>M20+M25</f>
        <v>669199</v>
      </c>
      <c r="N19" s="178">
        <f t="shared" si="0"/>
        <v>0</v>
      </c>
    </row>
    <row r="20" spans="1:14" s="224" customFormat="1" ht="39.75" customHeight="1" outlineLevel="3" x14ac:dyDescent="0.3">
      <c r="A20" s="233" t="s">
        <v>1020</v>
      </c>
      <c r="B20" s="397" t="s">
        <v>454</v>
      </c>
      <c r="C20" s="397" t="s">
        <v>24</v>
      </c>
      <c r="D20" s="397" t="s">
        <v>128</v>
      </c>
      <c r="E20" s="397" t="s">
        <v>6</v>
      </c>
      <c r="F20" s="473">
        <f t="shared" ref="F20:J23" si="5">F21</f>
        <v>43445</v>
      </c>
      <c r="G20" s="465">
        <f t="shared" si="5"/>
        <v>60571</v>
      </c>
      <c r="H20" s="463">
        <v>0</v>
      </c>
      <c r="I20" s="465">
        <f t="shared" si="5"/>
        <v>63000</v>
      </c>
      <c r="J20" s="465">
        <f t="shared" si="5"/>
        <v>60571</v>
      </c>
      <c r="K20" s="462">
        <f t="shared" si="1"/>
        <v>100</v>
      </c>
      <c r="L20" s="462">
        <f t="shared" si="2"/>
        <v>0</v>
      </c>
      <c r="M20" s="465">
        <f t="shared" ref="M20:M23" si="6">M21</f>
        <v>60571</v>
      </c>
      <c r="N20" s="178">
        <f t="shared" si="0"/>
        <v>0</v>
      </c>
    </row>
    <row r="21" spans="1:14" ht="39.25" customHeight="1" outlineLevel="4" x14ac:dyDescent="0.3">
      <c r="A21" s="189" t="s">
        <v>748</v>
      </c>
      <c r="B21" s="392" t="s">
        <v>454</v>
      </c>
      <c r="C21" s="392" t="s">
        <v>24</v>
      </c>
      <c r="D21" s="392" t="s">
        <v>303</v>
      </c>
      <c r="E21" s="392" t="s">
        <v>6</v>
      </c>
      <c r="F21" s="471">
        <f t="shared" si="5"/>
        <v>43445</v>
      </c>
      <c r="G21" s="462">
        <f t="shared" si="5"/>
        <v>60571</v>
      </c>
      <c r="H21" s="463">
        <v>0</v>
      </c>
      <c r="I21" s="462">
        <f t="shared" si="5"/>
        <v>63000</v>
      </c>
      <c r="J21" s="462">
        <f t="shared" si="5"/>
        <v>60571</v>
      </c>
      <c r="K21" s="462">
        <f t="shared" si="1"/>
        <v>100</v>
      </c>
      <c r="L21" s="462">
        <f t="shared" si="2"/>
        <v>0</v>
      </c>
      <c r="M21" s="462">
        <f t="shared" si="6"/>
        <v>60571</v>
      </c>
      <c r="N21" s="178">
        <f t="shared" si="0"/>
        <v>0</v>
      </c>
    </row>
    <row r="22" spans="1:14" outlineLevel="5" x14ac:dyDescent="0.3">
      <c r="A22" s="189" t="s">
        <v>309</v>
      </c>
      <c r="B22" s="392" t="s">
        <v>454</v>
      </c>
      <c r="C22" s="392" t="s">
        <v>24</v>
      </c>
      <c r="D22" s="392" t="s">
        <v>304</v>
      </c>
      <c r="E22" s="392" t="s">
        <v>6</v>
      </c>
      <c r="F22" s="471">
        <f t="shared" si="5"/>
        <v>43445</v>
      </c>
      <c r="G22" s="462">
        <f t="shared" si="5"/>
        <v>60571</v>
      </c>
      <c r="H22" s="463">
        <v>0</v>
      </c>
      <c r="I22" s="462">
        <f t="shared" si="5"/>
        <v>63000</v>
      </c>
      <c r="J22" s="462">
        <f t="shared" si="5"/>
        <v>60571</v>
      </c>
      <c r="K22" s="462">
        <f t="shared" si="1"/>
        <v>100</v>
      </c>
      <c r="L22" s="462">
        <f t="shared" si="2"/>
        <v>0</v>
      </c>
      <c r="M22" s="462">
        <f t="shared" si="6"/>
        <v>60571</v>
      </c>
      <c r="N22" s="178">
        <f t="shared" si="0"/>
        <v>0</v>
      </c>
    </row>
    <row r="23" spans="1:14" ht="34" outlineLevel="6" x14ac:dyDescent="0.3">
      <c r="A23" s="189" t="s">
        <v>15</v>
      </c>
      <c r="B23" s="392" t="s">
        <v>454</v>
      </c>
      <c r="C23" s="392" t="s">
        <v>24</v>
      </c>
      <c r="D23" s="392" t="s">
        <v>304</v>
      </c>
      <c r="E23" s="392" t="s">
        <v>16</v>
      </c>
      <c r="F23" s="475">
        <v>43445</v>
      </c>
      <c r="G23" s="462">
        <f t="shared" si="5"/>
        <v>60571</v>
      </c>
      <c r="H23" s="463">
        <v>0</v>
      </c>
      <c r="I23" s="462">
        <f t="shared" si="5"/>
        <v>63000</v>
      </c>
      <c r="J23" s="462">
        <f t="shared" si="5"/>
        <v>60571</v>
      </c>
      <c r="K23" s="462">
        <f t="shared" si="1"/>
        <v>100</v>
      </c>
      <c r="L23" s="462">
        <f t="shared" si="2"/>
        <v>0</v>
      </c>
      <c r="M23" s="462">
        <f t="shared" si="6"/>
        <v>60571</v>
      </c>
      <c r="N23" s="178">
        <f t="shared" si="0"/>
        <v>0</v>
      </c>
    </row>
    <row r="24" spans="1:14" ht="19.55" customHeight="1" outlineLevel="7" x14ac:dyDescent="0.3">
      <c r="A24" s="189" t="s">
        <v>17</v>
      </c>
      <c r="B24" s="392" t="s">
        <v>454</v>
      </c>
      <c r="C24" s="392" t="s">
        <v>24</v>
      </c>
      <c r="D24" s="392" t="s">
        <v>304</v>
      </c>
      <c r="E24" s="392" t="s">
        <v>18</v>
      </c>
      <c r="F24" s="475">
        <v>43445</v>
      </c>
      <c r="G24" s="449">
        <f>'потребность 2023 (5)'!K23</f>
        <v>60571</v>
      </c>
      <c r="H24" s="463">
        <v>0</v>
      </c>
      <c r="I24" s="449">
        <v>63000</v>
      </c>
      <c r="J24" s="449">
        <v>60571</v>
      </c>
      <c r="K24" s="462">
        <f t="shared" si="1"/>
        <v>100</v>
      </c>
      <c r="L24" s="462">
        <f t="shared" si="2"/>
        <v>0</v>
      </c>
      <c r="M24" s="449">
        <v>60571</v>
      </c>
      <c r="N24" s="178">
        <f t="shared" si="0"/>
        <v>0</v>
      </c>
    </row>
    <row r="25" spans="1:14" s="224" customFormat="1" ht="36.700000000000003" customHeight="1" outlineLevel="7" x14ac:dyDescent="0.3">
      <c r="A25" s="233" t="s">
        <v>1028</v>
      </c>
      <c r="B25" s="397" t="s">
        <v>454</v>
      </c>
      <c r="C25" s="392" t="s">
        <v>24</v>
      </c>
      <c r="D25" s="397" t="s">
        <v>305</v>
      </c>
      <c r="E25" s="397" t="s">
        <v>6</v>
      </c>
      <c r="F25" s="477">
        <f t="shared" ref="F25:J28" si="7">F26</f>
        <v>509016</v>
      </c>
      <c r="G25" s="467">
        <f t="shared" si="7"/>
        <v>655929</v>
      </c>
      <c r="H25" s="463">
        <v>643454</v>
      </c>
      <c r="I25" s="467">
        <f t="shared" si="7"/>
        <v>538528</v>
      </c>
      <c r="J25" s="467">
        <f t="shared" si="7"/>
        <v>608628</v>
      </c>
      <c r="K25" s="462">
        <f t="shared" si="1"/>
        <v>92.788701216137724</v>
      </c>
      <c r="L25" s="462">
        <f t="shared" si="2"/>
        <v>-47301</v>
      </c>
      <c r="M25" s="467">
        <f t="shared" ref="M25:M28" si="8">M26</f>
        <v>608628</v>
      </c>
      <c r="N25" s="178">
        <f t="shared" si="0"/>
        <v>0</v>
      </c>
    </row>
    <row r="26" spans="1:14" ht="50.95" outlineLevel="7" x14ac:dyDescent="0.3">
      <c r="A26" s="189" t="s">
        <v>245</v>
      </c>
      <c r="B26" s="392" t="s">
        <v>454</v>
      </c>
      <c r="C26" s="392" t="s">
        <v>24</v>
      </c>
      <c r="D26" s="392" t="s">
        <v>306</v>
      </c>
      <c r="E26" s="392" t="s">
        <v>6</v>
      </c>
      <c r="F26" s="476">
        <f t="shared" si="7"/>
        <v>509016</v>
      </c>
      <c r="G26" s="449">
        <f t="shared" si="7"/>
        <v>655929</v>
      </c>
      <c r="H26" s="463">
        <v>643454</v>
      </c>
      <c r="I26" s="449">
        <f t="shared" si="7"/>
        <v>538528</v>
      </c>
      <c r="J26" s="449">
        <f t="shared" si="7"/>
        <v>608628</v>
      </c>
      <c r="K26" s="462">
        <f t="shared" si="1"/>
        <v>92.788701216137724</v>
      </c>
      <c r="L26" s="462">
        <f t="shared" si="2"/>
        <v>-47301</v>
      </c>
      <c r="M26" s="449">
        <f t="shared" si="8"/>
        <v>608628</v>
      </c>
      <c r="N26" s="178">
        <f t="shared" si="0"/>
        <v>0</v>
      </c>
    </row>
    <row r="27" spans="1:14" ht="39.75" customHeight="1" outlineLevel="5" x14ac:dyDescent="0.3">
      <c r="A27" s="189" t="s">
        <v>25</v>
      </c>
      <c r="B27" s="392" t="s">
        <v>454</v>
      </c>
      <c r="C27" s="392" t="s">
        <v>24</v>
      </c>
      <c r="D27" s="392" t="s">
        <v>317</v>
      </c>
      <c r="E27" s="392" t="s">
        <v>6</v>
      </c>
      <c r="F27" s="471">
        <f t="shared" si="7"/>
        <v>509016</v>
      </c>
      <c r="G27" s="462">
        <f t="shared" si="7"/>
        <v>655929</v>
      </c>
      <c r="H27" s="463">
        <v>643454</v>
      </c>
      <c r="I27" s="462">
        <f t="shared" si="7"/>
        <v>538528</v>
      </c>
      <c r="J27" s="462">
        <f t="shared" si="7"/>
        <v>608628</v>
      </c>
      <c r="K27" s="462">
        <f t="shared" si="1"/>
        <v>92.788701216137724</v>
      </c>
      <c r="L27" s="462">
        <f t="shared" si="2"/>
        <v>-47301</v>
      </c>
      <c r="M27" s="462">
        <f t="shared" si="8"/>
        <v>608628</v>
      </c>
      <c r="N27" s="178">
        <f t="shared" si="0"/>
        <v>0</v>
      </c>
    </row>
    <row r="28" spans="1:14" ht="34" outlineLevel="6" x14ac:dyDescent="0.3">
      <c r="A28" s="189" t="s">
        <v>15</v>
      </c>
      <c r="B28" s="392" t="s">
        <v>454</v>
      </c>
      <c r="C28" s="392" t="s">
        <v>24</v>
      </c>
      <c r="D28" s="392" t="s">
        <v>317</v>
      </c>
      <c r="E28" s="392" t="s">
        <v>16</v>
      </c>
      <c r="F28" s="471">
        <f t="shared" si="7"/>
        <v>509016</v>
      </c>
      <c r="G28" s="462">
        <f t="shared" si="7"/>
        <v>655929</v>
      </c>
      <c r="H28" s="463">
        <v>643454</v>
      </c>
      <c r="I28" s="462">
        <f t="shared" si="7"/>
        <v>538528</v>
      </c>
      <c r="J28" s="462">
        <f t="shared" si="7"/>
        <v>608628</v>
      </c>
      <c r="K28" s="462">
        <f t="shared" si="1"/>
        <v>92.788701216137724</v>
      </c>
      <c r="L28" s="462">
        <f t="shared" si="2"/>
        <v>-47301</v>
      </c>
      <c r="M28" s="462">
        <f t="shared" si="8"/>
        <v>608628</v>
      </c>
      <c r="N28" s="178">
        <f t="shared" si="0"/>
        <v>0</v>
      </c>
    </row>
    <row r="29" spans="1:14" ht="21.25" customHeight="1" outlineLevel="7" x14ac:dyDescent="0.3">
      <c r="A29" s="189" t="s">
        <v>17</v>
      </c>
      <c r="B29" s="392" t="s">
        <v>454</v>
      </c>
      <c r="C29" s="392" t="s">
        <v>24</v>
      </c>
      <c r="D29" s="392" t="s">
        <v>317</v>
      </c>
      <c r="E29" s="392" t="s">
        <v>18</v>
      </c>
      <c r="F29" s="475">
        <v>509016</v>
      </c>
      <c r="G29" s="462">
        <f>'потребность 2023 (5)'!K28+108713</f>
        <v>655929</v>
      </c>
      <c r="H29" s="463">
        <v>643454</v>
      </c>
      <c r="I29" s="462">
        <v>538528</v>
      </c>
      <c r="J29" s="449">
        <v>608628</v>
      </c>
      <c r="K29" s="462">
        <f t="shared" si="1"/>
        <v>92.788701216137724</v>
      </c>
      <c r="L29" s="462">
        <f t="shared" si="2"/>
        <v>-47301</v>
      </c>
      <c r="M29" s="449">
        <v>608628</v>
      </c>
      <c r="N29" s="178">
        <f t="shared" si="0"/>
        <v>0</v>
      </c>
    </row>
    <row r="30" spans="1:14" s="461" customFormat="1" ht="34" x14ac:dyDescent="0.3">
      <c r="A30" s="186" t="s">
        <v>888</v>
      </c>
      <c r="B30" s="458" t="s">
        <v>455</v>
      </c>
      <c r="C30" s="458" t="s">
        <v>5</v>
      </c>
      <c r="D30" s="458" t="s">
        <v>126</v>
      </c>
      <c r="E30" s="458" t="s">
        <v>6</v>
      </c>
      <c r="F30" s="459" t="e">
        <f>F31+F158+F168+F230+F329+F345+F355+F385+F470+F436+F179</f>
        <v>#REF!</v>
      </c>
      <c r="G30" s="459" t="e">
        <f>G31+G158+G168+G230+G329+G345+G355+G385+G470+G436+G179</f>
        <v>#REF!</v>
      </c>
      <c r="H30" s="460">
        <v>290398495.88999999</v>
      </c>
      <c r="I30" s="459" t="e">
        <f>I31+I158+I168+I230+I329+I345+I355+I385+I470+I436+I179</f>
        <v>#REF!</v>
      </c>
      <c r="J30" s="459">
        <f>J31+J158+J168+J230+J329+J345+J355+J385+J470+J436+J179</f>
        <v>358294784.04000002</v>
      </c>
      <c r="K30" s="462" t="e">
        <f t="shared" si="1"/>
        <v>#REF!</v>
      </c>
      <c r="L30" s="462" t="e">
        <f t="shared" si="2"/>
        <v>#REF!</v>
      </c>
      <c r="M30" s="459">
        <f>M31+M158+M168+M230+M329+M345+M355+M385+M470+M436+M179</f>
        <v>328403509.83999997</v>
      </c>
      <c r="N30" s="178">
        <f t="shared" si="0"/>
        <v>-29891274.200000048</v>
      </c>
    </row>
    <row r="31" spans="1:14" s="224" customFormat="1" outlineLevel="1" x14ac:dyDescent="0.3">
      <c r="A31" s="233" t="s">
        <v>7</v>
      </c>
      <c r="B31" s="397" t="s">
        <v>455</v>
      </c>
      <c r="C31" s="397" t="s">
        <v>8</v>
      </c>
      <c r="D31" s="397" t="s">
        <v>126</v>
      </c>
      <c r="E31" s="397" t="s">
        <v>6</v>
      </c>
      <c r="F31" s="465">
        <f>F32+F37+F44+F50+F60+F55</f>
        <v>98280462.280000001</v>
      </c>
      <c r="G31" s="465" t="e">
        <f>G32+G37+G44+G50+G60+G55</f>
        <v>#REF!</v>
      </c>
      <c r="H31" s="460">
        <v>70550900.319999993</v>
      </c>
      <c r="I31" s="465" t="e">
        <f>I32+I37+I44+I50+I60+I55</f>
        <v>#REF!</v>
      </c>
      <c r="J31" s="465">
        <f>J32+J37+J44+J50+J60+J55</f>
        <v>126418707.31</v>
      </c>
      <c r="K31" s="462" t="e">
        <f t="shared" si="1"/>
        <v>#REF!</v>
      </c>
      <c r="L31" s="462" t="e">
        <f t="shared" si="2"/>
        <v>#REF!</v>
      </c>
      <c r="M31" s="465">
        <f>M32+M37+M44+M50+M60+M55</f>
        <v>137516010.34</v>
      </c>
      <c r="N31" s="178">
        <f t="shared" si="0"/>
        <v>11097303.030000001</v>
      </c>
    </row>
    <row r="32" spans="1:14" ht="45.7" customHeight="1" outlineLevel="2" x14ac:dyDescent="0.3">
      <c r="A32" s="189" t="s">
        <v>28</v>
      </c>
      <c r="B32" s="392" t="s">
        <v>455</v>
      </c>
      <c r="C32" s="392" t="s">
        <v>29</v>
      </c>
      <c r="D32" s="392" t="s">
        <v>126</v>
      </c>
      <c r="E32" s="392" t="s">
        <v>6</v>
      </c>
      <c r="F32" s="471">
        <f t="shared" ref="F32:J35" si="9">F33</f>
        <v>2665297.4500000002</v>
      </c>
      <c r="G32" s="462">
        <f t="shared" si="9"/>
        <v>2856950</v>
      </c>
      <c r="H32" s="460">
        <v>2405559.86</v>
      </c>
      <c r="I32" s="462">
        <f t="shared" si="9"/>
        <v>2819261</v>
      </c>
      <c r="J32" s="462">
        <f t="shared" si="9"/>
        <v>3140000</v>
      </c>
      <c r="K32" s="462">
        <f t="shared" si="1"/>
        <v>109.90741875076569</v>
      </c>
      <c r="L32" s="462">
        <f t="shared" si="2"/>
        <v>283050</v>
      </c>
      <c r="M32" s="462">
        <f t="shared" ref="M32:M35" si="10">M33</f>
        <v>3140000</v>
      </c>
      <c r="N32" s="178">
        <f t="shared" si="0"/>
        <v>0</v>
      </c>
    </row>
    <row r="33" spans="1:14" ht="34" outlineLevel="3" x14ac:dyDescent="0.3">
      <c r="A33" s="189" t="s">
        <v>132</v>
      </c>
      <c r="B33" s="392" t="s">
        <v>455</v>
      </c>
      <c r="C33" s="392" t="s">
        <v>29</v>
      </c>
      <c r="D33" s="392" t="s">
        <v>127</v>
      </c>
      <c r="E33" s="392" t="s">
        <v>6</v>
      </c>
      <c r="F33" s="471">
        <f t="shared" si="9"/>
        <v>2665297.4500000002</v>
      </c>
      <c r="G33" s="462">
        <f t="shared" si="9"/>
        <v>2856950</v>
      </c>
      <c r="H33" s="460">
        <v>2405559.86</v>
      </c>
      <c r="I33" s="462">
        <f t="shared" si="9"/>
        <v>2819261</v>
      </c>
      <c r="J33" s="462">
        <f t="shared" si="9"/>
        <v>3140000</v>
      </c>
      <c r="K33" s="462">
        <f t="shared" si="1"/>
        <v>109.90741875076569</v>
      </c>
      <c r="L33" s="462">
        <f t="shared" si="2"/>
        <v>283050</v>
      </c>
      <c r="M33" s="462">
        <f t="shared" si="10"/>
        <v>3140000</v>
      </c>
      <c r="N33" s="178">
        <f t="shared" si="0"/>
        <v>0</v>
      </c>
    </row>
    <row r="34" spans="1:14" outlineLevel="5" x14ac:dyDescent="0.3">
      <c r="A34" s="189" t="s">
        <v>451</v>
      </c>
      <c r="B34" s="392" t="s">
        <v>455</v>
      </c>
      <c r="C34" s="392" t="s">
        <v>29</v>
      </c>
      <c r="D34" s="392" t="s">
        <v>452</v>
      </c>
      <c r="E34" s="392" t="s">
        <v>6</v>
      </c>
      <c r="F34" s="471">
        <f t="shared" si="9"/>
        <v>2665297.4500000002</v>
      </c>
      <c r="G34" s="462">
        <f t="shared" si="9"/>
        <v>2856950</v>
      </c>
      <c r="H34" s="460">
        <v>2405559.86</v>
      </c>
      <c r="I34" s="462">
        <f t="shared" si="9"/>
        <v>2819261</v>
      </c>
      <c r="J34" s="462">
        <f t="shared" si="9"/>
        <v>3140000</v>
      </c>
      <c r="K34" s="462">
        <f t="shared" si="1"/>
        <v>109.90741875076569</v>
      </c>
      <c r="L34" s="462">
        <f t="shared" si="2"/>
        <v>283050</v>
      </c>
      <c r="M34" s="462">
        <f t="shared" si="10"/>
        <v>3140000</v>
      </c>
      <c r="N34" s="178">
        <f t="shared" si="0"/>
        <v>0</v>
      </c>
    </row>
    <row r="35" spans="1:14" ht="101.9" outlineLevel="6" x14ac:dyDescent="0.3">
      <c r="A35" s="189" t="s">
        <v>11</v>
      </c>
      <c r="B35" s="392" t="s">
        <v>455</v>
      </c>
      <c r="C35" s="392" t="s">
        <v>29</v>
      </c>
      <c r="D35" s="392" t="s">
        <v>452</v>
      </c>
      <c r="E35" s="392" t="s">
        <v>12</v>
      </c>
      <c r="F35" s="471">
        <f t="shared" si="9"/>
        <v>2665297.4500000002</v>
      </c>
      <c r="G35" s="462">
        <f t="shared" si="9"/>
        <v>2856950</v>
      </c>
      <c r="H35" s="460">
        <v>2405559.86</v>
      </c>
      <c r="I35" s="462">
        <f t="shared" si="9"/>
        <v>2819261</v>
      </c>
      <c r="J35" s="462">
        <f t="shared" si="9"/>
        <v>3140000</v>
      </c>
      <c r="K35" s="462">
        <f t="shared" si="1"/>
        <v>109.90741875076569</v>
      </c>
      <c r="L35" s="462">
        <f t="shared" si="2"/>
        <v>283050</v>
      </c>
      <c r="M35" s="462">
        <f t="shared" si="10"/>
        <v>3140000</v>
      </c>
      <c r="N35" s="178">
        <f t="shared" si="0"/>
        <v>0</v>
      </c>
    </row>
    <row r="36" spans="1:14" ht="34" outlineLevel="7" x14ac:dyDescent="0.3">
      <c r="A36" s="189" t="s">
        <v>13</v>
      </c>
      <c r="B36" s="392" t="s">
        <v>455</v>
      </c>
      <c r="C36" s="392" t="s">
        <v>29</v>
      </c>
      <c r="D36" s="392" t="s">
        <v>452</v>
      </c>
      <c r="E36" s="392" t="s">
        <v>14</v>
      </c>
      <c r="F36" s="475">
        <v>2665297.4500000002</v>
      </c>
      <c r="G36" s="462">
        <f>'потребность 2023 (5)'!K35-189170</f>
        <v>2856950</v>
      </c>
      <c r="H36" s="460">
        <v>2405559.86</v>
      </c>
      <c r="I36" s="462">
        <v>2819261</v>
      </c>
      <c r="J36" s="449">
        <v>3140000</v>
      </c>
      <c r="K36" s="462">
        <f t="shared" si="1"/>
        <v>109.90741875076569</v>
      </c>
      <c r="L36" s="462">
        <f t="shared" si="2"/>
        <v>283050</v>
      </c>
      <c r="M36" s="449">
        <v>3140000</v>
      </c>
      <c r="N36" s="178">
        <f t="shared" si="0"/>
        <v>0</v>
      </c>
    </row>
    <row r="37" spans="1:14" ht="55.2" customHeight="1" outlineLevel="2" x14ac:dyDescent="0.3">
      <c r="A37" s="189" t="s">
        <v>30</v>
      </c>
      <c r="B37" s="392" t="s">
        <v>455</v>
      </c>
      <c r="C37" s="392" t="s">
        <v>31</v>
      </c>
      <c r="D37" s="392" t="s">
        <v>126</v>
      </c>
      <c r="E37" s="392" t="s">
        <v>6</v>
      </c>
      <c r="F37" s="471">
        <f>F38</f>
        <v>20389387.09</v>
      </c>
      <c r="G37" s="462">
        <f t="shared" ref="G37:J38" si="11">G38</f>
        <v>23294985</v>
      </c>
      <c r="H37" s="460">
        <v>15146482.289999999</v>
      </c>
      <c r="I37" s="462">
        <f t="shared" si="11"/>
        <v>24468530</v>
      </c>
      <c r="J37" s="462">
        <f t="shared" si="11"/>
        <v>26575000</v>
      </c>
      <c r="K37" s="462">
        <f t="shared" si="1"/>
        <v>114.08034819511582</v>
      </c>
      <c r="L37" s="462">
        <f t="shared" si="2"/>
        <v>3280015</v>
      </c>
      <c r="M37" s="462">
        <f t="shared" ref="M37:M38" si="12">M38</f>
        <v>25575000</v>
      </c>
      <c r="N37" s="178">
        <f t="shared" si="0"/>
        <v>-1000000</v>
      </c>
    </row>
    <row r="38" spans="1:14" ht="34" outlineLevel="3" x14ac:dyDescent="0.3">
      <c r="A38" s="189" t="s">
        <v>132</v>
      </c>
      <c r="B38" s="392" t="s">
        <v>455</v>
      </c>
      <c r="C38" s="392" t="s">
        <v>31</v>
      </c>
      <c r="D38" s="392" t="s">
        <v>127</v>
      </c>
      <c r="E38" s="392" t="s">
        <v>6</v>
      </c>
      <c r="F38" s="471">
        <f>F39</f>
        <v>20389387.09</v>
      </c>
      <c r="G38" s="462">
        <f t="shared" si="11"/>
        <v>23294985</v>
      </c>
      <c r="H38" s="460">
        <v>15146482.289999999</v>
      </c>
      <c r="I38" s="462">
        <f t="shared" si="11"/>
        <v>24468530</v>
      </c>
      <c r="J38" s="462">
        <f t="shared" si="11"/>
        <v>26575000</v>
      </c>
      <c r="K38" s="462">
        <f t="shared" si="1"/>
        <v>114.08034819511582</v>
      </c>
      <c r="L38" s="462">
        <f t="shared" si="2"/>
        <v>3280015</v>
      </c>
      <c r="M38" s="462">
        <f t="shared" si="12"/>
        <v>25575000</v>
      </c>
      <c r="N38" s="178">
        <f t="shared" si="0"/>
        <v>-1000000</v>
      </c>
    </row>
    <row r="39" spans="1:14" ht="46.55" customHeight="1" outlineLevel="5" x14ac:dyDescent="0.3">
      <c r="A39" s="189" t="s">
        <v>449</v>
      </c>
      <c r="B39" s="392" t="s">
        <v>455</v>
      </c>
      <c r="C39" s="392" t="s">
        <v>31</v>
      </c>
      <c r="D39" s="392" t="s">
        <v>450</v>
      </c>
      <c r="E39" s="392" t="s">
        <v>6</v>
      </c>
      <c r="F39" s="471">
        <f>F40+F42</f>
        <v>20389387.09</v>
      </c>
      <c r="G39" s="462">
        <f>G40+G42</f>
        <v>23294985</v>
      </c>
      <c r="H39" s="460">
        <v>15146482.289999999</v>
      </c>
      <c r="I39" s="462">
        <f>I40+I42</f>
        <v>24468530</v>
      </c>
      <c r="J39" s="462">
        <f>J40+J42</f>
        <v>26575000</v>
      </c>
      <c r="K39" s="462">
        <f t="shared" si="1"/>
        <v>114.08034819511582</v>
      </c>
      <c r="L39" s="462">
        <f t="shared" si="2"/>
        <v>3280015</v>
      </c>
      <c r="M39" s="462">
        <f>M40+M42</f>
        <v>25575000</v>
      </c>
      <c r="N39" s="178">
        <f t="shared" si="0"/>
        <v>-1000000</v>
      </c>
    </row>
    <row r="40" spans="1:14" ht="101.9" outlineLevel="6" x14ac:dyDescent="0.3">
      <c r="A40" s="189" t="s">
        <v>11</v>
      </c>
      <c r="B40" s="392" t="s">
        <v>455</v>
      </c>
      <c r="C40" s="392" t="s">
        <v>31</v>
      </c>
      <c r="D40" s="392" t="s">
        <v>450</v>
      </c>
      <c r="E40" s="392" t="s">
        <v>12</v>
      </c>
      <c r="F40" s="471">
        <f>F41</f>
        <v>20270358.07</v>
      </c>
      <c r="G40" s="462">
        <f>G41</f>
        <v>23192985</v>
      </c>
      <c r="H40" s="460">
        <v>15091682.59</v>
      </c>
      <c r="I40" s="462">
        <f>I41</f>
        <v>24366530</v>
      </c>
      <c r="J40" s="462">
        <f>J41</f>
        <v>26470000</v>
      </c>
      <c r="K40" s="462">
        <f t="shared" si="1"/>
        <v>114.12933695253112</v>
      </c>
      <c r="L40" s="462">
        <f t="shared" si="2"/>
        <v>3277015</v>
      </c>
      <c r="M40" s="462">
        <f>M41</f>
        <v>25470000</v>
      </c>
      <c r="N40" s="178">
        <f t="shared" si="0"/>
        <v>-1000000</v>
      </c>
    </row>
    <row r="41" spans="1:14" ht="34" outlineLevel="7" x14ac:dyDescent="0.3">
      <c r="A41" s="189" t="s">
        <v>13</v>
      </c>
      <c r="B41" s="392" t="s">
        <v>455</v>
      </c>
      <c r="C41" s="392" t="s">
        <v>31</v>
      </c>
      <c r="D41" s="392" t="s">
        <v>450</v>
      </c>
      <c r="E41" s="392" t="s">
        <v>14</v>
      </c>
      <c r="F41" s="475">
        <v>20270358.07</v>
      </c>
      <c r="G41" s="449">
        <f>'потребность 2023 (5)'!K40</f>
        <v>23192985</v>
      </c>
      <c r="H41" s="460">
        <v>15091682.59</v>
      </c>
      <c r="I41" s="449">
        <f>24866530-500000</f>
        <v>24366530</v>
      </c>
      <c r="J41" s="449">
        <v>26470000</v>
      </c>
      <c r="K41" s="462">
        <f t="shared" si="1"/>
        <v>114.12933695253112</v>
      </c>
      <c r="L41" s="462">
        <f t="shared" si="2"/>
        <v>3277015</v>
      </c>
      <c r="M41" s="449">
        <f>26470000-1000000</f>
        <v>25470000</v>
      </c>
      <c r="N41" s="178">
        <f t="shared" si="0"/>
        <v>-1000000</v>
      </c>
    </row>
    <row r="42" spans="1:14" ht="34" outlineLevel="6" x14ac:dyDescent="0.3">
      <c r="A42" s="189" t="s">
        <v>15</v>
      </c>
      <c r="B42" s="392" t="s">
        <v>455</v>
      </c>
      <c r="C42" s="392" t="s">
        <v>31</v>
      </c>
      <c r="D42" s="392" t="s">
        <v>450</v>
      </c>
      <c r="E42" s="392" t="s">
        <v>16</v>
      </c>
      <c r="F42" s="471">
        <f>F43</f>
        <v>119029.02</v>
      </c>
      <c r="G42" s="462">
        <f>G43</f>
        <v>102000</v>
      </c>
      <c r="H42" s="460">
        <v>54799.7</v>
      </c>
      <c r="I42" s="462">
        <f>I43</f>
        <v>102000</v>
      </c>
      <c r="J42" s="462">
        <f>J43</f>
        <v>105000</v>
      </c>
      <c r="K42" s="462">
        <f t="shared" si="1"/>
        <v>102.94117647058823</v>
      </c>
      <c r="L42" s="462">
        <f t="shared" si="2"/>
        <v>3000</v>
      </c>
      <c r="M42" s="462">
        <f>M43</f>
        <v>105000</v>
      </c>
      <c r="N42" s="178">
        <f t="shared" si="0"/>
        <v>0</v>
      </c>
    </row>
    <row r="43" spans="1:14" ht="21.25" customHeight="1" outlineLevel="7" x14ac:dyDescent="0.3">
      <c r="A43" s="189" t="s">
        <v>17</v>
      </c>
      <c r="B43" s="392" t="s">
        <v>455</v>
      </c>
      <c r="C43" s="392" t="s">
        <v>31</v>
      </c>
      <c r="D43" s="392" t="s">
        <v>450</v>
      </c>
      <c r="E43" s="392" t="s">
        <v>18</v>
      </c>
      <c r="F43" s="475">
        <v>119029.02</v>
      </c>
      <c r="G43" s="449">
        <f>'потребность 2023 (5)'!K42</f>
        <v>102000</v>
      </c>
      <c r="H43" s="460">
        <v>54799.7</v>
      </c>
      <c r="I43" s="449">
        <v>102000</v>
      </c>
      <c r="J43" s="449">
        <v>105000</v>
      </c>
      <c r="K43" s="462">
        <f t="shared" si="1"/>
        <v>102.94117647058823</v>
      </c>
      <c r="L43" s="462">
        <f t="shared" si="2"/>
        <v>3000</v>
      </c>
      <c r="M43" s="449">
        <v>105000</v>
      </c>
      <c r="N43" s="178">
        <f t="shared" si="0"/>
        <v>0</v>
      </c>
    </row>
    <row r="44" spans="1:14" outlineLevel="7" x14ac:dyDescent="0.3">
      <c r="A44" s="189" t="s">
        <v>254</v>
      </c>
      <c r="B44" s="392" t="s">
        <v>455</v>
      </c>
      <c r="C44" s="392" t="s">
        <v>255</v>
      </c>
      <c r="D44" s="392" t="s">
        <v>126</v>
      </c>
      <c r="E44" s="392" t="s">
        <v>6</v>
      </c>
      <c r="F44" s="476">
        <f>F45</f>
        <v>0</v>
      </c>
      <c r="G44" s="449">
        <f>G45</f>
        <v>0</v>
      </c>
      <c r="H44" s="460"/>
      <c r="I44" s="449">
        <f>I45</f>
        <v>0</v>
      </c>
      <c r="J44" s="449">
        <f>J45</f>
        <v>4251</v>
      </c>
      <c r="K44" s="462" t="e">
        <f t="shared" si="1"/>
        <v>#DIV/0!</v>
      </c>
      <c r="L44" s="462">
        <f t="shared" si="2"/>
        <v>4251</v>
      </c>
      <c r="M44" s="449">
        <f>M45</f>
        <v>4251</v>
      </c>
      <c r="N44" s="178">
        <f t="shared" si="0"/>
        <v>0</v>
      </c>
    </row>
    <row r="45" spans="1:14" ht="34" outlineLevel="7" x14ac:dyDescent="0.3">
      <c r="A45" s="189" t="s">
        <v>132</v>
      </c>
      <c r="B45" s="392" t="s">
        <v>455</v>
      </c>
      <c r="C45" s="392" t="s">
        <v>255</v>
      </c>
      <c r="D45" s="392" t="s">
        <v>127</v>
      </c>
      <c r="E45" s="392" t="s">
        <v>6</v>
      </c>
      <c r="F45" s="476">
        <f>F47</f>
        <v>0</v>
      </c>
      <c r="G45" s="449">
        <f>G47</f>
        <v>0</v>
      </c>
      <c r="H45" s="460"/>
      <c r="I45" s="449">
        <f>I47</f>
        <v>0</v>
      </c>
      <c r="J45" s="449">
        <f>J47</f>
        <v>4251</v>
      </c>
      <c r="K45" s="462" t="e">
        <f t="shared" si="1"/>
        <v>#DIV/0!</v>
      </c>
      <c r="L45" s="462">
        <f t="shared" si="2"/>
        <v>4251</v>
      </c>
      <c r="M45" s="449">
        <f>M47</f>
        <v>4251</v>
      </c>
      <c r="N45" s="178">
        <f t="shared" si="0"/>
        <v>0</v>
      </c>
    </row>
    <row r="46" spans="1:14" ht="34" outlineLevel="7" x14ac:dyDescent="0.3">
      <c r="A46" s="189" t="s">
        <v>269</v>
      </c>
      <c r="B46" s="392" t="s">
        <v>455</v>
      </c>
      <c r="C46" s="392" t="s">
        <v>255</v>
      </c>
      <c r="D46" s="392" t="s">
        <v>268</v>
      </c>
      <c r="E46" s="392" t="s">
        <v>6</v>
      </c>
      <c r="F46" s="476">
        <f t="shared" ref="F46:J48" si="13">F47</f>
        <v>0</v>
      </c>
      <c r="G46" s="449">
        <f t="shared" si="13"/>
        <v>0</v>
      </c>
      <c r="H46" s="460"/>
      <c r="I46" s="449">
        <f t="shared" si="13"/>
        <v>0</v>
      </c>
      <c r="J46" s="449">
        <f t="shared" si="13"/>
        <v>4251</v>
      </c>
      <c r="K46" s="462" t="e">
        <f t="shared" si="1"/>
        <v>#DIV/0!</v>
      </c>
      <c r="L46" s="462">
        <f t="shared" si="2"/>
        <v>4251</v>
      </c>
      <c r="M46" s="449">
        <f t="shared" ref="M46:M48" si="14">M47</f>
        <v>4251</v>
      </c>
      <c r="N46" s="178">
        <f t="shared" si="0"/>
        <v>0</v>
      </c>
    </row>
    <row r="47" spans="1:14" ht="71.5" customHeight="1" outlineLevel="7" x14ac:dyDescent="0.3">
      <c r="A47" s="189" t="s">
        <v>932</v>
      </c>
      <c r="B47" s="392" t="s">
        <v>455</v>
      </c>
      <c r="C47" s="392" t="s">
        <v>255</v>
      </c>
      <c r="D47" s="392" t="s">
        <v>277</v>
      </c>
      <c r="E47" s="392" t="s">
        <v>6</v>
      </c>
      <c r="F47" s="476">
        <f t="shared" si="13"/>
        <v>0</v>
      </c>
      <c r="G47" s="449">
        <f t="shared" si="13"/>
        <v>0</v>
      </c>
      <c r="H47" s="460"/>
      <c r="I47" s="449">
        <f t="shared" si="13"/>
        <v>0</v>
      </c>
      <c r="J47" s="449">
        <f t="shared" si="13"/>
        <v>4251</v>
      </c>
      <c r="K47" s="462" t="e">
        <f t="shared" si="1"/>
        <v>#DIV/0!</v>
      </c>
      <c r="L47" s="462">
        <f t="shared" si="2"/>
        <v>4251</v>
      </c>
      <c r="M47" s="449">
        <f t="shared" si="14"/>
        <v>4251</v>
      </c>
      <c r="N47" s="178">
        <f t="shared" si="0"/>
        <v>0</v>
      </c>
    </row>
    <row r="48" spans="1:14" ht="34" outlineLevel="7" x14ac:dyDescent="0.3">
      <c r="A48" s="189" t="s">
        <v>15</v>
      </c>
      <c r="B48" s="392" t="s">
        <v>455</v>
      </c>
      <c r="C48" s="392" t="s">
        <v>255</v>
      </c>
      <c r="D48" s="392" t="s">
        <v>277</v>
      </c>
      <c r="E48" s="392" t="s">
        <v>16</v>
      </c>
      <c r="F48" s="476">
        <f t="shared" si="13"/>
        <v>0</v>
      </c>
      <c r="G48" s="449">
        <f t="shared" si="13"/>
        <v>0</v>
      </c>
      <c r="H48" s="460"/>
      <c r="I48" s="449">
        <f t="shared" si="13"/>
        <v>0</v>
      </c>
      <c r="J48" s="449">
        <f t="shared" si="13"/>
        <v>4251</v>
      </c>
      <c r="K48" s="462" t="e">
        <f t="shared" si="1"/>
        <v>#DIV/0!</v>
      </c>
      <c r="L48" s="462">
        <f t="shared" si="2"/>
        <v>4251</v>
      </c>
      <c r="M48" s="449">
        <f t="shared" si="14"/>
        <v>4251</v>
      </c>
      <c r="N48" s="178">
        <f t="shared" si="0"/>
        <v>0</v>
      </c>
    </row>
    <row r="49" spans="1:14" ht="19.55" customHeight="1" outlineLevel="7" x14ac:dyDescent="0.3">
      <c r="A49" s="189" t="s">
        <v>17</v>
      </c>
      <c r="B49" s="392" t="s">
        <v>455</v>
      </c>
      <c r="C49" s="392" t="s">
        <v>255</v>
      </c>
      <c r="D49" s="392" t="s">
        <v>277</v>
      </c>
      <c r="E49" s="392" t="s">
        <v>18</v>
      </c>
      <c r="F49" s="475">
        <f>183414-183414</f>
        <v>0</v>
      </c>
      <c r="G49" s="462">
        <f>4037-4037</f>
        <v>0</v>
      </c>
      <c r="H49" s="460"/>
      <c r="I49" s="462">
        <f>4237-4237</f>
        <v>0</v>
      </c>
      <c r="J49" s="449">
        <v>4251</v>
      </c>
      <c r="K49" s="462" t="e">
        <f t="shared" si="1"/>
        <v>#DIV/0!</v>
      </c>
      <c r="L49" s="462">
        <f t="shared" si="2"/>
        <v>4251</v>
      </c>
      <c r="M49" s="449">
        <v>4251</v>
      </c>
      <c r="N49" s="178">
        <f t="shared" si="0"/>
        <v>0</v>
      </c>
    </row>
    <row r="50" spans="1:14" ht="36.700000000000003" customHeight="1" outlineLevel="2" x14ac:dyDescent="0.3">
      <c r="A50" s="189" t="s">
        <v>9</v>
      </c>
      <c r="B50" s="392" t="s">
        <v>455</v>
      </c>
      <c r="C50" s="392" t="s">
        <v>10</v>
      </c>
      <c r="D50" s="392" t="s">
        <v>126</v>
      </c>
      <c r="E50" s="392" t="s">
        <v>6</v>
      </c>
      <c r="F50" s="471">
        <f t="shared" ref="F50:J53" si="15">F51</f>
        <v>734304.84</v>
      </c>
      <c r="G50" s="462">
        <f t="shared" si="15"/>
        <v>845370</v>
      </c>
      <c r="H50" s="460">
        <v>491632.01</v>
      </c>
      <c r="I50" s="462">
        <f t="shared" si="15"/>
        <v>866195</v>
      </c>
      <c r="J50" s="462">
        <f t="shared" si="15"/>
        <v>910350</v>
      </c>
      <c r="K50" s="462">
        <f t="shared" si="1"/>
        <v>107.68657510912381</v>
      </c>
      <c r="L50" s="462">
        <f t="shared" si="2"/>
        <v>64980</v>
      </c>
      <c r="M50" s="462">
        <f t="shared" ref="M50:M53" si="16">M51</f>
        <v>910350</v>
      </c>
      <c r="N50" s="178">
        <f t="shared" si="0"/>
        <v>0</v>
      </c>
    </row>
    <row r="51" spans="1:14" ht="34" outlineLevel="4" x14ac:dyDescent="0.3">
      <c r="A51" s="189" t="s">
        <v>132</v>
      </c>
      <c r="B51" s="392" t="s">
        <v>455</v>
      </c>
      <c r="C51" s="392" t="s">
        <v>10</v>
      </c>
      <c r="D51" s="392" t="s">
        <v>127</v>
      </c>
      <c r="E51" s="392" t="s">
        <v>6</v>
      </c>
      <c r="F51" s="471">
        <f t="shared" si="15"/>
        <v>734304.84</v>
      </c>
      <c r="G51" s="462">
        <f t="shared" si="15"/>
        <v>845370</v>
      </c>
      <c r="H51" s="460">
        <v>491632.01</v>
      </c>
      <c r="I51" s="462">
        <f t="shared" si="15"/>
        <v>866195</v>
      </c>
      <c r="J51" s="462">
        <f t="shared" si="15"/>
        <v>910350</v>
      </c>
      <c r="K51" s="462">
        <f t="shared" si="1"/>
        <v>107.68657510912381</v>
      </c>
      <c r="L51" s="462">
        <f t="shared" si="2"/>
        <v>64980</v>
      </c>
      <c r="M51" s="462">
        <f t="shared" si="16"/>
        <v>910350</v>
      </c>
      <c r="N51" s="178">
        <f t="shared" si="0"/>
        <v>0</v>
      </c>
    </row>
    <row r="52" spans="1:14" ht="34" outlineLevel="5" x14ac:dyDescent="0.3">
      <c r="A52" s="189" t="s">
        <v>453</v>
      </c>
      <c r="B52" s="392" t="s">
        <v>455</v>
      </c>
      <c r="C52" s="392" t="s">
        <v>10</v>
      </c>
      <c r="D52" s="392" t="s">
        <v>491</v>
      </c>
      <c r="E52" s="392" t="s">
        <v>6</v>
      </c>
      <c r="F52" s="471">
        <f t="shared" si="15"/>
        <v>734304.84</v>
      </c>
      <c r="G52" s="462">
        <f t="shared" si="15"/>
        <v>845370</v>
      </c>
      <c r="H52" s="460">
        <v>491632.01</v>
      </c>
      <c r="I52" s="462">
        <f t="shared" si="15"/>
        <v>866195</v>
      </c>
      <c r="J52" s="462">
        <f t="shared" si="15"/>
        <v>910350</v>
      </c>
      <c r="K52" s="462">
        <f t="shared" si="1"/>
        <v>107.68657510912381</v>
      </c>
      <c r="L52" s="462">
        <f t="shared" si="2"/>
        <v>64980</v>
      </c>
      <c r="M52" s="462">
        <f t="shared" si="16"/>
        <v>910350</v>
      </c>
      <c r="N52" s="178">
        <f t="shared" si="0"/>
        <v>0</v>
      </c>
    </row>
    <row r="53" spans="1:14" ht="101.9" outlineLevel="6" x14ac:dyDescent="0.3">
      <c r="A53" s="189" t="s">
        <v>11</v>
      </c>
      <c r="B53" s="392" t="s">
        <v>455</v>
      </c>
      <c r="C53" s="392" t="s">
        <v>10</v>
      </c>
      <c r="D53" s="392" t="s">
        <v>491</v>
      </c>
      <c r="E53" s="392" t="s">
        <v>12</v>
      </c>
      <c r="F53" s="471">
        <f t="shared" si="15"/>
        <v>734304.84</v>
      </c>
      <c r="G53" s="462">
        <f t="shared" si="15"/>
        <v>845370</v>
      </c>
      <c r="H53" s="460">
        <v>491632.01</v>
      </c>
      <c r="I53" s="462">
        <f t="shared" si="15"/>
        <v>866195</v>
      </c>
      <c r="J53" s="462">
        <f t="shared" si="15"/>
        <v>910350</v>
      </c>
      <c r="K53" s="462">
        <f t="shared" si="1"/>
        <v>107.68657510912381</v>
      </c>
      <c r="L53" s="462">
        <f t="shared" si="2"/>
        <v>64980</v>
      </c>
      <c r="M53" s="462">
        <f t="shared" si="16"/>
        <v>910350</v>
      </c>
      <c r="N53" s="178">
        <f t="shared" si="0"/>
        <v>0</v>
      </c>
    </row>
    <row r="54" spans="1:14" ht="34" outlineLevel="7" x14ac:dyDescent="0.3">
      <c r="A54" s="189" t="s">
        <v>13</v>
      </c>
      <c r="B54" s="392" t="s">
        <v>455</v>
      </c>
      <c r="C54" s="392" t="s">
        <v>10</v>
      </c>
      <c r="D54" s="392" t="s">
        <v>491</v>
      </c>
      <c r="E54" s="392" t="s">
        <v>14</v>
      </c>
      <c r="F54" s="475">
        <v>734304.84</v>
      </c>
      <c r="G54" s="462">
        <f>'потребность 2023 (5)'!K53</f>
        <v>845370</v>
      </c>
      <c r="H54" s="460">
        <v>491632.01</v>
      </c>
      <c r="I54" s="462">
        <v>866195</v>
      </c>
      <c r="J54" s="449">
        <v>910350</v>
      </c>
      <c r="K54" s="462">
        <f t="shared" si="1"/>
        <v>107.68657510912381</v>
      </c>
      <c r="L54" s="462">
        <f t="shared" si="2"/>
        <v>64980</v>
      </c>
      <c r="M54" s="449">
        <v>910350</v>
      </c>
      <c r="N54" s="178">
        <f t="shared" si="0"/>
        <v>0</v>
      </c>
    </row>
    <row r="55" spans="1:14" outlineLevel="7" x14ac:dyDescent="0.3">
      <c r="A55" s="189" t="s">
        <v>630</v>
      </c>
      <c r="B55" s="392" t="s">
        <v>455</v>
      </c>
      <c r="C55" s="392" t="s">
        <v>627</v>
      </c>
      <c r="D55" s="392" t="s">
        <v>126</v>
      </c>
      <c r="E55" s="392" t="s">
        <v>6</v>
      </c>
      <c r="F55" s="471">
        <f t="shared" ref="F55:J58" si="17">F56</f>
        <v>0</v>
      </c>
      <c r="G55" s="462">
        <f t="shared" si="17"/>
        <v>1203178</v>
      </c>
      <c r="H55" s="460">
        <v>0</v>
      </c>
      <c r="I55" s="462">
        <f t="shared" si="17"/>
        <v>0</v>
      </c>
      <c r="J55" s="462">
        <f t="shared" si="17"/>
        <v>0</v>
      </c>
      <c r="K55" s="462">
        <f t="shared" si="1"/>
        <v>0</v>
      </c>
      <c r="L55" s="462">
        <f t="shared" si="2"/>
        <v>-1203178</v>
      </c>
      <c r="M55" s="462">
        <f t="shared" ref="M55:M58" si="18">M56</f>
        <v>21790303.030000001</v>
      </c>
      <c r="N55" s="178">
        <f t="shared" si="0"/>
        <v>21790303.030000001</v>
      </c>
    </row>
    <row r="56" spans="1:14" ht="34" outlineLevel="7" x14ac:dyDescent="0.3">
      <c r="A56" s="189" t="s">
        <v>132</v>
      </c>
      <c r="B56" s="392" t="s">
        <v>455</v>
      </c>
      <c r="C56" s="392" t="s">
        <v>627</v>
      </c>
      <c r="D56" s="392" t="s">
        <v>127</v>
      </c>
      <c r="E56" s="392" t="s">
        <v>6</v>
      </c>
      <c r="F56" s="471">
        <f t="shared" si="17"/>
        <v>0</v>
      </c>
      <c r="G56" s="462">
        <f t="shared" si="17"/>
        <v>1203178</v>
      </c>
      <c r="H56" s="460">
        <v>0</v>
      </c>
      <c r="I56" s="462">
        <f t="shared" si="17"/>
        <v>0</v>
      </c>
      <c r="J56" s="462">
        <f t="shared" si="17"/>
        <v>0</v>
      </c>
      <c r="K56" s="462">
        <f t="shared" si="1"/>
        <v>0</v>
      </c>
      <c r="L56" s="462">
        <f t="shared" si="2"/>
        <v>-1203178</v>
      </c>
      <c r="M56" s="462">
        <f t="shared" si="18"/>
        <v>21790303.030000001</v>
      </c>
      <c r="N56" s="178">
        <f t="shared" si="0"/>
        <v>21790303.030000001</v>
      </c>
    </row>
    <row r="57" spans="1:14" ht="34" outlineLevel="7" x14ac:dyDescent="0.3">
      <c r="A57" s="189" t="s">
        <v>480</v>
      </c>
      <c r="B57" s="392" t="s">
        <v>455</v>
      </c>
      <c r="C57" s="392" t="s">
        <v>627</v>
      </c>
      <c r="D57" s="392" t="s">
        <v>493</v>
      </c>
      <c r="E57" s="392" t="s">
        <v>6</v>
      </c>
      <c r="F57" s="471">
        <f t="shared" si="17"/>
        <v>0</v>
      </c>
      <c r="G57" s="462">
        <f t="shared" si="17"/>
        <v>1203178</v>
      </c>
      <c r="H57" s="460">
        <v>0</v>
      </c>
      <c r="I57" s="462">
        <f t="shared" si="17"/>
        <v>0</v>
      </c>
      <c r="J57" s="462">
        <f t="shared" si="17"/>
        <v>0</v>
      </c>
      <c r="K57" s="462">
        <f t="shared" si="1"/>
        <v>0</v>
      </c>
      <c r="L57" s="462">
        <f t="shared" si="2"/>
        <v>-1203178</v>
      </c>
      <c r="M57" s="462">
        <f t="shared" si="18"/>
        <v>21790303.030000001</v>
      </c>
      <c r="N57" s="178">
        <f t="shared" si="0"/>
        <v>21790303.030000001</v>
      </c>
    </row>
    <row r="58" spans="1:14" outlineLevel="7" x14ac:dyDescent="0.3">
      <c r="A58" s="189" t="s">
        <v>19</v>
      </c>
      <c r="B58" s="392" t="s">
        <v>455</v>
      </c>
      <c r="C58" s="392" t="s">
        <v>627</v>
      </c>
      <c r="D58" s="392" t="s">
        <v>493</v>
      </c>
      <c r="E58" s="392" t="s">
        <v>20</v>
      </c>
      <c r="F58" s="471">
        <f t="shared" si="17"/>
        <v>0</v>
      </c>
      <c r="G58" s="462">
        <f t="shared" si="17"/>
        <v>1203178</v>
      </c>
      <c r="H58" s="460">
        <v>0</v>
      </c>
      <c r="I58" s="462">
        <f t="shared" si="17"/>
        <v>0</v>
      </c>
      <c r="J58" s="462">
        <f t="shared" si="17"/>
        <v>0</v>
      </c>
      <c r="K58" s="462">
        <f t="shared" si="1"/>
        <v>0</v>
      </c>
      <c r="L58" s="462">
        <f t="shared" si="2"/>
        <v>-1203178</v>
      </c>
      <c r="M58" s="462">
        <f t="shared" si="18"/>
        <v>21790303.030000001</v>
      </c>
      <c r="N58" s="178">
        <f t="shared" si="0"/>
        <v>21790303.030000001</v>
      </c>
    </row>
    <row r="59" spans="1:14" outlineLevel="7" x14ac:dyDescent="0.3">
      <c r="A59" s="189" t="s">
        <v>628</v>
      </c>
      <c r="B59" s="392" t="s">
        <v>455</v>
      </c>
      <c r="C59" s="392" t="s">
        <v>627</v>
      </c>
      <c r="D59" s="392" t="s">
        <v>493</v>
      </c>
      <c r="E59" s="392" t="s">
        <v>626</v>
      </c>
      <c r="F59" s="486">
        <v>0</v>
      </c>
      <c r="G59" s="462">
        <f>'потребность 2023 (5)'!K58-11954830+1686281.63-150000-1500000+38518.75+3954429.37-204428.22-1400000-2350001.15-100000+1140000+43207.62</f>
        <v>1203178</v>
      </c>
      <c r="H59" s="460">
        <v>0</v>
      </c>
      <c r="I59" s="462">
        <v>0</v>
      </c>
      <c r="J59" s="449">
        <v>0</v>
      </c>
      <c r="K59" s="462">
        <f t="shared" si="1"/>
        <v>0</v>
      </c>
      <c r="L59" s="462">
        <f t="shared" si="2"/>
        <v>-1203178</v>
      </c>
      <c r="M59" s="449">
        <f>22030303.03-240000</f>
        <v>21790303.030000001</v>
      </c>
      <c r="N59" s="178">
        <f t="shared" si="0"/>
        <v>21790303.030000001</v>
      </c>
    </row>
    <row r="60" spans="1:14" outlineLevel="2" x14ac:dyDescent="0.3">
      <c r="A60" s="189" t="s">
        <v>23</v>
      </c>
      <c r="B60" s="392" t="s">
        <v>455</v>
      </c>
      <c r="C60" s="392" t="s">
        <v>24</v>
      </c>
      <c r="D60" s="392" t="s">
        <v>126</v>
      </c>
      <c r="E60" s="392" t="s">
        <v>6</v>
      </c>
      <c r="F60" s="462">
        <f>F61+F86+F99+F91+F111+F106</f>
        <v>74491472.900000006</v>
      </c>
      <c r="G60" s="462" t="e">
        <f>G61+G86+G99+G91+G111+G106</f>
        <v>#REF!</v>
      </c>
      <c r="H60" s="460">
        <v>52503189.159999996</v>
      </c>
      <c r="I60" s="462" t="e">
        <f>I61+I86+I99+I91+I111+I106</f>
        <v>#REF!</v>
      </c>
      <c r="J60" s="462">
        <f>J61+J86+J99+J91+J111+J106</f>
        <v>95789106.310000002</v>
      </c>
      <c r="K60" s="462" t="e">
        <f t="shared" si="1"/>
        <v>#REF!</v>
      </c>
      <c r="L60" s="462" t="e">
        <f t="shared" si="2"/>
        <v>#REF!</v>
      </c>
      <c r="M60" s="462">
        <f>M61+M86+M99+M91+M111+M106</f>
        <v>86096106.310000002</v>
      </c>
      <c r="N60" s="178">
        <f t="shared" si="0"/>
        <v>-9693000</v>
      </c>
    </row>
    <row r="61" spans="1:14" s="224" customFormat="1" ht="31.95" customHeight="1" outlineLevel="3" x14ac:dyDescent="0.3">
      <c r="A61" s="233" t="s">
        <v>1029</v>
      </c>
      <c r="B61" s="397" t="s">
        <v>455</v>
      </c>
      <c r="C61" s="397" t="s">
        <v>24</v>
      </c>
      <c r="D61" s="397" t="s">
        <v>128</v>
      </c>
      <c r="E61" s="397" t="s">
        <v>6</v>
      </c>
      <c r="F61" s="465">
        <f>F62+F72+F80</f>
        <v>21657159.349999998</v>
      </c>
      <c r="G61" s="465">
        <f>G62+G72+G80</f>
        <v>24836153</v>
      </c>
      <c r="H61" s="460">
        <v>16056571.76</v>
      </c>
      <c r="I61" s="465">
        <f>I62+I72+I80</f>
        <v>25008695</v>
      </c>
      <c r="J61" s="465">
        <f>J62+J72+J80</f>
        <v>29555680</v>
      </c>
      <c r="K61" s="462">
        <f t="shared" si="1"/>
        <v>119.00264908176399</v>
      </c>
      <c r="L61" s="462">
        <f t="shared" si="2"/>
        <v>4719527</v>
      </c>
      <c r="M61" s="465">
        <f>M62+M72+M80</f>
        <v>28323680</v>
      </c>
      <c r="N61" s="178">
        <f t="shared" si="0"/>
        <v>-1232000</v>
      </c>
    </row>
    <row r="62" spans="1:14" ht="39.25" customHeight="1" outlineLevel="7" x14ac:dyDescent="0.3">
      <c r="A62" s="189" t="s">
        <v>729</v>
      </c>
      <c r="B62" s="392" t="s">
        <v>455</v>
      </c>
      <c r="C62" s="392" t="s">
        <v>24</v>
      </c>
      <c r="D62" s="392" t="s">
        <v>303</v>
      </c>
      <c r="E62" s="392" t="s">
        <v>6</v>
      </c>
      <c r="F62" s="476">
        <f>F63+F66</f>
        <v>669907.97</v>
      </c>
      <c r="G62" s="449">
        <f>G63+G66+G69</f>
        <v>974385</v>
      </c>
      <c r="H62" s="460">
        <v>189125</v>
      </c>
      <c r="I62" s="449">
        <f>I63+I66+I69</f>
        <v>845385</v>
      </c>
      <c r="J62" s="449">
        <f>J63+J66+J69</f>
        <v>920385</v>
      </c>
      <c r="K62" s="462">
        <f t="shared" si="1"/>
        <v>94.458042765436659</v>
      </c>
      <c r="L62" s="462">
        <f t="shared" si="2"/>
        <v>-54000</v>
      </c>
      <c r="M62" s="449">
        <f>M63+M66+M69</f>
        <v>920385</v>
      </c>
      <c r="N62" s="178">
        <f t="shared" si="0"/>
        <v>0</v>
      </c>
    </row>
    <row r="63" spans="1:14" outlineLevel="7" x14ac:dyDescent="0.3">
      <c r="A63" s="189" t="s">
        <v>309</v>
      </c>
      <c r="B63" s="392" t="s">
        <v>455</v>
      </c>
      <c r="C63" s="392" t="s">
        <v>24</v>
      </c>
      <c r="D63" s="392" t="s">
        <v>304</v>
      </c>
      <c r="E63" s="392" t="s">
        <v>6</v>
      </c>
      <c r="F63" s="476">
        <f>F64</f>
        <v>571182.97</v>
      </c>
      <c r="G63" s="449">
        <f t="shared" ref="G63:J64" si="19">G64</f>
        <v>745385</v>
      </c>
      <c r="H63" s="460">
        <v>9100</v>
      </c>
      <c r="I63" s="449">
        <f t="shared" si="19"/>
        <v>745385</v>
      </c>
      <c r="J63" s="449">
        <f t="shared" si="19"/>
        <v>745385</v>
      </c>
      <c r="K63" s="462">
        <f t="shared" si="1"/>
        <v>100</v>
      </c>
      <c r="L63" s="462">
        <f t="shared" si="2"/>
        <v>0</v>
      </c>
      <c r="M63" s="449">
        <f t="shared" ref="M63:M64" si="20">M64</f>
        <v>745385</v>
      </c>
      <c r="N63" s="178">
        <f t="shared" si="0"/>
        <v>0</v>
      </c>
    </row>
    <row r="64" spans="1:14" ht="34" outlineLevel="7" x14ac:dyDescent="0.3">
      <c r="A64" s="189" t="s">
        <v>15</v>
      </c>
      <c r="B64" s="392" t="s">
        <v>455</v>
      </c>
      <c r="C64" s="392" t="s">
        <v>24</v>
      </c>
      <c r="D64" s="392" t="s">
        <v>304</v>
      </c>
      <c r="E64" s="392" t="s">
        <v>16</v>
      </c>
      <c r="F64" s="471">
        <f>F65</f>
        <v>571182.97</v>
      </c>
      <c r="G64" s="462">
        <f t="shared" si="19"/>
        <v>745385</v>
      </c>
      <c r="H64" s="460">
        <v>9100</v>
      </c>
      <c r="I64" s="462">
        <f t="shared" si="19"/>
        <v>745385</v>
      </c>
      <c r="J64" s="462">
        <f t="shared" si="19"/>
        <v>745385</v>
      </c>
      <c r="K64" s="462">
        <f t="shared" si="1"/>
        <v>100</v>
      </c>
      <c r="L64" s="462">
        <f t="shared" si="2"/>
        <v>0</v>
      </c>
      <c r="M64" s="462">
        <f t="shared" si="20"/>
        <v>745385</v>
      </c>
      <c r="N64" s="178">
        <f t="shared" si="0"/>
        <v>0</v>
      </c>
    </row>
    <row r="65" spans="1:14" ht="21.25" customHeight="1" outlineLevel="7" x14ac:dyDescent="0.3">
      <c r="A65" s="189" t="s">
        <v>17</v>
      </c>
      <c r="B65" s="392" t="s">
        <v>455</v>
      </c>
      <c r="C65" s="392" t="s">
        <v>24</v>
      </c>
      <c r="D65" s="392" t="s">
        <v>304</v>
      </c>
      <c r="E65" s="392" t="s">
        <v>18</v>
      </c>
      <c r="F65" s="475">
        <v>571182.97</v>
      </c>
      <c r="G65" s="449">
        <f>'потребность 2023 (5)'!K64</f>
        <v>745385</v>
      </c>
      <c r="H65" s="460">
        <v>9100</v>
      </c>
      <c r="I65" s="449">
        <v>745385</v>
      </c>
      <c r="J65" s="449">
        <v>745385</v>
      </c>
      <c r="K65" s="462">
        <f t="shared" si="1"/>
        <v>100</v>
      </c>
      <c r="L65" s="462">
        <f t="shared" si="2"/>
        <v>0</v>
      </c>
      <c r="M65" s="449">
        <v>745385</v>
      </c>
      <c r="N65" s="178">
        <f t="shared" si="0"/>
        <v>0</v>
      </c>
    </row>
    <row r="66" spans="1:14" ht="34" outlineLevel="7" x14ac:dyDescent="0.3">
      <c r="A66" s="189" t="s">
        <v>310</v>
      </c>
      <c r="B66" s="392" t="s">
        <v>455</v>
      </c>
      <c r="C66" s="392" t="s">
        <v>24</v>
      </c>
      <c r="D66" s="392" t="s">
        <v>311</v>
      </c>
      <c r="E66" s="392" t="s">
        <v>6</v>
      </c>
      <c r="F66" s="476">
        <f>F67</f>
        <v>98725</v>
      </c>
      <c r="G66" s="449">
        <f t="shared" ref="G66:J67" si="21">G67</f>
        <v>165000</v>
      </c>
      <c r="H66" s="460">
        <v>117700</v>
      </c>
      <c r="I66" s="449">
        <f t="shared" si="21"/>
        <v>100000</v>
      </c>
      <c r="J66" s="449">
        <f t="shared" si="21"/>
        <v>165000</v>
      </c>
      <c r="K66" s="462">
        <f t="shared" si="1"/>
        <v>100</v>
      </c>
      <c r="L66" s="462">
        <f t="shared" si="2"/>
        <v>0</v>
      </c>
      <c r="M66" s="449">
        <f t="shared" ref="M66:M67" si="22">M67</f>
        <v>165000</v>
      </c>
      <c r="N66" s="178">
        <f t="shared" si="0"/>
        <v>0</v>
      </c>
    </row>
    <row r="67" spans="1:14" ht="34" outlineLevel="7" x14ac:dyDescent="0.3">
      <c r="A67" s="189" t="s">
        <v>15</v>
      </c>
      <c r="B67" s="392" t="s">
        <v>455</v>
      </c>
      <c r="C67" s="392" t="s">
        <v>24</v>
      </c>
      <c r="D67" s="392" t="s">
        <v>311</v>
      </c>
      <c r="E67" s="392" t="s">
        <v>16</v>
      </c>
      <c r="F67" s="471">
        <f>F68</f>
        <v>98725</v>
      </c>
      <c r="G67" s="462">
        <f t="shared" si="21"/>
        <v>165000</v>
      </c>
      <c r="H67" s="460">
        <v>117700</v>
      </c>
      <c r="I67" s="462">
        <f t="shared" si="21"/>
        <v>100000</v>
      </c>
      <c r="J67" s="462">
        <f t="shared" si="21"/>
        <v>165000</v>
      </c>
      <c r="K67" s="462">
        <f t="shared" si="1"/>
        <v>100</v>
      </c>
      <c r="L67" s="462">
        <f t="shared" si="2"/>
        <v>0</v>
      </c>
      <c r="M67" s="462">
        <f t="shared" si="22"/>
        <v>165000</v>
      </c>
      <c r="N67" s="178">
        <f t="shared" si="0"/>
        <v>0</v>
      </c>
    </row>
    <row r="68" spans="1:14" ht="19.55" customHeight="1" outlineLevel="7" x14ac:dyDescent="0.3">
      <c r="A68" s="189" t="s">
        <v>17</v>
      </c>
      <c r="B68" s="392" t="s">
        <v>455</v>
      </c>
      <c r="C68" s="392" t="s">
        <v>24</v>
      </c>
      <c r="D68" s="392" t="s">
        <v>311</v>
      </c>
      <c r="E68" s="392" t="s">
        <v>18</v>
      </c>
      <c r="F68" s="475">
        <v>98725</v>
      </c>
      <c r="G68" s="462">
        <f>'потребность 2023 (5)'!K67+65000</f>
        <v>165000</v>
      </c>
      <c r="H68" s="460">
        <v>117700</v>
      </c>
      <c r="I68" s="462">
        <v>100000</v>
      </c>
      <c r="J68" s="449">
        <v>165000</v>
      </c>
      <c r="K68" s="462">
        <f t="shared" si="1"/>
        <v>100</v>
      </c>
      <c r="L68" s="462">
        <f t="shared" si="2"/>
        <v>0</v>
      </c>
      <c r="M68" s="449">
        <v>165000</v>
      </c>
      <c r="N68" s="178">
        <f t="shared" si="0"/>
        <v>0</v>
      </c>
    </row>
    <row r="69" spans="1:14" ht="19.55" customHeight="1" outlineLevel="7" x14ac:dyDescent="0.3">
      <c r="A69" s="189" t="s">
        <v>1045</v>
      </c>
      <c r="B69" s="392" t="s">
        <v>455</v>
      </c>
      <c r="C69" s="392" t="s">
        <v>24</v>
      </c>
      <c r="D69" s="392" t="s">
        <v>1046</v>
      </c>
      <c r="E69" s="392" t="s">
        <v>6</v>
      </c>
      <c r="F69" s="462">
        <v>0</v>
      </c>
      <c r="G69" s="462">
        <f t="shared" ref="G69:J70" si="23">G70</f>
        <v>64000</v>
      </c>
      <c r="H69" s="460">
        <v>62325</v>
      </c>
      <c r="I69" s="462">
        <f t="shared" si="23"/>
        <v>0</v>
      </c>
      <c r="J69" s="462">
        <f t="shared" si="23"/>
        <v>10000</v>
      </c>
      <c r="K69" s="462">
        <f t="shared" si="1"/>
        <v>15.625</v>
      </c>
      <c r="L69" s="462">
        <f t="shared" si="2"/>
        <v>-54000</v>
      </c>
      <c r="M69" s="462">
        <f t="shared" ref="M69:M70" si="24">M70</f>
        <v>10000</v>
      </c>
      <c r="N69" s="178">
        <f t="shared" si="0"/>
        <v>0</v>
      </c>
    </row>
    <row r="70" spans="1:14" ht="19.55" customHeight="1" outlineLevel="7" x14ac:dyDescent="0.3">
      <c r="A70" s="189" t="s">
        <v>15</v>
      </c>
      <c r="B70" s="392" t="s">
        <v>455</v>
      </c>
      <c r="C70" s="392" t="s">
        <v>24</v>
      </c>
      <c r="D70" s="392" t="s">
        <v>1046</v>
      </c>
      <c r="E70" s="392" t="s">
        <v>16</v>
      </c>
      <c r="F70" s="462">
        <v>0</v>
      </c>
      <c r="G70" s="462">
        <f t="shared" si="23"/>
        <v>64000</v>
      </c>
      <c r="H70" s="460">
        <v>62325</v>
      </c>
      <c r="I70" s="462">
        <f t="shared" si="23"/>
        <v>0</v>
      </c>
      <c r="J70" s="462">
        <f t="shared" si="23"/>
        <v>10000</v>
      </c>
      <c r="K70" s="462">
        <f t="shared" si="1"/>
        <v>15.625</v>
      </c>
      <c r="L70" s="462">
        <f t="shared" si="2"/>
        <v>-54000</v>
      </c>
      <c r="M70" s="462">
        <f t="shared" si="24"/>
        <v>10000</v>
      </c>
      <c r="N70" s="178">
        <f t="shared" si="0"/>
        <v>0</v>
      </c>
    </row>
    <row r="71" spans="1:14" ht="19.55" customHeight="1" outlineLevel="7" x14ac:dyDescent="0.3">
      <c r="A71" s="189" t="s">
        <v>17</v>
      </c>
      <c r="B71" s="392" t="s">
        <v>455</v>
      </c>
      <c r="C71" s="392" t="s">
        <v>24</v>
      </c>
      <c r="D71" s="392" t="s">
        <v>1046</v>
      </c>
      <c r="E71" s="392" t="s">
        <v>18</v>
      </c>
      <c r="F71" s="462">
        <v>0</v>
      </c>
      <c r="G71" s="462">
        <v>64000</v>
      </c>
      <c r="H71" s="460">
        <v>62325</v>
      </c>
      <c r="I71" s="462">
        <v>0</v>
      </c>
      <c r="J71" s="449">
        <v>10000</v>
      </c>
      <c r="K71" s="462">
        <f t="shared" si="1"/>
        <v>15.625</v>
      </c>
      <c r="L71" s="462">
        <f t="shared" si="2"/>
        <v>-54000</v>
      </c>
      <c r="M71" s="449">
        <v>10000</v>
      </c>
      <c r="N71" s="178">
        <f t="shared" si="0"/>
        <v>0</v>
      </c>
    </row>
    <row r="72" spans="1:14" ht="36.700000000000003" customHeight="1" outlineLevel="7" x14ac:dyDescent="0.3">
      <c r="A72" s="189" t="s">
        <v>213</v>
      </c>
      <c r="B72" s="392" t="s">
        <v>455</v>
      </c>
      <c r="C72" s="392" t="s">
        <v>24</v>
      </c>
      <c r="D72" s="392" t="s">
        <v>228</v>
      </c>
      <c r="E72" s="392" t="s">
        <v>6</v>
      </c>
      <c r="F72" s="476">
        <f>F73</f>
        <v>19725044.52</v>
      </c>
      <c r="G72" s="449">
        <f>G73</f>
        <v>22504328</v>
      </c>
      <c r="H72" s="460">
        <v>15104391.08</v>
      </c>
      <c r="I72" s="449">
        <f>I73</f>
        <v>22712210</v>
      </c>
      <c r="J72" s="449">
        <f>J73</f>
        <v>27171451</v>
      </c>
      <c r="K72" s="462">
        <f t="shared" si="1"/>
        <v>120.73877966940402</v>
      </c>
      <c r="L72" s="462">
        <f t="shared" si="2"/>
        <v>4667123</v>
      </c>
      <c r="M72" s="449">
        <f>M73</f>
        <v>25939451</v>
      </c>
      <c r="N72" s="178">
        <f t="shared" ref="N72:N133" si="25">M72-J72</f>
        <v>-1232000</v>
      </c>
    </row>
    <row r="73" spans="1:14" ht="50.95" outlineLevel="5" x14ac:dyDescent="0.3">
      <c r="A73" s="189" t="s">
        <v>33</v>
      </c>
      <c r="B73" s="392" t="s">
        <v>455</v>
      </c>
      <c r="C73" s="392" t="s">
        <v>24</v>
      </c>
      <c r="D73" s="392" t="s">
        <v>130</v>
      </c>
      <c r="E73" s="392" t="s">
        <v>6</v>
      </c>
      <c r="F73" s="471">
        <f>F74+F76+F78</f>
        <v>19725044.52</v>
      </c>
      <c r="G73" s="462">
        <f>G74+G76+G78</f>
        <v>22504328</v>
      </c>
      <c r="H73" s="460">
        <v>15104391.08</v>
      </c>
      <c r="I73" s="462">
        <f>I74+I76+I78</f>
        <v>22712210</v>
      </c>
      <c r="J73" s="462">
        <f>J74+J76+J78</f>
        <v>27171451</v>
      </c>
      <c r="K73" s="462">
        <f t="shared" ref="K73:K134" si="26">J73/G73*100</f>
        <v>120.73877966940402</v>
      </c>
      <c r="L73" s="462">
        <f t="shared" ref="L73:L134" si="27">J73-G73</f>
        <v>4667123</v>
      </c>
      <c r="M73" s="462">
        <f>M74+M76+M78</f>
        <v>25939451</v>
      </c>
      <c r="N73" s="178">
        <f t="shared" si="25"/>
        <v>-1232000</v>
      </c>
    </row>
    <row r="74" spans="1:14" ht="59.1" customHeight="1" outlineLevel="6" x14ac:dyDescent="0.3">
      <c r="A74" s="189" t="s">
        <v>11</v>
      </c>
      <c r="B74" s="392" t="s">
        <v>455</v>
      </c>
      <c r="C74" s="392" t="s">
        <v>24</v>
      </c>
      <c r="D74" s="392" t="s">
        <v>130</v>
      </c>
      <c r="E74" s="392" t="s">
        <v>12</v>
      </c>
      <c r="F74" s="471">
        <f>F75</f>
        <v>11022220.449999999</v>
      </c>
      <c r="G74" s="462">
        <f>G75</f>
        <v>11899000</v>
      </c>
      <c r="H74" s="460">
        <v>8830623.4600000009</v>
      </c>
      <c r="I74" s="462">
        <f>I75</f>
        <v>11824960</v>
      </c>
      <c r="J74" s="462">
        <f>J75</f>
        <v>14815450</v>
      </c>
      <c r="K74" s="462">
        <f t="shared" si="26"/>
        <v>124.5100428607446</v>
      </c>
      <c r="L74" s="462">
        <f t="shared" si="27"/>
        <v>2916450</v>
      </c>
      <c r="M74" s="462">
        <f>M75</f>
        <v>14815450</v>
      </c>
      <c r="N74" s="178">
        <f t="shared" si="25"/>
        <v>0</v>
      </c>
    </row>
    <row r="75" spans="1:14" ht="34" outlineLevel="7" x14ac:dyDescent="0.3">
      <c r="A75" s="189" t="s">
        <v>34</v>
      </c>
      <c r="B75" s="392" t="s">
        <v>455</v>
      </c>
      <c r="C75" s="392" t="s">
        <v>24</v>
      </c>
      <c r="D75" s="392" t="s">
        <v>130</v>
      </c>
      <c r="E75" s="392" t="s">
        <v>35</v>
      </c>
      <c r="F75" s="475">
        <v>11022220.449999999</v>
      </c>
      <c r="G75" s="449">
        <f>'потребность 2023 (5)'!K71</f>
        <v>11899000</v>
      </c>
      <c r="H75" s="460">
        <v>8830623.4600000009</v>
      </c>
      <c r="I75" s="449">
        <v>11824960</v>
      </c>
      <c r="J75" s="449">
        <v>14815450</v>
      </c>
      <c r="K75" s="462">
        <f t="shared" si="26"/>
        <v>124.5100428607446</v>
      </c>
      <c r="L75" s="462">
        <f t="shared" si="27"/>
        <v>2916450</v>
      </c>
      <c r="M75" s="449">
        <v>14815450</v>
      </c>
      <c r="N75" s="178">
        <f t="shared" si="25"/>
        <v>0</v>
      </c>
    </row>
    <row r="76" spans="1:14" ht="34" outlineLevel="6" x14ac:dyDescent="0.3">
      <c r="A76" s="189" t="s">
        <v>15</v>
      </c>
      <c r="B76" s="392" t="s">
        <v>455</v>
      </c>
      <c r="C76" s="392" t="s">
        <v>24</v>
      </c>
      <c r="D76" s="392" t="s">
        <v>130</v>
      </c>
      <c r="E76" s="392" t="s">
        <v>16</v>
      </c>
      <c r="F76" s="471">
        <f>F77</f>
        <v>8365496.1900000004</v>
      </c>
      <c r="G76" s="462">
        <f>G77</f>
        <v>9836820</v>
      </c>
      <c r="H76" s="460">
        <v>5718839.3399999999</v>
      </c>
      <c r="I76" s="462">
        <f>I77</f>
        <v>10088000</v>
      </c>
      <c r="J76" s="462">
        <f>J77</f>
        <v>11556753</v>
      </c>
      <c r="K76" s="462">
        <f t="shared" si="26"/>
        <v>117.48464442777239</v>
      </c>
      <c r="L76" s="462">
        <f t="shared" si="27"/>
        <v>1719933</v>
      </c>
      <c r="M76" s="462">
        <f>M77</f>
        <v>10324753</v>
      </c>
      <c r="N76" s="178">
        <f t="shared" si="25"/>
        <v>-1232000</v>
      </c>
    </row>
    <row r="77" spans="1:14" ht="21.25" customHeight="1" outlineLevel="7" x14ac:dyDescent="0.3">
      <c r="A77" s="189" t="s">
        <v>17</v>
      </c>
      <c r="B77" s="392" t="s">
        <v>455</v>
      </c>
      <c r="C77" s="392" t="s">
        <v>24</v>
      </c>
      <c r="D77" s="392" t="s">
        <v>130</v>
      </c>
      <c r="E77" s="392" t="s">
        <v>18</v>
      </c>
      <c r="F77" s="475">
        <v>8365496.1900000004</v>
      </c>
      <c r="G77" s="449">
        <f>'потребность 2023 (5)'!K73+88000</f>
        <v>9836820</v>
      </c>
      <c r="H77" s="460">
        <v>5718839.3399999999</v>
      </c>
      <c r="I77" s="449">
        <v>10088000</v>
      </c>
      <c r="J77" s="449">
        <v>11556753</v>
      </c>
      <c r="K77" s="462">
        <f t="shared" si="26"/>
        <v>117.48464442777239</v>
      </c>
      <c r="L77" s="462">
        <f t="shared" si="27"/>
        <v>1719933</v>
      </c>
      <c r="M77" s="449">
        <f>11556753-160000-156000-495000-421000</f>
        <v>10324753</v>
      </c>
      <c r="N77" s="178">
        <f t="shared" si="25"/>
        <v>-1232000</v>
      </c>
    </row>
    <row r="78" spans="1:14" outlineLevel="6" x14ac:dyDescent="0.3">
      <c r="A78" s="189" t="s">
        <v>19</v>
      </c>
      <c r="B78" s="392" t="s">
        <v>455</v>
      </c>
      <c r="C78" s="392" t="s">
        <v>24</v>
      </c>
      <c r="D78" s="392" t="s">
        <v>130</v>
      </c>
      <c r="E78" s="392" t="s">
        <v>20</v>
      </c>
      <c r="F78" s="475">
        <v>337327.88</v>
      </c>
      <c r="G78" s="462">
        <f>G79</f>
        <v>768508</v>
      </c>
      <c r="H78" s="460">
        <v>554928.28</v>
      </c>
      <c r="I78" s="462">
        <f>I79</f>
        <v>799250</v>
      </c>
      <c r="J78" s="462">
        <f>J79</f>
        <v>799248</v>
      </c>
      <c r="K78" s="462">
        <f t="shared" si="26"/>
        <v>103.99995836087588</v>
      </c>
      <c r="L78" s="462">
        <f t="shared" si="27"/>
        <v>30740</v>
      </c>
      <c r="M78" s="462">
        <f>M79</f>
        <v>799248</v>
      </c>
      <c r="N78" s="178">
        <f t="shared" si="25"/>
        <v>0</v>
      </c>
    </row>
    <row r="79" spans="1:14" outlineLevel="7" x14ac:dyDescent="0.3">
      <c r="A79" s="189" t="s">
        <v>21</v>
      </c>
      <c r="B79" s="392" t="s">
        <v>455</v>
      </c>
      <c r="C79" s="392" t="s">
        <v>24</v>
      </c>
      <c r="D79" s="392" t="s">
        <v>130</v>
      </c>
      <c r="E79" s="392" t="s">
        <v>22</v>
      </c>
      <c r="F79" s="475">
        <v>337327.88</v>
      </c>
      <c r="G79" s="449">
        <f>'потребность 2023 (5)'!K75</f>
        <v>768508</v>
      </c>
      <c r="H79" s="460">
        <v>554928.28</v>
      </c>
      <c r="I79" s="449">
        <v>799250</v>
      </c>
      <c r="J79" s="449">
        <v>799248</v>
      </c>
      <c r="K79" s="462">
        <f t="shared" si="26"/>
        <v>103.99995836087588</v>
      </c>
      <c r="L79" s="462">
        <f t="shared" si="27"/>
        <v>30740</v>
      </c>
      <c r="M79" s="449">
        <v>799248</v>
      </c>
      <c r="N79" s="178">
        <f t="shared" si="25"/>
        <v>0</v>
      </c>
    </row>
    <row r="80" spans="1:14" ht="17.5" customHeight="1" outlineLevel="7" x14ac:dyDescent="0.3">
      <c r="A80" s="189" t="s">
        <v>670</v>
      </c>
      <c r="B80" s="392" t="s">
        <v>455</v>
      </c>
      <c r="C80" s="392" t="s">
        <v>24</v>
      </c>
      <c r="D80" s="392" t="s">
        <v>624</v>
      </c>
      <c r="E80" s="392" t="s">
        <v>6</v>
      </c>
      <c r="F80" s="471">
        <f>F81</f>
        <v>1262206.8600000001</v>
      </c>
      <c r="G80" s="462">
        <f>G81</f>
        <v>1357440</v>
      </c>
      <c r="H80" s="460">
        <v>763055.68</v>
      </c>
      <c r="I80" s="462">
        <f>I81</f>
        <v>1451100</v>
      </c>
      <c r="J80" s="462">
        <f>J81</f>
        <v>1463844</v>
      </c>
      <c r="K80" s="462">
        <f t="shared" si="26"/>
        <v>107.83857850070721</v>
      </c>
      <c r="L80" s="462">
        <f t="shared" si="27"/>
        <v>106404</v>
      </c>
      <c r="M80" s="462">
        <f>M81</f>
        <v>1463844</v>
      </c>
      <c r="N80" s="178">
        <f t="shared" si="25"/>
        <v>0</v>
      </c>
    </row>
    <row r="81" spans="1:14" ht="50.95" outlineLevel="7" x14ac:dyDescent="0.3">
      <c r="A81" s="189" t="s">
        <v>622</v>
      </c>
      <c r="B81" s="392" t="s">
        <v>455</v>
      </c>
      <c r="C81" s="392" t="s">
        <v>24</v>
      </c>
      <c r="D81" s="392" t="s">
        <v>621</v>
      </c>
      <c r="E81" s="392" t="s">
        <v>6</v>
      </c>
      <c r="F81" s="471">
        <f>F84+F82</f>
        <v>1262206.8600000001</v>
      </c>
      <c r="G81" s="462">
        <f>G84+G82</f>
        <v>1357440</v>
      </c>
      <c r="H81" s="460">
        <v>763055.68</v>
      </c>
      <c r="I81" s="462">
        <f>I84+I82</f>
        <v>1451100</v>
      </c>
      <c r="J81" s="462">
        <f>J84+J82</f>
        <v>1463844</v>
      </c>
      <c r="K81" s="462">
        <f t="shared" si="26"/>
        <v>107.83857850070721</v>
      </c>
      <c r="L81" s="462">
        <f t="shared" si="27"/>
        <v>106404</v>
      </c>
      <c r="M81" s="462">
        <f>M84+M82</f>
        <v>1463844</v>
      </c>
      <c r="N81" s="178">
        <f t="shared" si="25"/>
        <v>0</v>
      </c>
    </row>
    <row r="82" spans="1:14" ht="101.9" outlineLevel="7" x14ac:dyDescent="0.3">
      <c r="A82" s="189" t="s">
        <v>11</v>
      </c>
      <c r="B82" s="392" t="s">
        <v>455</v>
      </c>
      <c r="C82" s="392" t="s">
        <v>24</v>
      </c>
      <c r="D82" s="392" t="s">
        <v>621</v>
      </c>
      <c r="E82" s="392" t="s">
        <v>12</v>
      </c>
      <c r="F82" s="471">
        <f>F83</f>
        <v>116000</v>
      </c>
      <c r="G82" s="462">
        <f>G83</f>
        <v>116000</v>
      </c>
      <c r="H82" s="460">
        <v>55333</v>
      </c>
      <c r="I82" s="462">
        <f>I83</f>
        <v>116000</v>
      </c>
      <c r="J82" s="462">
        <f>J83</f>
        <v>128744</v>
      </c>
      <c r="K82" s="462">
        <f t="shared" si="26"/>
        <v>110.98620689655172</v>
      </c>
      <c r="L82" s="462">
        <f t="shared" si="27"/>
        <v>12744</v>
      </c>
      <c r="M82" s="462">
        <f>M83</f>
        <v>128744</v>
      </c>
      <c r="N82" s="178">
        <f t="shared" si="25"/>
        <v>0</v>
      </c>
    </row>
    <row r="83" spans="1:14" ht="34" outlineLevel="7" x14ac:dyDescent="0.3">
      <c r="A83" s="189" t="s">
        <v>13</v>
      </c>
      <c r="B83" s="392" t="s">
        <v>455</v>
      </c>
      <c r="C83" s="392" t="s">
        <v>24</v>
      </c>
      <c r="D83" s="392" t="s">
        <v>621</v>
      </c>
      <c r="E83" s="392" t="s">
        <v>14</v>
      </c>
      <c r="F83" s="475">
        <v>116000</v>
      </c>
      <c r="G83" s="462">
        <f>'потребность 2023 (5)'!K82</f>
        <v>116000</v>
      </c>
      <c r="H83" s="460">
        <v>55333</v>
      </c>
      <c r="I83" s="462">
        <v>116000</v>
      </c>
      <c r="J83" s="449">
        <v>128744</v>
      </c>
      <c r="K83" s="462">
        <f t="shared" si="26"/>
        <v>110.98620689655172</v>
      </c>
      <c r="L83" s="462">
        <f t="shared" si="27"/>
        <v>12744</v>
      </c>
      <c r="M83" s="449">
        <v>128744</v>
      </c>
      <c r="N83" s="178">
        <f t="shared" si="25"/>
        <v>0</v>
      </c>
    </row>
    <row r="84" spans="1:14" ht="34" outlineLevel="7" x14ac:dyDescent="0.3">
      <c r="A84" s="189" t="s">
        <v>15</v>
      </c>
      <c r="B84" s="392" t="s">
        <v>455</v>
      </c>
      <c r="C84" s="392" t="s">
        <v>24</v>
      </c>
      <c r="D84" s="392" t="s">
        <v>621</v>
      </c>
      <c r="E84" s="392" t="s">
        <v>16</v>
      </c>
      <c r="F84" s="471">
        <f>F85</f>
        <v>1146206.8600000001</v>
      </c>
      <c r="G84" s="462">
        <f>G85</f>
        <v>1241440</v>
      </c>
      <c r="H84" s="460">
        <v>707722.68</v>
      </c>
      <c r="I84" s="462">
        <f>I85</f>
        <v>1335100</v>
      </c>
      <c r="J84" s="462">
        <f>J85</f>
        <v>1335100</v>
      </c>
      <c r="K84" s="462">
        <f t="shared" si="26"/>
        <v>107.54446449284703</v>
      </c>
      <c r="L84" s="462">
        <f t="shared" si="27"/>
        <v>93660</v>
      </c>
      <c r="M84" s="462">
        <f>M85</f>
        <v>1335100</v>
      </c>
      <c r="N84" s="178">
        <f t="shared" si="25"/>
        <v>0</v>
      </c>
    </row>
    <row r="85" spans="1:14" ht="50.95" outlineLevel="7" x14ac:dyDescent="0.3">
      <c r="A85" s="189" t="s">
        <v>17</v>
      </c>
      <c r="B85" s="392" t="s">
        <v>455</v>
      </c>
      <c r="C85" s="392" t="s">
        <v>24</v>
      </c>
      <c r="D85" s="392" t="s">
        <v>621</v>
      </c>
      <c r="E85" s="392" t="s">
        <v>18</v>
      </c>
      <c r="F85" s="475">
        <v>1146206.8600000001</v>
      </c>
      <c r="G85" s="449">
        <f>'потребность 2023 (5)'!K84-93660</f>
        <v>1241440</v>
      </c>
      <c r="H85" s="460">
        <v>707722.68</v>
      </c>
      <c r="I85" s="449">
        <v>1335100</v>
      </c>
      <c r="J85" s="449">
        <v>1335100</v>
      </c>
      <c r="K85" s="462">
        <f t="shared" si="26"/>
        <v>107.54446449284703</v>
      </c>
      <c r="L85" s="462">
        <f t="shared" si="27"/>
        <v>93660</v>
      </c>
      <c r="M85" s="449">
        <v>1335100</v>
      </c>
      <c r="N85" s="178">
        <f t="shared" si="25"/>
        <v>0</v>
      </c>
    </row>
    <row r="86" spans="1:14" s="224" customFormat="1" ht="50.95" outlineLevel="7" x14ac:dyDescent="0.3">
      <c r="A86" s="233" t="s">
        <v>1022</v>
      </c>
      <c r="B86" s="397" t="s">
        <v>455</v>
      </c>
      <c r="C86" s="397" t="s">
        <v>24</v>
      </c>
      <c r="D86" s="397" t="s">
        <v>131</v>
      </c>
      <c r="E86" s="397" t="s">
        <v>6</v>
      </c>
      <c r="F86" s="475">
        <v>49993.440000000002</v>
      </c>
      <c r="G86" s="465">
        <f t="shared" ref="G86:J89" si="28">G87</f>
        <v>50000</v>
      </c>
      <c r="H86" s="460">
        <v>49985.88</v>
      </c>
      <c r="I86" s="465">
        <f t="shared" si="28"/>
        <v>50000</v>
      </c>
      <c r="J86" s="465">
        <f t="shared" si="28"/>
        <v>50000</v>
      </c>
      <c r="K86" s="462">
        <f t="shared" si="26"/>
        <v>100</v>
      </c>
      <c r="L86" s="462">
        <f t="shared" si="27"/>
        <v>0</v>
      </c>
      <c r="M86" s="465">
        <f t="shared" ref="M86:M89" si="29">M87</f>
        <v>50000</v>
      </c>
      <c r="N86" s="178">
        <f t="shared" si="25"/>
        <v>0</v>
      </c>
    </row>
    <row r="87" spans="1:14" outlineLevel="7" x14ac:dyDescent="0.3">
      <c r="A87" s="189" t="s">
        <v>312</v>
      </c>
      <c r="B87" s="392" t="s">
        <v>455</v>
      </c>
      <c r="C87" s="392" t="s">
        <v>24</v>
      </c>
      <c r="D87" s="392" t="s">
        <v>230</v>
      </c>
      <c r="E87" s="392" t="s">
        <v>6</v>
      </c>
      <c r="F87" s="475">
        <v>49993.440000000002</v>
      </c>
      <c r="G87" s="462">
        <f t="shared" si="28"/>
        <v>50000</v>
      </c>
      <c r="H87" s="460">
        <v>49985.88</v>
      </c>
      <c r="I87" s="462">
        <f t="shared" si="28"/>
        <v>50000</v>
      </c>
      <c r="J87" s="462">
        <f t="shared" si="28"/>
        <v>50000</v>
      </c>
      <c r="K87" s="462">
        <f t="shared" si="26"/>
        <v>100</v>
      </c>
      <c r="L87" s="462">
        <f t="shared" si="27"/>
        <v>0</v>
      </c>
      <c r="M87" s="462">
        <f t="shared" si="29"/>
        <v>50000</v>
      </c>
      <c r="N87" s="178">
        <f t="shared" si="25"/>
        <v>0</v>
      </c>
    </row>
    <row r="88" spans="1:14" ht="34" outlineLevel="7" x14ac:dyDescent="0.3">
      <c r="A88" s="189" t="s">
        <v>313</v>
      </c>
      <c r="B88" s="392" t="s">
        <v>455</v>
      </c>
      <c r="C88" s="392" t="s">
        <v>24</v>
      </c>
      <c r="D88" s="392" t="s">
        <v>314</v>
      </c>
      <c r="E88" s="392" t="s">
        <v>6</v>
      </c>
      <c r="F88" s="475">
        <v>49993.440000000002</v>
      </c>
      <c r="G88" s="462">
        <f t="shared" si="28"/>
        <v>50000</v>
      </c>
      <c r="H88" s="460">
        <v>49985.88</v>
      </c>
      <c r="I88" s="462">
        <f t="shared" si="28"/>
        <v>50000</v>
      </c>
      <c r="J88" s="462">
        <f t="shared" si="28"/>
        <v>50000</v>
      </c>
      <c r="K88" s="462">
        <f t="shared" si="26"/>
        <v>100</v>
      </c>
      <c r="L88" s="462">
        <f t="shared" si="27"/>
        <v>0</v>
      </c>
      <c r="M88" s="462">
        <f t="shared" si="29"/>
        <v>50000</v>
      </c>
      <c r="N88" s="178">
        <f t="shared" si="25"/>
        <v>0</v>
      </c>
    </row>
    <row r="89" spans="1:14" ht="34" outlineLevel="7" x14ac:dyDescent="0.3">
      <c r="A89" s="189" t="s">
        <v>15</v>
      </c>
      <c r="B89" s="392" t="s">
        <v>455</v>
      </c>
      <c r="C89" s="392" t="s">
        <v>24</v>
      </c>
      <c r="D89" s="392" t="s">
        <v>314</v>
      </c>
      <c r="E89" s="392" t="s">
        <v>16</v>
      </c>
      <c r="F89" s="475">
        <v>49993.440000000002</v>
      </c>
      <c r="G89" s="462">
        <f t="shared" si="28"/>
        <v>50000</v>
      </c>
      <c r="H89" s="460">
        <v>49985.88</v>
      </c>
      <c r="I89" s="462">
        <f t="shared" si="28"/>
        <v>50000</v>
      </c>
      <c r="J89" s="462">
        <f t="shared" si="28"/>
        <v>50000</v>
      </c>
      <c r="K89" s="462">
        <f t="shared" si="26"/>
        <v>100</v>
      </c>
      <c r="L89" s="462">
        <f t="shared" si="27"/>
        <v>0</v>
      </c>
      <c r="M89" s="462">
        <f t="shared" si="29"/>
        <v>50000</v>
      </c>
      <c r="N89" s="178">
        <f t="shared" si="25"/>
        <v>0</v>
      </c>
    </row>
    <row r="90" spans="1:14" ht="21.25" customHeight="1" outlineLevel="7" x14ac:dyDescent="0.3">
      <c r="A90" s="189" t="s">
        <v>17</v>
      </c>
      <c r="B90" s="392" t="s">
        <v>455</v>
      </c>
      <c r="C90" s="392" t="s">
        <v>24</v>
      </c>
      <c r="D90" s="392" t="s">
        <v>314</v>
      </c>
      <c r="E90" s="392" t="s">
        <v>18</v>
      </c>
      <c r="F90" s="475">
        <v>49993.440000000002</v>
      </c>
      <c r="G90" s="449">
        <f>'потребность 2023 (5)'!K89</f>
        <v>50000</v>
      </c>
      <c r="H90" s="460">
        <v>49985.88</v>
      </c>
      <c r="I90" s="449">
        <v>50000</v>
      </c>
      <c r="J90" s="449">
        <v>50000</v>
      </c>
      <c r="K90" s="462">
        <f t="shared" si="26"/>
        <v>100</v>
      </c>
      <c r="L90" s="462">
        <f t="shared" si="27"/>
        <v>0</v>
      </c>
      <c r="M90" s="449">
        <v>50000</v>
      </c>
      <c r="N90" s="178">
        <f t="shared" si="25"/>
        <v>0</v>
      </c>
    </row>
    <row r="91" spans="1:14" s="224" customFormat="1" ht="38.25" customHeight="1" outlineLevel="7" x14ac:dyDescent="0.3">
      <c r="A91" s="233" t="s">
        <v>1028</v>
      </c>
      <c r="B91" s="397" t="s">
        <v>455</v>
      </c>
      <c r="C91" s="397" t="s">
        <v>24</v>
      </c>
      <c r="D91" s="397" t="s">
        <v>305</v>
      </c>
      <c r="E91" s="397" t="s">
        <v>6</v>
      </c>
      <c r="F91" s="473">
        <f>F92</f>
        <v>2113133.6100000003</v>
      </c>
      <c r="G91" s="465">
        <f>G92</f>
        <v>1434505.2</v>
      </c>
      <c r="H91" s="460">
        <v>1083576.31</v>
      </c>
      <c r="I91" s="465">
        <f>I92</f>
        <v>1178105</v>
      </c>
      <c r="J91" s="465">
        <f>J92</f>
        <v>7318452</v>
      </c>
      <c r="K91" s="462">
        <f t="shared" si="26"/>
        <v>510.1725668195557</v>
      </c>
      <c r="L91" s="462">
        <f t="shared" si="27"/>
        <v>5883946.7999999998</v>
      </c>
      <c r="M91" s="465">
        <f>M92</f>
        <v>1968452</v>
      </c>
      <c r="N91" s="178">
        <f t="shared" si="25"/>
        <v>-5350000</v>
      </c>
    </row>
    <row r="92" spans="1:14" ht="21.25" customHeight="1" outlineLevel="7" x14ac:dyDescent="0.3">
      <c r="A92" s="189" t="s">
        <v>315</v>
      </c>
      <c r="B92" s="392" t="s">
        <v>455</v>
      </c>
      <c r="C92" s="392" t="s">
        <v>24</v>
      </c>
      <c r="D92" s="392" t="s">
        <v>306</v>
      </c>
      <c r="E92" s="392" t="s">
        <v>6</v>
      </c>
      <c r="F92" s="471">
        <f>F93+F96</f>
        <v>2113133.6100000003</v>
      </c>
      <c r="G92" s="462">
        <f>G93+G96</f>
        <v>1434505.2</v>
      </c>
      <c r="H92" s="460">
        <v>1083576.31</v>
      </c>
      <c r="I92" s="462">
        <f>I93+I96</f>
        <v>1178105</v>
      </c>
      <c r="J92" s="462">
        <f>J93+J96</f>
        <v>7318452</v>
      </c>
      <c r="K92" s="462">
        <f t="shared" si="26"/>
        <v>510.1725668195557</v>
      </c>
      <c r="L92" s="462">
        <f t="shared" si="27"/>
        <v>5883946.7999999998</v>
      </c>
      <c r="M92" s="462">
        <f>M93+M96</f>
        <v>1968452</v>
      </c>
      <c r="N92" s="178">
        <f t="shared" si="25"/>
        <v>-5350000</v>
      </c>
    </row>
    <row r="93" spans="1:14" ht="37.549999999999997" customHeight="1" outlineLevel="7" x14ac:dyDescent="0.3">
      <c r="A93" s="189" t="s">
        <v>316</v>
      </c>
      <c r="B93" s="392" t="s">
        <v>455</v>
      </c>
      <c r="C93" s="392" t="s">
        <v>24</v>
      </c>
      <c r="D93" s="392" t="s">
        <v>317</v>
      </c>
      <c r="E93" s="392" t="s">
        <v>6</v>
      </c>
      <c r="F93" s="471">
        <f>F94</f>
        <v>2089203.61</v>
      </c>
      <c r="G93" s="462">
        <f t="shared" ref="G93:J94" si="30">G94</f>
        <v>1388575.2</v>
      </c>
      <c r="H93" s="460">
        <v>1050522.31</v>
      </c>
      <c r="I93" s="462">
        <f t="shared" si="30"/>
        <v>1130340</v>
      </c>
      <c r="J93" s="462">
        <f t="shared" si="30"/>
        <v>7287412</v>
      </c>
      <c r="K93" s="462">
        <f t="shared" si="26"/>
        <v>524.8121959833361</v>
      </c>
      <c r="L93" s="462">
        <f t="shared" si="27"/>
        <v>5898836.7999999998</v>
      </c>
      <c r="M93" s="462">
        <f t="shared" ref="M93:M94" si="31">M94</f>
        <v>1937412</v>
      </c>
      <c r="N93" s="178">
        <f t="shared" si="25"/>
        <v>-5350000</v>
      </c>
    </row>
    <row r="94" spans="1:14" ht="34" outlineLevel="7" x14ac:dyDescent="0.3">
      <c r="A94" s="189" t="s">
        <v>15</v>
      </c>
      <c r="B94" s="392" t="s">
        <v>455</v>
      </c>
      <c r="C94" s="392" t="s">
        <v>24</v>
      </c>
      <c r="D94" s="392" t="s">
        <v>317</v>
      </c>
      <c r="E94" s="392" t="s">
        <v>16</v>
      </c>
      <c r="F94" s="471">
        <f>F95</f>
        <v>2089203.61</v>
      </c>
      <c r="G94" s="462">
        <f t="shared" si="30"/>
        <v>1388575.2</v>
      </c>
      <c r="H94" s="460">
        <v>1050522.31</v>
      </c>
      <c r="I94" s="462">
        <f t="shared" si="30"/>
        <v>1130340</v>
      </c>
      <c r="J94" s="462">
        <f t="shared" si="30"/>
        <v>7287412</v>
      </c>
      <c r="K94" s="462">
        <f t="shared" si="26"/>
        <v>524.8121959833361</v>
      </c>
      <c r="L94" s="462">
        <f t="shared" si="27"/>
        <v>5898836.7999999998</v>
      </c>
      <c r="M94" s="462">
        <f t="shared" si="31"/>
        <v>1937412</v>
      </c>
      <c r="N94" s="178">
        <f t="shared" si="25"/>
        <v>-5350000</v>
      </c>
    </row>
    <row r="95" spans="1:14" ht="18.7" customHeight="1" outlineLevel="7" x14ac:dyDescent="0.3">
      <c r="A95" s="189" t="s">
        <v>17</v>
      </c>
      <c r="B95" s="392" t="s">
        <v>455</v>
      </c>
      <c r="C95" s="392" t="s">
        <v>24</v>
      </c>
      <c r="D95" s="392" t="s">
        <v>317</v>
      </c>
      <c r="E95" s="392" t="s">
        <v>18</v>
      </c>
      <c r="F95" s="475">
        <v>2089203.61</v>
      </c>
      <c r="G95" s="449">
        <f>'потребность 2023 (5)'!K94+143103.2</f>
        <v>1388575.2</v>
      </c>
      <c r="H95" s="460">
        <v>1050522.31</v>
      </c>
      <c r="I95" s="449">
        <v>1130340</v>
      </c>
      <c r="J95" s="449">
        <v>7287412</v>
      </c>
      <c r="K95" s="462">
        <f t="shared" si="26"/>
        <v>524.8121959833361</v>
      </c>
      <c r="L95" s="462">
        <f t="shared" si="27"/>
        <v>5898836.7999999998</v>
      </c>
      <c r="M95" s="449">
        <f>7287412-5000000-350000</f>
        <v>1937412</v>
      </c>
      <c r="N95" s="178">
        <f t="shared" si="25"/>
        <v>-5350000</v>
      </c>
    </row>
    <row r="96" spans="1:14" ht="34" outlineLevel="7" x14ac:dyDescent="0.3">
      <c r="A96" s="189" t="s">
        <v>318</v>
      </c>
      <c r="B96" s="392" t="s">
        <v>455</v>
      </c>
      <c r="C96" s="392" t="s">
        <v>24</v>
      </c>
      <c r="D96" s="392" t="s">
        <v>307</v>
      </c>
      <c r="E96" s="392" t="s">
        <v>6</v>
      </c>
      <c r="F96" s="471">
        <f>F97</f>
        <v>23930</v>
      </c>
      <c r="G96" s="462">
        <f t="shared" ref="G96:J97" si="32">G97</f>
        <v>45930</v>
      </c>
      <c r="H96" s="460">
        <v>33054</v>
      </c>
      <c r="I96" s="462">
        <f t="shared" si="32"/>
        <v>47765</v>
      </c>
      <c r="J96" s="462">
        <f t="shared" si="32"/>
        <v>31040</v>
      </c>
      <c r="K96" s="462">
        <f t="shared" si="26"/>
        <v>67.581101676464186</v>
      </c>
      <c r="L96" s="462">
        <f t="shared" si="27"/>
        <v>-14890</v>
      </c>
      <c r="M96" s="462">
        <f t="shared" ref="M96:M97" si="33">M97</f>
        <v>31040</v>
      </c>
      <c r="N96" s="178">
        <f t="shared" si="25"/>
        <v>0</v>
      </c>
    </row>
    <row r="97" spans="1:14" ht="34" outlineLevel="7" x14ac:dyDescent="0.3">
      <c r="A97" s="189" t="s">
        <v>15</v>
      </c>
      <c r="B97" s="392" t="s">
        <v>455</v>
      </c>
      <c r="C97" s="392" t="s">
        <v>24</v>
      </c>
      <c r="D97" s="392" t="s">
        <v>307</v>
      </c>
      <c r="E97" s="392" t="s">
        <v>16</v>
      </c>
      <c r="F97" s="471">
        <f>F98</f>
        <v>23930</v>
      </c>
      <c r="G97" s="462">
        <f t="shared" si="32"/>
        <v>45930</v>
      </c>
      <c r="H97" s="460">
        <v>33054</v>
      </c>
      <c r="I97" s="462">
        <f t="shared" si="32"/>
        <v>47765</v>
      </c>
      <c r="J97" s="462">
        <f t="shared" si="32"/>
        <v>31040</v>
      </c>
      <c r="K97" s="462">
        <f t="shared" si="26"/>
        <v>67.581101676464186</v>
      </c>
      <c r="L97" s="462">
        <f t="shared" si="27"/>
        <v>-14890</v>
      </c>
      <c r="M97" s="462">
        <f t="shared" si="33"/>
        <v>31040</v>
      </c>
      <c r="N97" s="178">
        <f t="shared" si="25"/>
        <v>0</v>
      </c>
    </row>
    <row r="98" spans="1:14" ht="19.55" customHeight="1" outlineLevel="7" x14ac:dyDescent="0.3">
      <c r="A98" s="189" t="s">
        <v>17</v>
      </c>
      <c r="B98" s="392" t="s">
        <v>455</v>
      </c>
      <c r="C98" s="392" t="s">
        <v>24</v>
      </c>
      <c r="D98" s="392" t="s">
        <v>307</v>
      </c>
      <c r="E98" s="392" t="s">
        <v>18</v>
      </c>
      <c r="F98" s="475">
        <v>23930</v>
      </c>
      <c r="G98" s="462">
        <f>'потребность 2023 (5)'!K97</f>
        <v>45930</v>
      </c>
      <c r="H98" s="460">
        <v>33054</v>
      </c>
      <c r="I98" s="462">
        <v>47765</v>
      </c>
      <c r="J98" s="449">
        <v>31040</v>
      </c>
      <c r="K98" s="462">
        <f t="shared" si="26"/>
        <v>67.581101676464186</v>
      </c>
      <c r="L98" s="462">
        <f t="shared" si="27"/>
        <v>-14890</v>
      </c>
      <c r="M98" s="449">
        <v>31040</v>
      </c>
      <c r="N98" s="178">
        <f t="shared" si="25"/>
        <v>0</v>
      </c>
    </row>
    <row r="99" spans="1:14" s="224" customFormat="1" ht="50.95" outlineLevel="7" x14ac:dyDescent="0.3">
      <c r="A99" s="233" t="s">
        <v>1024</v>
      </c>
      <c r="B99" s="397" t="s">
        <v>455</v>
      </c>
      <c r="C99" s="397" t="s">
        <v>24</v>
      </c>
      <c r="D99" s="397" t="s">
        <v>319</v>
      </c>
      <c r="E99" s="397" t="s">
        <v>6</v>
      </c>
      <c r="F99" s="473">
        <f>F100</f>
        <v>3200452.78</v>
      </c>
      <c r="G99" s="465" t="e">
        <f t="shared" ref="G99:J100" si="34">G100</f>
        <v>#REF!</v>
      </c>
      <c r="H99" s="460">
        <v>2350132.62</v>
      </c>
      <c r="I99" s="465" t="e">
        <f t="shared" si="34"/>
        <v>#REF!</v>
      </c>
      <c r="J99" s="465">
        <f t="shared" si="34"/>
        <v>6049500.5800000001</v>
      </c>
      <c r="K99" s="462" t="e">
        <f t="shared" si="26"/>
        <v>#REF!</v>
      </c>
      <c r="L99" s="462" t="e">
        <f t="shared" si="27"/>
        <v>#REF!</v>
      </c>
      <c r="M99" s="465">
        <f t="shared" ref="M99:M100" si="35">M100</f>
        <v>2938500.58</v>
      </c>
      <c r="N99" s="178">
        <f t="shared" si="25"/>
        <v>-3111000</v>
      </c>
    </row>
    <row r="100" spans="1:14" ht="50.95" outlineLevel="7" x14ac:dyDescent="0.3">
      <c r="A100" s="189" t="s">
        <v>212</v>
      </c>
      <c r="B100" s="392" t="s">
        <v>455</v>
      </c>
      <c r="C100" s="392" t="s">
        <v>24</v>
      </c>
      <c r="D100" s="392" t="s">
        <v>320</v>
      </c>
      <c r="E100" s="392" t="s">
        <v>6</v>
      </c>
      <c r="F100" s="471">
        <f>F101</f>
        <v>3200452.78</v>
      </c>
      <c r="G100" s="462" t="e">
        <f t="shared" si="34"/>
        <v>#REF!</v>
      </c>
      <c r="H100" s="460">
        <v>2350132.62</v>
      </c>
      <c r="I100" s="462" t="e">
        <f t="shared" si="34"/>
        <v>#REF!</v>
      </c>
      <c r="J100" s="462">
        <f t="shared" si="34"/>
        <v>6049500.5800000001</v>
      </c>
      <c r="K100" s="462" t="e">
        <f t="shared" si="26"/>
        <v>#REF!</v>
      </c>
      <c r="L100" s="462" t="e">
        <f t="shared" si="27"/>
        <v>#REF!</v>
      </c>
      <c r="M100" s="462">
        <f t="shared" si="35"/>
        <v>2938500.58</v>
      </c>
      <c r="N100" s="178">
        <f t="shared" si="25"/>
        <v>-3111000</v>
      </c>
    </row>
    <row r="101" spans="1:14" ht="67.95" outlineLevel="5" x14ac:dyDescent="0.3">
      <c r="A101" s="189" t="s">
        <v>32</v>
      </c>
      <c r="B101" s="392" t="s">
        <v>455</v>
      </c>
      <c r="C101" s="392" t="s">
        <v>24</v>
      </c>
      <c r="D101" s="392" t="s">
        <v>321</v>
      </c>
      <c r="E101" s="392" t="s">
        <v>6</v>
      </c>
      <c r="F101" s="471">
        <f>F102+F104</f>
        <v>3200452.78</v>
      </c>
      <c r="G101" s="462" t="e">
        <f>G102+G104+#REF!</f>
        <v>#REF!</v>
      </c>
      <c r="H101" s="460">
        <v>2350132.62</v>
      </c>
      <c r="I101" s="462" t="e">
        <f>I102+I104+#REF!</f>
        <v>#REF!</v>
      </c>
      <c r="J101" s="462">
        <f>J102+J104</f>
        <v>6049500.5800000001</v>
      </c>
      <c r="K101" s="462" t="e">
        <f t="shared" si="26"/>
        <v>#REF!</v>
      </c>
      <c r="L101" s="462" t="e">
        <f t="shared" si="27"/>
        <v>#REF!</v>
      </c>
      <c r="M101" s="462">
        <f>M102+M104</f>
        <v>2938500.58</v>
      </c>
      <c r="N101" s="178">
        <f t="shared" si="25"/>
        <v>-3111000</v>
      </c>
    </row>
    <row r="102" spans="1:14" ht="34" outlineLevel="6" x14ac:dyDescent="0.3">
      <c r="A102" s="189" t="s">
        <v>15</v>
      </c>
      <c r="B102" s="392" t="s">
        <v>455</v>
      </c>
      <c r="C102" s="392" t="s">
        <v>24</v>
      </c>
      <c r="D102" s="392" t="s">
        <v>321</v>
      </c>
      <c r="E102" s="392" t="s">
        <v>16</v>
      </c>
      <c r="F102" s="471">
        <f>F103</f>
        <v>3200452.78</v>
      </c>
      <c r="G102" s="462">
        <f>G103</f>
        <v>3045014.91</v>
      </c>
      <c r="H102" s="460">
        <v>2211796.62</v>
      </c>
      <c r="I102" s="462">
        <f>I103</f>
        <v>1160000</v>
      </c>
      <c r="J102" s="462">
        <f>J103</f>
        <v>5909500.5800000001</v>
      </c>
      <c r="K102" s="462">
        <f t="shared" si="26"/>
        <v>194.07131835686152</v>
      </c>
      <c r="L102" s="462">
        <f t="shared" si="27"/>
        <v>2864485.67</v>
      </c>
      <c r="M102" s="462">
        <f>M103</f>
        <v>2798500.58</v>
      </c>
      <c r="N102" s="178">
        <f t="shared" si="25"/>
        <v>-3111000</v>
      </c>
    </row>
    <row r="103" spans="1:14" ht="20.25" customHeight="1" outlineLevel="7" x14ac:dyDescent="0.3">
      <c r="A103" s="189" t="s">
        <v>17</v>
      </c>
      <c r="B103" s="392" t="s">
        <v>455</v>
      </c>
      <c r="C103" s="392" t="s">
        <v>24</v>
      </c>
      <c r="D103" s="392" t="s">
        <v>321</v>
      </c>
      <c r="E103" s="392" t="s">
        <v>18</v>
      </c>
      <c r="F103" s="475">
        <v>3200452.78</v>
      </c>
      <c r="G103" s="462">
        <f>'потребность 2023 (5)'!K102+1200000-1200000+257014.91+168000</f>
        <v>3045014.91</v>
      </c>
      <c r="H103" s="460">
        <v>2211796.62</v>
      </c>
      <c r="I103" s="462">
        <v>1160000</v>
      </c>
      <c r="J103" s="449">
        <v>5909500.5800000001</v>
      </c>
      <c r="K103" s="462">
        <f t="shared" si="26"/>
        <v>194.07131835686152</v>
      </c>
      <c r="L103" s="462">
        <f t="shared" si="27"/>
        <v>2864485.67</v>
      </c>
      <c r="M103" s="449">
        <f>5909500.58-2650000-461000</f>
        <v>2798500.58</v>
      </c>
      <c r="N103" s="178">
        <f t="shared" si="25"/>
        <v>-3111000</v>
      </c>
    </row>
    <row r="104" spans="1:14" outlineLevel="6" x14ac:dyDescent="0.3">
      <c r="A104" s="189" t="s">
        <v>19</v>
      </c>
      <c r="B104" s="392" t="s">
        <v>455</v>
      </c>
      <c r="C104" s="392" t="s">
        <v>24</v>
      </c>
      <c r="D104" s="392" t="s">
        <v>321</v>
      </c>
      <c r="E104" s="392" t="s">
        <v>20</v>
      </c>
      <c r="F104" s="475">
        <v>0</v>
      </c>
      <c r="G104" s="462">
        <f>G105</f>
        <v>140000</v>
      </c>
      <c r="H104" s="460">
        <v>138336</v>
      </c>
      <c r="I104" s="462">
        <f>I105</f>
        <v>140000</v>
      </c>
      <c r="J104" s="462">
        <f>J105</f>
        <v>140000</v>
      </c>
      <c r="K104" s="462">
        <f t="shared" si="26"/>
        <v>100</v>
      </c>
      <c r="L104" s="462">
        <f t="shared" si="27"/>
        <v>0</v>
      </c>
      <c r="M104" s="462">
        <f>M105</f>
        <v>140000</v>
      </c>
      <c r="N104" s="178">
        <f t="shared" si="25"/>
        <v>0</v>
      </c>
    </row>
    <row r="105" spans="1:14" outlineLevel="7" x14ac:dyDescent="0.3">
      <c r="A105" s="189" t="s">
        <v>21</v>
      </c>
      <c r="B105" s="392" t="s">
        <v>455</v>
      </c>
      <c r="C105" s="392" t="s">
        <v>24</v>
      </c>
      <c r="D105" s="392" t="s">
        <v>321</v>
      </c>
      <c r="E105" s="392" t="s">
        <v>22</v>
      </c>
      <c r="F105" s="475">
        <v>0</v>
      </c>
      <c r="G105" s="449">
        <f>'потребность 2023 (5)'!K104</f>
        <v>140000</v>
      </c>
      <c r="H105" s="468">
        <v>138336</v>
      </c>
      <c r="I105" s="449">
        <v>140000</v>
      </c>
      <c r="J105" s="449">
        <v>140000</v>
      </c>
      <c r="K105" s="462">
        <f t="shared" si="26"/>
        <v>100</v>
      </c>
      <c r="L105" s="462">
        <f t="shared" si="27"/>
        <v>0</v>
      </c>
      <c r="M105" s="449">
        <v>140000</v>
      </c>
      <c r="N105" s="178">
        <f t="shared" si="25"/>
        <v>0</v>
      </c>
    </row>
    <row r="106" spans="1:14" ht="50.95" outlineLevel="7" x14ac:dyDescent="0.3">
      <c r="A106" s="233" t="s">
        <v>1026</v>
      </c>
      <c r="B106" s="397" t="s">
        <v>455</v>
      </c>
      <c r="C106" s="397" t="s">
        <v>24</v>
      </c>
      <c r="D106" s="397" t="s">
        <v>819</v>
      </c>
      <c r="E106" s="397" t="s">
        <v>6</v>
      </c>
      <c r="F106" s="476">
        <f t="shared" ref="F106:J109" si="36">F107</f>
        <v>50000</v>
      </c>
      <c r="G106" s="449">
        <f t="shared" si="36"/>
        <v>100000</v>
      </c>
      <c r="H106" s="460">
        <v>0</v>
      </c>
      <c r="I106" s="449">
        <f t="shared" si="36"/>
        <v>30000</v>
      </c>
      <c r="J106" s="449">
        <f t="shared" si="36"/>
        <v>100000</v>
      </c>
      <c r="K106" s="462">
        <f t="shared" si="26"/>
        <v>100</v>
      </c>
      <c r="L106" s="462">
        <f t="shared" si="27"/>
        <v>0</v>
      </c>
      <c r="M106" s="449">
        <f t="shared" ref="M106:M109" si="37">M107</f>
        <v>100000</v>
      </c>
      <c r="N106" s="178">
        <f t="shared" si="25"/>
        <v>0</v>
      </c>
    </row>
    <row r="107" spans="1:14" ht="34" outlineLevel="7" x14ac:dyDescent="0.3">
      <c r="A107" s="189" t="s">
        <v>818</v>
      </c>
      <c r="B107" s="392" t="s">
        <v>455</v>
      </c>
      <c r="C107" s="392" t="s">
        <v>24</v>
      </c>
      <c r="D107" s="392" t="s">
        <v>820</v>
      </c>
      <c r="E107" s="392" t="s">
        <v>6</v>
      </c>
      <c r="F107" s="476">
        <f t="shared" si="36"/>
        <v>50000</v>
      </c>
      <c r="G107" s="449">
        <f t="shared" si="36"/>
        <v>100000</v>
      </c>
      <c r="H107" s="460">
        <v>0</v>
      </c>
      <c r="I107" s="449">
        <f t="shared" si="36"/>
        <v>30000</v>
      </c>
      <c r="J107" s="449">
        <f t="shared" si="36"/>
        <v>100000</v>
      </c>
      <c r="K107" s="462">
        <f t="shared" si="26"/>
        <v>100</v>
      </c>
      <c r="L107" s="462">
        <f t="shared" si="27"/>
        <v>0</v>
      </c>
      <c r="M107" s="449">
        <f t="shared" si="37"/>
        <v>100000</v>
      </c>
      <c r="N107" s="178">
        <f t="shared" si="25"/>
        <v>0</v>
      </c>
    </row>
    <row r="108" spans="1:14" ht="34" outlineLevel="7" x14ac:dyDescent="0.3">
      <c r="A108" s="189" t="s">
        <v>310</v>
      </c>
      <c r="B108" s="392" t="s">
        <v>455</v>
      </c>
      <c r="C108" s="392" t="s">
        <v>24</v>
      </c>
      <c r="D108" s="392" t="s">
        <v>821</v>
      </c>
      <c r="E108" s="392" t="s">
        <v>6</v>
      </c>
      <c r="F108" s="476">
        <f t="shared" si="36"/>
        <v>50000</v>
      </c>
      <c r="G108" s="449">
        <f t="shared" si="36"/>
        <v>100000</v>
      </c>
      <c r="H108" s="460">
        <v>0</v>
      </c>
      <c r="I108" s="449">
        <f t="shared" si="36"/>
        <v>30000</v>
      </c>
      <c r="J108" s="449">
        <f t="shared" si="36"/>
        <v>100000</v>
      </c>
      <c r="K108" s="462">
        <f t="shared" si="26"/>
        <v>100</v>
      </c>
      <c r="L108" s="462">
        <f t="shared" si="27"/>
        <v>0</v>
      </c>
      <c r="M108" s="449">
        <f t="shared" si="37"/>
        <v>100000</v>
      </c>
      <c r="N108" s="178">
        <f t="shared" si="25"/>
        <v>0</v>
      </c>
    </row>
    <row r="109" spans="1:14" ht="34" outlineLevel="7" x14ac:dyDescent="0.3">
      <c r="A109" s="189" t="s">
        <v>15</v>
      </c>
      <c r="B109" s="392" t="s">
        <v>455</v>
      </c>
      <c r="C109" s="392" t="s">
        <v>24</v>
      </c>
      <c r="D109" s="392" t="s">
        <v>821</v>
      </c>
      <c r="E109" s="392" t="s">
        <v>16</v>
      </c>
      <c r="F109" s="476">
        <f t="shared" si="36"/>
        <v>50000</v>
      </c>
      <c r="G109" s="449">
        <f t="shared" si="36"/>
        <v>100000</v>
      </c>
      <c r="H109" s="460">
        <v>0</v>
      </c>
      <c r="I109" s="449">
        <f t="shared" si="36"/>
        <v>30000</v>
      </c>
      <c r="J109" s="449">
        <f t="shared" si="36"/>
        <v>100000</v>
      </c>
      <c r="K109" s="462">
        <f t="shared" si="26"/>
        <v>100</v>
      </c>
      <c r="L109" s="462">
        <f t="shared" si="27"/>
        <v>0</v>
      </c>
      <c r="M109" s="449">
        <f t="shared" si="37"/>
        <v>100000</v>
      </c>
      <c r="N109" s="178">
        <f t="shared" si="25"/>
        <v>0</v>
      </c>
    </row>
    <row r="110" spans="1:14" ht="50.95" outlineLevel="7" x14ac:dyDescent="0.3">
      <c r="A110" s="189" t="s">
        <v>17</v>
      </c>
      <c r="B110" s="392" t="s">
        <v>455</v>
      </c>
      <c r="C110" s="392" t="s">
        <v>24</v>
      </c>
      <c r="D110" s="392" t="s">
        <v>821</v>
      </c>
      <c r="E110" s="392" t="s">
        <v>18</v>
      </c>
      <c r="F110" s="475">
        <v>50000</v>
      </c>
      <c r="G110" s="449">
        <f>'потребность 2023 (5)'!K109</f>
        <v>100000</v>
      </c>
      <c r="H110" s="460">
        <v>0</v>
      </c>
      <c r="I110" s="449">
        <v>30000</v>
      </c>
      <c r="J110" s="449">
        <v>100000</v>
      </c>
      <c r="K110" s="462">
        <f t="shared" si="26"/>
        <v>100</v>
      </c>
      <c r="L110" s="462">
        <f t="shared" si="27"/>
        <v>0</v>
      </c>
      <c r="M110" s="449">
        <v>100000</v>
      </c>
      <c r="N110" s="178">
        <f t="shared" si="25"/>
        <v>0</v>
      </c>
    </row>
    <row r="111" spans="1:14" ht="34" outlineLevel="3" x14ac:dyDescent="0.3">
      <c r="A111" s="189" t="s">
        <v>132</v>
      </c>
      <c r="B111" s="392" t="s">
        <v>455</v>
      </c>
      <c r="C111" s="392" t="s">
        <v>24</v>
      </c>
      <c r="D111" s="392" t="s">
        <v>127</v>
      </c>
      <c r="E111" s="392" t="s">
        <v>6</v>
      </c>
      <c r="F111" s="462">
        <f>F126+F112+F123+F117</f>
        <v>47420733.719999999</v>
      </c>
      <c r="G111" s="462">
        <f>G126+G112+G123+G117</f>
        <v>37979427.5</v>
      </c>
      <c r="H111" s="460">
        <v>32962922.59</v>
      </c>
      <c r="I111" s="462">
        <f>I126+I112+I123+I117</f>
        <v>38585000</v>
      </c>
      <c r="J111" s="462">
        <f>J126+J112+J123+J117</f>
        <v>52715473.730000004</v>
      </c>
      <c r="K111" s="462">
        <f t="shared" si="26"/>
        <v>138.80007467200502</v>
      </c>
      <c r="L111" s="462">
        <f t="shared" si="27"/>
        <v>14736046.230000004</v>
      </c>
      <c r="M111" s="462">
        <f>M126+M112+M123+M117</f>
        <v>52715473.730000004</v>
      </c>
      <c r="N111" s="178">
        <f t="shared" si="25"/>
        <v>0</v>
      </c>
    </row>
    <row r="112" spans="1:14" ht="48.25" customHeight="1" outlineLevel="5" x14ac:dyDescent="0.3">
      <c r="A112" s="189" t="s">
        <v>449</v>
      </c>
      <c r="B112" s="392" t="s">
        <v>455</v>
      </c>
      <c r="C112" s="392" t="s">
        <v>24</v>
      </c>
      <c r="D112" s="392" t="s">
        <v>450</v>
      </c>
      <c r="E112" s="392" t="s">
        <v>6</v>
      </c>
      <c r="F112" s="471">
        <f>F113+F115</f>
        <v>36517400.520000003</v>
      </c>
      <c r="G112" s="462">
        <f>G113+G115</f>
        <v>37225780</v>
      </c>
      <c r="H112" s="460">
        <v>27378183.829999998</v>
      </c>
      <c r="I112" s="462">
        <f>I113+I115</f>
        <v>38385000</v>
      </c>
      <c r="J112" s="462">
        <f>J113+J115</f>
        <v>42620900</v>
      </c>
      <c r="K112" s="462">
        <f t="shared" si="26"/>
        <v>114.49296697073909</v>
      </c>
      <c r="L112" s="462">
        <f t="shared" si="27"/>
        <v>5395120</v>
      </c>
      <c r="M112" s="462">
        <f>M113+M115</f>
        <v>42620900</v>
      </c>
      <c r="N112" s="178">
        <f t="shared" si="25"/>
        <v>0</v>
      </c>
    </row>
    <row r="113" spans="1:14" ht="101.9" outlineLevel="6" x14ac:dyDescent="0.3">
      <c r="A113" s="189" t="s">
        <v>11</v>
      </c>
      <c r="B113" s="392" t="s">
        <v>455</v>
      </c>
      <c r="C113" s="392" t="s">
        <v>24</v>
      </c>
      <c r="D113" s="392" t="s">
        <v>450</v>
      </c>
      <c r="E113" s="392" t="s">
        <v>12</v>
      </c>
      <c r="F113" s="471">
        <f>F114</f>
        <v>36509300.520000003</v>
      </c>
      <c r="G113" s="462">
        <f>G114</f>
        <v>37205780</v>
      </c>
      <c r="H113" s="460">
        <v>27378183.829999998</v>
      </c>
      <c r="I113" s="462">
        <f>I114</f>
        <v>38365000</v>
      </c>
      <c r="J113" s="462">
        <f>J114</f>
        <v>42600900</v>
      </c>
      <c r="K113" s="462">
        <f t="shared" si="26"/>
        <v>114.5007576779737</v>
      </c>
      <c r="L113" s="462">
        <f t="shared" si="27"/>
        <v>5395120</v>
      </c>
      <c r="M113" s="462">
        <f>M114</f>
        <v>42600900</v>
      </c>
      <c r="N113" s="178">
        <f t="shared" si="25"/>
        <v>0</v>
      </c>
    </row>
    <row r="114" spans="1:14" ht="34" outlineLevel="7" x14ac:dyDescent="0.3">
      <c r="A114" s="189" t="s">
        <v>13</v>
      </c>
      <c r="B114" s="392" t="s">
        <v>455</v>
      </c>
      <c r="C114" s="392" t="s">
        <v>24</v>
      </c>
      <c r="D114" s="392" t="s">
        <v>450</v>
      </c>
      <c r="E114" s="392" t="s">
        <v>14</v>
      </c>
      <c r="F114" s="475">
        <v>36509300.520000003</v>
      </c>
      <c r="G114" s="462">
        <f>'потребность 2023 (5)'!K116</f>
        <v>37205780</v>
      </c>
      <c r="H114" s="460">
        <v>27378183.829999998</v>
      </c>
      <c r="I114" s="462">
        <v>38365000</v>
      </c>
      <c r="J114" s="449">
        <v>42600900</v>
      </c>
      <c r="K114" s="462">
        <f t="shared" si="26"/>
        <v>114.5007576779737</v>
      </c>
      <c r="L114" s="462">
        <f t="shared" si="27"/>
        <v>5395120</v>
      </c>
      <c r="M114" s="449">
        <v>42600900</v>
      </c>
      <c r="N114" s="178">
        <f t="shared" si="25"/>
        <v>0</v>
      </c>
    </row>
    <row r="115" spans="1:14" ht="34" outlineLevel="7" x14ac:dyDescent="0.3">
      <c r="A115" s="189" t="s">
        <v>15</v>
      </c>
      <c r="B115" s="392" t="s">
        <v>455</v>
      </c>
      <c r="C115" s="392" t="s">
        <v>24</v>
      </c>
      <c r="D115" s="392" t="s">
        <v>450</v>
      </c>
      <c r="E115" s="392" t="s">
        <v>16</v>
      </c>
      <c r="F115" s="475">
        <v>8100</v>
      </c>
      <c r="G115" s="449">
        <f>G116</f>
        <v>20000</v>
      </c>
      <c r="H115" s="460">
        <v>0</v>
      </c>
      <c r="I115" s="449">
        <f>I116</f>
        <v>20000</v>
      </c>
      <c r="J115" s="449">
        <f>J116</f>
        <v>20000</v>
      </c>
      <c r="K115" s="462">
        <f t="shared" si="26"/>
        <v>100</v>
      </c>
      <c r="L115" s="462">
        <f t="shared" si="27"/>
        <v>0</v>
      </c>
      <c r="M115" s="449">
        <f>M116</f>
        <v>20000</v>
      </c>
      <c r="N115" s="178">
        <f t="shared" si="25"/>
        <v>0</v>
      </c>
    </row>
    <row r="116" spans="1:14" ht="18.350000000000001" customHeight="1" outlineLevel="7" x14ac:dyDescent="0.3">
      <c r="A116" s="189" t="s">
        <v>17</v>
      </c>
      <c r="B116" s="392" t="s">
        <v>455</v>
      </c>
      <c r="C116" s="392" t="s">
        <v>24</v>
      </c>
      <c r="D116" s="392" t="s">
        <v>450</v>
      </c>
      <c r="E116" s="392" t="s">
        <v>18</v>
      </c>
      <c r="F116" s="475">
        <v>8100</v>
      </c>
      <c r="G116" s="462">
        <f>'потребность 2023 (5)'!K118</f>
        <v>20000</v>
      </c>
      <c r="H116" s="460">
        <v>0</v>
      </c>
      <c r="I116" s="462">
        <v>20000</v>
      </c>
      <c r="J116" s="449">
        <v>20000</v>
      </c>
      <c r="K116" s="462">
        <f t="shared" si="26"/>
        <v>100</v>
      </c>
      <c r="L116" s="462">
        <f t="shared" si="27"/>
        <v>0</v>
      </c>
      <c r="M116" s="449">
        <v>20000</v>
      </c>
      <c r="N116" s="178">
        <f t="shared" si="25"/>
        <v>0</v>
      </c>
    </row>
    <row r="117" spans="1:14" ht="38.9" customHeight="1" outlineLevel="7" x14ac:dyDescent="0.3">
      <c r="A117" s="189" t="s">
        <v>620</v>
      </c>
      <c r="B117" s="392" t="s">
        <v>455</v>
      </c>
      <c r="C117" s="392" t="s">
        <v>24</v>
      </c>
      <c r="D117" s="392" t="s">
        <v>618</v>
      </c>
      <c r="E117" s="392" t="s">
        <v>6</v>
      </c>
      <c r="F117" s="471">
        <f>F120+F118</f>
        <v>10742808.52</v>
      </c>
      <c r="G117" s="462">
        <f>G120+G118</f>
        <v>503647.5</v>
      </c>
      <c r="H117" s="460">
        <v>203801.14</v>
      </c>
      <c r="I117" s="462">
        <f>I120+I118</f>
        <v>0</v>
      </c>
      <c r="J117" s="462">
        <f>J120+J118</f>
        <v>0</v>
      </c>
      <c r="K117" s="462">
        <f t="shared" si="26"/>
        <v>0</v>
      </c>
      <c r="L117" s="462">
        <f t="shared" si="27"/>
        <v>-503647.5</v>
      </c>
      <c r="M117" s="462">
        <f>M120+M118</f>
        <v>0</v>
      </c>
      <c r="N117" s="178">
        <f t="shared" si="25"/>
        <v>0</v>
      </c>
    </row>
    <row r="118" spans="1:14" ht="38.9" customHeight="1" outlineLevel="7" x14ac:dyDescent="0.3">
      <c r="A118" s="189" t="s">
        <v>15</v>
      </c>
      <c r="B118" s="392" t="s">
        <v>455</v>
      </c>
      <c r="C118" s="392" t="s">
        <v>24</v>
      </c>
      <c r="D118" s="392" t="s">
        <v>618</v>
      </c>
      <c r="E118" s="392" t="s">
        <v>16</v>
      </c>
      <c r="F118" s="471">
        <f>F119</f>
        <v>8087150.75</v>
      </c>
      <c r="G118" s="462">
        <f>G119</f>
        <v>484648.5</v>
      </c>
      <c r="H118" s="460">
        <v>198422.14</v>
      </c>
      <c r="I118" s="462">
        <f>I119</f>
        <v>0</v>
      </c>
      <c r="J118" s="462">
        <f>J119</f>
        <v>0</v>
      </c>
      <c r="K118" s="462">
        <f t="shared" si="26"/>
        <v>0</v>
      </c>
      <c r="L118" s="462">
        <f t="shared" si="27"/>
        <v>-484648.5</v>
      </c>
      <c r="M118" s="462">
        <f>M119</f>
        <v>0</v>
      </c>
      <c r="N118" s="178">
        <f t="shared" si="25"/>
        <v>0</v>
      </c>
    </row>
    <row r="119" spans="1:14" ht="38.9" customHeight="1" outlineLevel="7" x14ac:dyDescent="0.3">
      <c r="A119" s="189" t="s">
        <v>17</v>
      </c>
      <c r="B119" s="392" t="s">
        <v>455</v>
      </c>
      <c r="C119" s="392" t="s">
        <v>24</v>
      </c>
      <c r="D119" s="392" t="s">
        <v>618</v>
      </c>
      <c r="E119" s="392" t="s">
        <v>18</v>
      </c>
      <c r="F119" s="475">
        <v>8087150.75</v>
      </c>
      <c r="G119" s="462">
        <f>14886.27+64260.24+25914.09+93587.9+286000</f>
        <v>484648.5</v>
      </c>
      <c r="H119" s="460">
        <v>198422.14</v>
      </c>
      <c r="I119" s="462">
        <v>0</v>
      </c>
      <c r="J119" s="449"/>
      <c r="K119" s="462">
        <f t="shared" si="26"/>
        <v>0</v>
      </c>
      <c r="L119" s="462">
        <f t="shared" si="27"/>
        <v>-484648.5</v>
      </c>
      <c r="M119" s="449"/>
      <c r="N119" s="178">
        <f t="shared" si="25"/>
        <v>0</v>
      </c>
    </row>
    <row r="120" spans="1:14" ht="18.350000000000001" customHeight="1" outlineLevel="7" x14ac:dyDescent="0.3">
      <c r="A120" s="189" t="s">
        <v>19</v>
      </c>
      <c r="B120" s="392" t="s">
        <v>455</v>
      </c>
      <c r="C120" s="392" t="s">
        <v>24</v>
      </c>
      <c r="D120" s="392" t="s">
        <v>618</v>
      </c>
      <c r="E120" s="392" t="s">
        <v>20</v>
      </c>
      <c r="F120" s="475">
        <v>2655657.77</v>
      </c>
      <c r="G120" s="462">
        <f>G121+G122</f>
        <v>18999</v>
      </c>
      <c r="H120" s="460">
        <v>5379</v>
      </c>
      <c r="I120" s="462">
        <f>I121+I122</f>
        <v>0</v>
      </c>
      <c r="J120" s="462">
        <f>J121+J122</f>
        <v>0</v>
      </c>
      <c r="K120" s="462">
        <f t="shared" si="26"/>
        <v>0</v>
      </c>
      <c r="L120" s="462">
        <f t="shared" si="27"/>
        <v>-18999</v>
      </c>
      <c r="M120" s="462">
        <f>M121+M122</f>
        <v>0</v>
      </c>
      <c r="N120" s="178">
        <f t="shared" si="25"/>
        <v>0</v>
      </c>
    </row>
    <row r="121" spans="1:14" ht="21.25" customHeight="1" outlineLevel="7" x14ac:dyDescent="0.3">
      <c r="A121" s="189" t="s">
        <v>646</v>
      </c>
      <c r="B121" s="392" t="s">
        <v>455</v>
      </c>
      <c r="C121" s="392" t="s">
        <v>24</v>
      </c>
      <c r="D121" s="392" t="s">
        <v>618</v>
      </c>
      <c r="E121" s="392" t="s">
        <v>647</v>
      </c>
      <c r="F121" s="475">
        <v>2655657.77</v>
      </c>
      <c r="G121" s="462">
        <f>2000+1256+2000+3743+10000</f>
        <v>18999</v>
      </c>
      <c r="H121" s="460">
        <v>5379</v>
      </c>
      <c r="I121" s="462">
        <v>0</v>
      </c>
      <c r="J121" s="449"/>
      <c r="K121" s="462">
        <f t="shared" si="26"/>
        <v>0</v>
      </c>
      <c r="L121" s="462">
        <f t="shared" si="27"/>
        <v>-18999</v>
      </c>
      <c r="M121" s="449"/>
      <c r="N121" s="178">
        <f t="shared" si="25"/>
        <v>0</v>
      </c>
    </row>
    <row r="122" spans="1:14" ht="19.2" customHeight="1" outlineLevel="7" x14ac:dyDescent="0.3">
      <c r="A122" s="189" t="s">
        <v>619</v>
      </c>
      <c r="B122" s="392" t="s">
        <v>455</v>
      </c>
      <c r="C122" s="392" t="s">
        <v>24</v>
      </c>
      <c r="D122" s="392" t="s">
        <v>618</v>
      </c>
      <c r="E122" s="392" t="s">
        <v>22</v>
      </c>
      <c r="F122" s="462" t="s">
        <v>838</v>
      </c>
      <c r="G122" s="462">
        <f>795959.09-525000-270959.09</f>
        <v>0</v>
      </c>
      <c r="H122" s="462">
        <v>0</v>
      </c>
      <c r="I122" s="462">
        <f>795959.09-525000-270959.09</f>
        <v>0</v>
      </c>
      <c r="J122" s="449"/>
      <c r="K122" s="462" t="e">
        <f t="shared" si="26"/>
        <v>#DIV/0!</v>
      </c>
      <c r="L122" s="462">
        <f t="shared" si="27"/>
        <v>0</v>
      </c>
      <c r="M122" s="449"/>
      <c r="N122" s="178">
        <f t="shared" si="25"/>
        <v>0</v>
      </c>
    </row>
    <row r="123" spans="1:14" ht="40.75" customHeight="1" outlineLevel="7" x14ac:dyDescent="0.3">
      <c r="A123" s="189" t="s">
        <v>458</v>
      </c>
      <c r="B123" s="392" t="s">
        <v>455</v>
      </c>
      <c r="C123" s="392" t="s">
        <v>24</v>
      </c>
      <c r="D123" s="392" t="s">
        <v>457</v>
      </c>
      <c r="E123" s="392" t="s">
        <v>6</v>
      </c>
      <c r="F123" s="475">
        <v>160524.68</v>
      </c>
      <c r="G123" s="449">
        <f t="shared" ref="G123:J124" si="38">G124</f>
        <v>250000</v>
      </c>
      <c r="H123" s="460">
        <v>184393.4</v>
      </c>
      <c r="I123" s="449">
        <f t="shared" si="38"/>
        <v>200000</v>
      </c>
      <c r="J123" s="449">
        <f t="shared" si="38"/>
        <v>250000</v>
      </c>
      <c r="K123" s="462">
        <f t="shared" si="26"/>
        <v>100</v>
      </c>
      <c r="L123" s="462">
        <f t="shared" si="27"/>
        <v>0</v>
      </c>
      <c r="M123" s="449">
        <f t="shared" ref="M123:M124" si="39">M124</f>
        <v>250000</v>
      </c>
      <c r="N123" s="178">
        <f t="shared" si="25"/>
        <v>0</v>
      </c>
    </row>
    <row r="124" spans="1:14" ht="34" outlineLevel="7" x14ac:dyDescent="0.3">
      <c r="A124" s="189" t="s">
        <v>15</v>
      </c>
      <c r="B124" s="392" t="s">
        <v>455</v>
      </c>
      <c r="C124" s="392" t="s">
        <v>24</v>
      </c>
      <c r="D124" s="392" t="s">
        <v>457</v>
      </c>
      <c r="E124" s="392" t="s">
        <v>16</v>
      </c>
      <c r="F124" s="475">
        <v>160524.68</v>
      </c>
      <c r="G124" s="449">
        <f t="shared" si="38"/>
        <v>250000</v>
      </c>
      <c r="H124" s="460">
        <v>184393.4</v>
      </c>
      <c r="I124" s="449">
        <f t="shared" si="38"/>
        <v>200000</v>
      </c>
      <c r="J124" s="449">
        <f t="shared" si="38"/>
        <v>250000</v>
      </c>
      <c r="K124" s="462">
        <f t="shared" si="26"/>
        <v>100</v>
      </c>
      <c r="L124" s="462">
        <f t="shared" si="27"/>
        <v>0</v>
      </c>
      <c r="M124" s="449">
        <f t="shared" si="39"/>
        <v>250000</v>
      </c>
      <c r="N124" s="178">
        <f t="shared" si="25"/>
        <v>0</v>
      </c>
    </row>
    <row r="125" spans="1:14" ht="19.7" customHeight="1" outlineLevel="7" x14ac:dyDescent="0.3">
      <c r="A125" s="189" t="s">
        <v>17</v>
      </c>
      <c r="B125" s="392" t="s">
        <v>455</v>
      </c>
      <c r="C125" s="392" t="s">
        <v>24</v>
      </c>
      <c r="D125" s="392" t="s">
        <v>457</v>
      </c>
      <c r="E125" s="392" t="s">
        <v>18</v>
      </c>
      <c r="F125" s="475">
        <v>160524.68</v>
      </c>
      <c r="G125" s="462">
        <f>'потребность 2023 (5)'!K132+50000</f>
        <v>250000</v>
      </c>
      <c r="H125" s="460">
        <v>184393.4</v>
      </c>
      <c r="I125" s="462">
        <v>200000</v>
      </c>
      <c r="J125" s="449">
        <v>250000</v>
      </c>
      <c r="K125" s="462">
        <f t="shared" si="26"/>
        <v>100</v>
      </c>
      <c r="L125" s="462">
        <f t="shared" si="27"/>
        <v>0</v>
      </c>
      <c r="M125" s="449">
        <v>250000</v>
      </c>
      <c r="N125" s="178">
        <f t="shared" si="25"/>
        <v>0</v>
      </c>
    </row>
    <row r="126" spans="1:14" ht="34" outlineLevel="3" x14ac:dyDescent="0.3">
      <c r="A126" s="189" t="s">
        <v>269</v>
      </c>
      <c r="B126" s="392" t="s">
        <v>455</v>
      </c>
      <c r="C126" s="392" t="s">
        <v>24</v>
      </c>
      <c r="D126" s="392" t="s">
        <v>268</v>
      </c>
      <c r="E126" s="392" t="s">
        <v>6</v>
      </c>
      <c r="F126" s="462"/>
      <c r="G126" s="462"/>
      <c r="H126" s="460"/>
      <c r="I126" s="462"/>
      <c r="J126" s="462">
        <f>J153+J127+J135+J143+J148+J132+J140</f>
        <v>9844573.7300000004</v>
      </c>
      <c r="K126" s="462" t="e">
        <f t="shared" si="26"/>
        <v>#DIV/0!</v>
      </c>
      <c r="L126" s="462">
        <f t="shared" si="27"/>
        <v>9844573.7300000004</v>
      </c>
      <c r="M126" s="462">
        <f>M153+M127+M135+M143+M148+M132+M140</f>
        <v>9844573.7300000004</v>
      </c>
      <c r="N126" s="178">
        <f t="shared" si="25"/>
        <v>0</v>
      </c>
    </row>
    <row r="127" spans="1:14" ht="67.95" customHeight="1" outlineLevel="3" x14ac:dyDescent="0.3">
      <c r="A127" s="185" t="s">
        <v>962</v>
      </c>
      <c r="B127" s="392" t="s">
        <v>455</v>
      </c>
      <c r="C127" s="392" t="s">
        <v>24</v>
      </c>
      <c r="D127" s="392" t="s">
        <v>270</v>
      </c>
      <c r="E127" s="392" t="s">
        <v>6</v>
      </c>
      <c r="F127" s="471"/>
      <c r="G127" s="462">
        <f>G128+G130</f>
        <v>0</v>
      </c>
      <c r="H127" s="460"/>
      <c r="I127" s="462">
        <f>I128+I130</f>
        <v>0</v>
      </c>
      <c r="J127" s="462">
        <f>J128+J130</f>
        <v>1588992</v>
      </c>
      <c r="K127" s="462" t="e">
        <f t="shared" si="26"/>
        <v>#DIV/0!</v>
      </c>
      <c r="L127" s="462">
        <f t="shared" si="27"/>
        <v>1588992</v>
      </c>
      <c r="M127" s="462">
        <f>M128+M130</f>
        <v>1588992</v>
      </c>
      <c r="N127" s="178">
        <f t="shared" si="25"/>
        <v>0</v>
      </c>
    </row>
    <row r="128" spans="1:14" ht="101.9" outlineLevel="3" x14ac:dyDescent="0.3">
      <c r="A128" s="189" t="s">
        <v>11</v>
      </c>
      <c r="B128" s="392" t="s">
        <v>455</v>
      </c>
      <c r="C128" s="392" t="s">
        <v>24</v>
      </c>
      <c r="D128" s="392" t="s">
        <v>270</v>
      </c>
      <c r="E128" s="392" t="s">
        <v>12</v>
      </c>
      <c r="F128" s="471"/>
      <c r="G128" s="462">
        <f>G129</f>
        <v>0</v>
      </c>
      <c r="H128" s="460"/>
      <c r="I128" s="462">
        <f>I129</f>
        <v>0</v>
      </c>
      <c r="J128" s="462">
        <f>J129</f>
        <v>1573992</v>
      </c>
      <c r="K128" s="462" t="e">
        <f t="shared" si="26"/>
        <v>#DIV/0!</v>
      </c>
      <c r="L128" s="462">
        <f t="shared" si="27"/>
        <v>1573992</v>
      </c>
      <c r="M128" s="462">
        <f>M129</f>
        <v>1573992</v>
      </c>
      <c r="N128" s="178">
        <f t="shared" si="25"/>
        <v>0</v>
      </c>
    </row>
    <row r="129" spans="1:14" ht="34" outlineLevel="3" x14ac:dyDescent="0.3">
      <c r="A129" s="189" t="s">
        <v>13</v>
      </c>
      <c r="B129" s="392" t="s">
        <v>455</v>
      </c>
      <c r="C129" s="392" t="s">
        <v>24</v>
      </c>
      <c r="D129" s="392" t="s">
        <v>270</v>
      </c>
      <c r="E129" s="392" t="s">
        <v>14</v>
      </c>
      <c r="F129" s="475"/>
      <c r="G129" s="462">
        <v>0</v>
      </c>
      <c r="H129" s="460"/>
      <c r="I129" s="462">
        <v>0</v>
      </c>
      <c r="J129" s="19">
        <v>1573992</v>
      </c>
      <c r="K129" s="462" t="e">
        <f t="shared" si="26"/>
        <v>#DIV/0!</v>
      </c>
      <c r="L129" s="462">
        <f t="shared" si="27"/>
        <v>1573992</v>
      </c>
      <c r="M129" s="19">
        <v>1573992</v>
      </c>
      <c r="N129" s="178">
        <f t="shared" si="25"/>
        <v>0</v>
      </c>
    </row>
    <row r="130" spans="1:14" ht="41.3" customHeight="1" outlineLevel="7" x14ac:dyDescent="0.3">
      <c r="A130" s="189" t="s">
        <v>15</v>
      </c>
      <c r="B130" s="392" t="s">
        <v>455</v>
      </c>
      <c r="C130" s="392" t="s">
        <v>24</v>
      </c>
      <c r="D130" s="392" t="s">
        <v>270</v>
      </c>
      <c r="E130" s="392" t="s">
        <v>16</v>
      </c>
      <c r="F130" s="475"/>
      <c r="G130" s="462">
        <f>G131</f>
        <v>0</v>
      </c>
      <c r="H130" s="460"/>
      <c r="I130" s="462">
        <f>I131</f>
        <v>0</v>
      </c>
      <c r="J130" s="462">
        <f>J131</f>
        <v>15000</v>
      </c>
      <c r="K130" s="462" t="e">
        <f t="shared" si="26"/>
        <v>#DIV/0!</v>
      </c>
      <c r="L130" s="462">
        <f t="shared" si="27"/>
        <v>15000</v>
      </c>
      <c r="M130" s="462">
        <f>M131</f>
        <v>15000</v>
      </c>
      <c r="N130" s="178">
        <f t="shared" si="25"/>
        <v>0</v>
      </c>
    </row>
    <row r="131" spans="1:14" ht="50.95" outlineLevel="7" x14ac:dyDescent="0.3">
      <c r="A131" s="189" t="s">
        <v>17</v>
      </c>
      <c r="B131" s="392" t="s">
        <v>455</v>
      </c>
      <c r="C131" s="392" t="s">
        <v>24</v>
      </c>
      <c r="D131" s="392" t="s">
        <v>270</v>
      </c>
      <c r="E131" s="392" t="s">
        <v>18</v>
      </c>
      <c r="F131" s="475">
        <v>0</v>
      </c>
      <c r="G131" s="462">
        <v>0</v>
      </c>
      <c r="H131" s="460"/>
      <c r="I131" s="462">
        <v>0</v>
      </c>
      <c r="J131" s="19">
        <v>15000</v>
      </c>
      <c r="K131" s="462" t="e">
        <f t="shared" si="26"/>
        <v>#DIV/0!</v>
      </c>
      <c r="L131" s="462">
        <f t="shared" si="27"/>
        <v>15000</v>
      </c>
      <c r="M131" s="19">
        <v>15000</v>
      </c>
      <c r="N131" s="178">
        <f t="shared" si="25"/>
        <v>0</v>
      </c>
    </row>
    <row r="132" spans="1:14" ht="67.75" customHeight="1" outlineLevel="7" x14ac:dyDescent="0.3">
      <c r="A132" s="202" t="s">
        <v>944</v>
      </c>
      <c r="B132" s="392" t="s">
        <v>455</v>
      </c>
      <c r="C132" s="392" t="s">
        <v>24</v>
      </c>
      <c r="D132" s="392" t="s">
        <v>652</v>
      </c>
      <c r="E132" s="392" t="s">
        <v>6</v>
      </c>
      <c r="F132" s="471"/>
      <c r="G132" s="462"/>
      <c r="H132" s="460"/>
      <c r="I132" s="462"/>
      <c r="J132" s="462">
        <f t="shared" ref="J132:J133" si="40">J133</f>
        <v>449243</v>
      </c>
      <c r="K132" s="462" t="e">
        <f t="shared" si="26"/>
        <v>#DIV/0!</v>
      </c>
      <c r="L132" s="462">
        <f t="shared" si="27"/>
        <v>449243</v>
      </c>
      <c r="M132" s="462">
        <f t="shared" ref="M132:M133" si="41">M133</f>
        <v>449243</v>
      </c>
      <c r="N132" s="178">
        <f t="shared" si="25"/>
        <v>0</v>
      </c>
    </row>
    <row r="133" spans="1:14" ht="34" outlineLevel="7" x14ac:dyDescent="0.3">
      <c r="A133" s="189" t="s">
        <v>13</v>
      </c>
      <c r="B133" s="392" t="s">
        <v>455</v>
      </c>
      <c r="C133" s="392" t="s">
        <v>24</v>
      </c>
      <c r="D133" s="392" t="s">
        <v>652</v>
      </c>
      <c r="E133" s="392" t="s">
        <v>12</v>
      </c>
      <c r="F133" s="471"/>
      <c r="G133" s="462"/>
      <c r="H133" s="460"/>
      <c r="I133" s="462"/>
      <c r="J133" s="462">
        <f t="shared" si="40"/>
        <v>449243</v>
      </c>
      <c r="K133" s="462" t="e">
        <f t="shared" si="26"/>
        <v>#DIV/0!</v>
      </c>
      <c r="L133" s="462">
        <f t="shared" si="27"/>
        <v>449243</v>
      </c>
      <c r="M133" s="462">
        <f t="shared" si="41"/>
        <v>449243</v>
      </c>
      <c r="N133" s="178">
        <f t="shared" si="25"/>
        <v>0</v>
      </c>
    </row>
    <row r="134" spans="1:14" ht="41.45" customHeight="1" outlineLevel="7" x14ac:dyDescent="0.3">
      <c r="A134" s="189" t="s">
        <v>13</v>
      </c>
      <c r="B134" s="392" t="s">
        <v>455</v>
      </c>
      <c r="C134" s="392" t="s">
        <v>24</v>
      </c>
      <c r="D134" s="392" t="s">
        <v>652</v>
      </c>
      <c r="E134" s="392" t="s">
        <v>14</v>
      </c>
      <c r="F134" s="475"/>
      <c r="G134" s="462"/>
      <c r="H134" s="460"/>
      <c r="I134" s="462"/>
      <c r="J134" s="14">
        <v>449243</v>
      </c>
      <c r="K134" s="462" t="e">
        <f t="shared" si="26"/>
        <v>#DIV/0!</v>
      </c>
      <c r="L134" s="462">
        <f t="shared" si="27"/>
        <v>449243</v>
      </c>
      <c r="M134" s="14">
        <v>449243</v>
      </c>
      <c r="N134" s="178">
        <f t="shared" ref="N134:N200" si="42">M134-J134</f>
        <v>0</v>
      </c>
    </row>
    <row r="135" spans="1:14" ht="74.900000000000006" customHeight="1" outlineLevel="7" x14ac:dyDescent="0.3">
      <c r="A135" s="202" t="s">
        <v>945</v>
      </c>
      <c r="B135" s="392" t="s">
        <v>455</v>
      </c>
      <c r="C135" s="392" t="s">
        <v>24</v>
      </c>
      <c r="D135" s="392" t="s">
        <v>947</v>
      </c>
      <c r="E135" s="392" t="s">
        <v>6</v>
      </c>
      <c r="F135" s="471"/>
      <c r="G135" s="462"/>
      <c r="H135" s="460"/>
      <c r="I135" s="462"/>
      <c r="J135" s="462">
        <f>J136+J138</f>
        <v>1642229</v>
      </c>
      <c r="K135" s="462" t="e">
        <f t="shared" ref="K135:K201" si="43">J135/G135*100</f>
        <v>#DIV/0!</v>
      </c>
      <c r="L135" s="462">
        <f t="shared" ref="L135:L201" si="44">J135-G135</f>
        <v>1642229</v>
      </c>
      <c r="M135" s="462">
        <f>M136+M138</f>
        <v>1642229</v>
      </c>
      <c r="N135" s="178">
        <f t="shared" si="42"/>
        <v>0</v>
      </c>
    </row>
    <row r="136" spans="1:14" ht="39.75" customHeight="1" outlineLevel="7" x14ac:dyDescent="0.3">
      <c r="A136" s="189" t="s">
        <v>11</v>
      </c>
      <c r="B136" s="392" t="s">
        <v>455</v>
      </c>
      <c r="C136" s="392" t="s">
        <v>24</v>
      </c>
      <c r="D136" s="392" t="s">
        <v>947</v>
      </c>
      <c r="E136" s="392" t="s">
        <v>12</v>
      </c>
      <c r="F136" s="471"/>
      <c r="G136" s="462"/>
      <c r="H136" s="460"/>
      <c r="I136" s="462"/>
      <c r="J136" s="462">
        <f>J137</f>
        <v>1627229</v>
      </c>
      <c r="K136" s="462" t="e">
        <f t="shared" si="43"/>
        <v>#DIV/0!</v>
      </c>
      <c r="L136" s="462">
        <f t="shared" si="44"/>
        <v>1627229</v>
      </c>
      <c r="M136" s="462">
        <f>M137</f>
        <v>1627229</v>
      </c>
      <c r="N136" s="178">
        <f t="shared" si="42"/>
        <v>0</v>
      </c>
    </row>
    <row r="137" spans="1:14" ht="39.75" customHeight="1" outlineLevel="7" x14ac:dyDescent="0.3">
      <c r="A137" s="189" t="s">
        <v>13</v>
      </c>
      <c r="B137" s="392" t="s">
        <v>455</v>
      </c>
      <c r="C137" s="392" t="s">
        <v>24</v>
      </c>
      <c r="D137" s="392" t="s">
        <v>947</v>
      </c>
      <c r="E137" s="392" t="s">
        <v>14</v>
      </c>
      <c r="F137" s="475"/>
      <c r="G137" s="462"/>
      <c r="H137" s="460"/>
      <c r="I137" s="462"/>
      <c r="J137" s="19">
        <v>1627229</v>
      </c>
      <c r="K137" s="462" t="e">
        <f t="shared" si="43"/>
        <v>#DIV/0!</v>
      </c>
      <c r="L137" s="462">
        <f t="shared" si="44"/>
        <v>1627229</v>
      </c>
      <c r="M137" s="19">
        <v>1627229</v>
      </c>
      <c r="N137" s="178">
        <f t="shared" si="42"/>
        <v>0</v>
      </c>
    </row>
    <row r="138" spans="1:14" ht="34" outlineLevel="7" x14ac:dyDescent="0.3">
      <c r="A138" s="189" t="s">
        <v>15</v>
      </c>
      <c r="B138" s="392" t="s">
        <v>455</v>
      </c>
      <c r="C138" s="392" t="s">
        <v>24</v>
      </c>
      <c r="D138" s="392" t="s">
        <v>947</v>
      </c>
      <c r="E138" s="392" t="s">
        <v>16</v>
      </c>
      <c r="F138" s="471"/>
      <c r="G138" s="462"/>
      <c r="H138" s="460"/>
      <c r="I138" s="462"/>
      <c r="J138" s="462">
        <f>J139</f>
        <v>15000</v>
      </c>
      <c r="K138" s="462" t="e">
        <f t="shared" si="43"/>
        <v>#DIV/0!</v>
      </c>
      <c r="L138" s="462">
        <f t="shared" si="44"/>
        <v>15000</v>
      </c>
      <c r="M138" s="462">
        <f>M139</f>
        <v>15000</v>
      </c>
      <c r="N138" s="178">
        <f t="shared" si="42"/>
        <v>0</v>
      </c>
    </row>
    <row r="139" spans="1:14" ht="50.95" outlineLevel="7" x14ac:dyDescent="0.3">
      <c r="A139" s="189" t="s">
        <v>17</v>
      </c>
      <c r="B139" s="392" t="s">
        <v>455</v>
      </c>
      <c r="C139" s="392" t="s">
        <v>24</v>
      </c>
      <c r="D139" s="392" t="s">
        <v>947</v>
      </c>
      <c r="E139" s="392" t="s">
        <v>18</v>
      </c>
      <c r="F139" s="475"/>
      <c r="G139" s="462"/>
      <c r="H139" s="460"/>
      <c r="I139" s="462"/>
      <c r="J139" s="19">
        <v>15000</v>
      </c>
      <c r="K139" s="462" t="e">
        <f t="shared" si="43"/>
        <v>#DIV/0!</v>
      </c>
      <c r="L139" s="462">
        <f t="shared" si="44"/>
        <v>15000</v>
      </c>
      <c r="M139" s="19">
        <v>15000</v>
      </c>
      <c r="N139" s="178">
        <f t="shared" si="42"/>
        <v>0</v>
      </c>
    </row>
    <row r="140" spans="1:14" ht="50.95" outlineLevel="7" x14ac:dyDescent="0.3">
      <c r="A140" s="202" t="s">
        <v>946</v>
      </c>
      <c r="B140" s="392" t="s">
        <v>455</v>
      </c>
      <c r="C140" s="392" t="s">
        <v>24</v>
      </c>
      <c r="D140" s="392" t="s">
        <v>948</v>
      </c>
      <c r="E140" s="392" t="s">
        <v>6</v>
      </c>
      <c r="F140" s="462"/>
      <c r="G140" s="462"/>
      <c r="H140" s="460"/>
      <c r="I140" s="462"/>
      <c r="J140" s="462">
        <f t="shared" ref="J140:J141" si="45">J141</f>
        <v>1300000</v>
      </c>
      <c r="K140" s="462" t="e">
        <f t="shared" si="43"/>
        <v>#DIV/0!</v>
      </c>
      <c r="L140" s="462">
        <f t="shared" si="44"/>
        <v>1300000</v>
      </c>
      <c r="M140" s="462">
        <f t="shared" ref="M140:M141" si="46">M141</f>
        <v>1300000</v>
      </c>
      <c r="N140" s="178">
        <f t="shared" si="42"/>
        <v>0</v>
      </c>
    </row>
    <row r="141" spans="1:14" ht="101.9" outlineLevel="7" x14ac:dyDescent="0.3">
      <c r="A141" s="189" t="s">
        <v>11</v>
      </c>
      <c r="B141" s="392" t="s">
        <v>455</v>
      </c>
      <c r="C141" s="392" t="s">
        <v>24</v>
      </c>
      <c r="D141" s="392" t="s">
        <v>948</v>
      </c>
      <c r="E141" s="392" t="s">
        <v>12</v>
      </c>
      <c r="F141" s="462"/>
      <c r="G141" s="462"/>
      <c r="H141" s="460"/>
      <c r="I141" s="462"/>
      <c r="J141" s="462">
        <f t="shared" si="45"/>
        <v>1300000</v>
      </c>
      <c r="K141" s="462" t="e">
        <f t="shared" si="43"/>
        <v>#DIV/0!</v>
      </c>
      <c r="L141" s="462">
        <f t="shared" si="44"/>
        <v>1300000</v>
      </c>
      <c r="M141" s="462">
        <f t="shared" si="46"/>
        <v>1300000</v>
      </c>
      <c r="N141" s="178">
        <f t="shared" si="42"/>
        <v>0</v>
      </c>
    </row>
    <row r="142" spans="1:14" ht="34" outlineLevel="7" x14ac:dyDescent="0.3">
      <c r="A142" s="180" t="s">
        <v>13</v>
      </c>
      <c r="B142" s="392" t="s">
        <v>455</v>
      </c>
      <c r="C142" s="392" t="s">
        <v>24</v>
      </c>
      <c r="D142" s="392" t="s">
        <v>948</v>
      </c>
      <c r="E142" s="392" t="s">
        <v>14</v>
      </c>
      <c r="F142" s="462"/>
      <c r="G142" s="462"/>
      <c r="H142" s="460"/>
      <c r="I142" s="462"/>
      <c r="J142" s="14">
        <v>1300000</v>
      </c>
      <c r="K142" s="462" t="e">
        <f t="shared" si="43"/>
        <v>#DIV/0!</v>
      </c>
      <c r="L142" s="462">
        <f t="shared" si="44"/>
        <v>1300000</v>
      </c>
      <c r="M142" s="14">
        <v>1300000</v>
      </c>
      <c r="N142" s="178">
        <f t="shared" si="42"/>
        <v>0</v>
      </c>
    </row>
    <row r="143" spans="1:14" ht="65.25" customHeight="1" outlineLevel="7" x14ac:dyDescent="0.3">
      <c r="A143" s="185" t="s">
        <v>939</v>
      </c>
      <c r="B143" s="392" t="s">
        <v>455</v>
      </c>
      <c r="C143" s="392" t="s">
        <v>24</v>
      </c>
      <c r="D143" s="392" t="s">
        <v>271</v>
      </c>
      <c r="E143" s="392" t="s">
        <v>6</v>
      </c>
      <c r="F143" s="471"/>
      <c r="G143" s="462"/>
      <c r="H143" s="460"/>
      <c r="I143" s="462"/>
      <c r="J143" s="462">
        <f>J144+J146</f>
        <v>1219473</v>
      </c>
      <c r="K143" s="462" t="e">
        <f t="shared" si="43"/>
        <v>#DIV/0!</v>
      </c>
      <c r="L143" s="462">
        <f t="shared" si="44"/>
        <v>1219473</v>
      </c>
      <c r="M143" s="462">
        <f>M144+M146</f>
        <v>1219473</v>
      </c>
      <c r="N143" s="178">
        <f t="shared" si="42"/>
        <v>0</v>
      </c>
    </row>
    <row r="144" spans="1:14" ht="101.9" outlineLevel="7" x14ac:dyDescent="0.3">
      <c r="A144" s="189" t="s">
        <v>11</v>
      </c>
      <c r="B144" s="392" t="s">
        <v>455</v>
      </c>
      <c r="C144" s="392" t="s">
        <v>24</v>
      </c>
      <c r="D144" s="392" t="s">
        <v>271</v>
      </c>
      <c r="E144" s="392" t="s">
        <v>12</v>
      </c>
      <c r="F144" s="471"/>
      <c r="G144" s="462"/>
      <c r="H144" s="460"/>
      <c r="I144" s="462"/>
      <c r="J144" s="462">
        <f>J145</f>
        <v>1174473</v>
      </c>
      <c r="K144" s="462" t="e">
        <f t="shared" si="43"/>
        <v>#DIV/0!</v>
      </c>
      <c r="L144" s="462">
        <f t="shared" si="44"/>
        <v>1174473</v>
      </c>
      <c r="M144" s="462">
        <f>M145</f>
        <v>1174473</v>
      </c>
      <c r="N144" s="178">
        <f t="shared" si="42"/>
        <v>0</v>
      </c>
    </row>
    <row r="145" spans="1:14" ht="32.6" customHeight="1" outlineLevel="7" x14ac:dyDescent="0.3">
      <c r="A145" s="189" t="s">
        <v>13</v>
      </c>
      <c r="B145" s="392" t="s">
        <v>455</v>
      </c>
      <c r="C145" s="392" t="s">
        <v>24</v>
      </c>
      <c r="D145" s="392" t="s">
        <v>271</v>
      </c>
      <c r="E145" s="392" t="s">
        <v>14</v>
      </c>
      <c r="F145" s="475"/>
      <c r="G145" s="449"/>
      <c r="H145" s="460"/>
      <c r="I145" s="449"/>
      <c r="J145" s="14">
        <v>1174473</v>
      </c>
      <c r="K145" s="462" t="e">
        <f t="shared" si="43"/>
        <v>#DIV/0!</v>
      </c>
      <c r="L145" s="462">
        <f t="shared" si="44"/>
        <v>1174473</v>
      </c>
      <c r="M145" s="14">
        <v>1174473</v>
      </c>
      <c r="N145" s="178">
        <f t="shared" si="42"/>
        <v>0</v>
      </c>
    </row>
    <row r="146" spans="1:14" ht="45" customHeight="1" outlineLevel="7" x14ac:dyDescent="0.3">
      <c r="A146" s="189" t="s">
        <v>15</v>
      </c>
      <c r="B146" s="392" t="s">
        <v>455</v>
      </c>
      <c r="C146" s="392" t="s">
        <v>24</v>
      </c>
      <c r="D146" s="392" t="s">
        <v>271</v>
      </c>
      <c r="E146" s="392" t="s">
        <v>16</v>
      </c>
      <c r="F146" s="475"/>
      <c r="G146" s="462"/>
      <c r="H146" s="460"/>
      <c r="I146" s="462"/>
      <c r="J146" s="462">
        <f>J147</f>
        <v>45000</v>
      </c>
      <c r="K146" s="462" t="e">
        <f t="shared" si="43"/>
        <v>#DIV/0!</v>
      </c>
      <c r="L146" s="462">
        <f t="shared" si="44"/>
        <v>45000</v>
      </c>
      <c r="M146" s="462">
        <f>M147</f>
        <v>45000</v>
      </c>
      <c r="N146" s="178">
        <f t="shared" si="42"/>
        <v>0</v>
      </c>
    </row>
    <row r="147" spans="1:14" ht="50.95" outlineLevel="7" x14ac:dyDescent="0.3">
      <c r="A147" s="189" t="s">
        <v>17</v>
      </c>
      <c r="B147" s="392" t="s">
        <v>455</v>
      </c>
      <c r="C147" s="392" t="s">
        <v>24</v>
      </c>
      <c r="D147" s="392" t="s">
        <v>271</v>
      </c>
      <c r="E147" s="392" t="s">
        <v>18</v>
      </c>
      <c r="F147" s="475"/>
      <c r="G147" s="462"/>
      <c r="H147" s="460"/>
      <c r="I147" s="462"/>
      <c r="J147" s="19">
        <v>45000</v>
      </c>
      <c r="K147" s="462" t="e">
        <f t="shared" si="43"/>
        <v>#DIV/0!</v>
      </c>
      <c r="L147" s="462">
        <f t="shared" si="44"/>
        <v>45000</v>
      </c>
      <c r="M147" s="19">
        <v>45000</v>
      </c>
      <c r="N147" s="178">
        <f t="shared" si="42"/>
        <v>0</v>
      </c>
    </row>
    <row r="148" spans="1:14" ht="74.05" customHeight="1" outlineLevel="7" x14ac:dyDescent="0.3">
      <c r="A148" s="480" t="s">
        <v>943</v>
      </c>
      <c r="B148" s="392" t="s">
        <v>455</v>
      </c>
      <c r="C148" s="392" t="s">
        <v>24</v>
      </c>
      <c r="D148" s="392" t="s">
        <v>381</v>
      </c>
      <c r="E148" s="392" t="s">
        <v>6</v>
      </c>
      <c r="F148" s="471"/>
      <c r="G148" s="462"/>
      <c r="H148" s="460"/>
      <c r="I148" s="462"/>
      <c r="J148" s="462">
        <f>J149+J151</f>
        <v>2607156</v>
      </c>
      <c r="K148" s="462" t="e">
        <f t="shared" si="43"/>
        <v>#DIV/0!</v>
      </c>
      <c r="L148" s="462">
        <f t="shared" si="44"/>
        <v>2607156</v>
      </c>
      <c r="M148" s="462">
        <f>M149+M151</f>
        <v>2607156</v>
      </c>
      <c r="N148" s="178">
        <f t="shared" si="42"/>
        <v>0</v>
      </c>
    </row>
    <row r="149" spans="1:14" ht="101.9" outlineLevel="7" x14ac:dyDescent="0.3">
      <c r="A149" s="189" t="s">
        <v>11</v>
      </c>
      <c r="B149" s="392" t="s">
        <v>455</v>
      </c>
      <c r="C149" s="392" t="s">
        <v>24</v>
      </c>
      <c r="D149" s="392" t="s">
        <v>381</v>
      </c>
      <c r="E149" s="392" t="s">
        <v>12</v>
      </c>
      <c r="F149" s="471"/>
      <c r="G149" s="462"/>
      <c r="H149" s="460"/>
      <c r="I149" s="462"/>
      <c r="J149" s="462">
        <f>J150</f>
        <v>2449556</v>
      </c>
      <c r="K149" s="462" t="e">
        <f t="shared" si="43"/>
        <v>#DIV/0!</v>
      </c>
      <c r="L149" s="462">
        <f t="shared" si="44"/>
        <v>2449556</v>
      </c>
      <c r="M149" s="462">
        <f>M150</f>
        <v>2449556</v>
      </c>
      <c r="N149" s="178">
        <f t="shared" si="42"/>
        <v>0</v>
      </c>
    </row>
    <row r="150" spans="1:14" ht="21.25" customHeight="1" outlineLevel="7" x14ac:dyDescent="0.3">
      <c r="A150" s="189" t="s">
        <v>13</v>
      </c>
      <c r="B150" s="392" t="s">
        <v>455</v>
      </c>
      <c r="C150" s="392" t="s">
        <v>24</v>
      </c>
      <c r="D150" s="392" t="s">
        <v>381</v>
      </c>
      <c r="E150" s="392" t="s">
        <v>14</v>
      </c>
      <c r="F150" s="475"/>
      <c r="G150" s="462"/>
      <c r="H150" s="460"/>
      <c r="I150" s="462"/>
      <c r="J150" s="14">
        <v>2449556</v>
      </c>
      <c r="K150" s="462" t="e">
        <f t="shared" si="43"/>
        <v>#DIV/0!</v>
      </c>
      <c r="L150" s="462">
        <f t="shared" si="44"/>
        <v>2449556</v>
      </c>
      <c r="M150" s="14">
        <v>2449556</v>
      </c>
      <c r="N150" s="178">
        <f t="shared" si="42"/>
        <v>0</v>
      </c>
    </row>
    <row r="151" spans="1:14" ht="38.25" customHeight="1" outlineLevel="7" x14ac:dyDescent="0.3">
      <c r="A151" s="189" t="s">
        <v>15</v>
      </c>
      <c r="B151" s="392" t="s">
        <v>455</v>
      </c>
      <c r="C151" s="392" t="s">
        <v>24</v>
      </c>
      <c r="D151" s="392" t="s">
        <v>381</v>
      </c>
      <c r="E151" s="392" t="s">
        <v>16</v>
      </c>
      <c r="F151" s="475"/>
      <c r="G151" s="462"/>
      <c r="H151" s="460"/>
      <c r="I151" s="462"/>
      <c r="J151" s="462">
        <f>J152</f>
        <v>157600</v>
      </c>
      <c r="K151" s="462" t="e">
        <f t="shared" si="43"/>
        <v>#DIV/0!</v>
      </c>
      <c r="L151" s="462">
        <f t="shared" si="44"/>
        <v>157600</v>
      </c>
      <c r="M151" s="462">
        <f>M152</f>
        <v>157600</v>
      </c>
      <c r="N151" s="178">
        <f t="shared" si="42"/>
        <v>0</v>
      </c>
    </row>
    <row r="152" spans="1:14" ht="50.95" outlineLevel="7" x14ac:dyDescent="0.3">
      <c r="A152" s="189" t="s">
        <v>17</v>
      </c>
      <c r="B152" s="392" t="s">
        <v>455</v>
      </c>
      <c r="C152" s="392" t="s">
        <v>24</v>
      </c>
      <c r="D152" s="392" t="s">
        <v>381</v>
      </c>
      <c r="E152" s="392" t="s">
        <v>18</v>
      </c>
      <c r="F152" s="475"/>
      <c r="G152" s="462"/>
      <c r="H152" s="460"/>
      <c r="I152" s="462"/>
      <c r="J152" s="19">
        <v>157600</v>
      </c>
      <c r="K152" s="462" t="e">
        <f t="shared" si="43"/>
        <v>#DIV/0!</v>
      </c>
      <c r="L152" s="462">
        <f t="shared" si="44"/>
        <v>157600</v>
      </c>
      <c r="M152" s="19">
        <v>157600</v>
      </c>
      <c r="N152" s="178">
        <f t="shared" si="42"/>
        <v>0</v>
      </c>
    </row>
    <row r="153" spans="1:14" ht="101.25" customHeight="1" outlineLevel="7" x14ac:dyDescent="0.3">
      <c r="A153" s="202" t="s">
        <v>959</v>
      </c>
      <c r="B153" s="392" t="s">
        <v>455</v>
      </c>
      <c r="C153" s="392" t="s">
        <v>24</v>
      </c>
      <c r="D153" s="470" t="s">
        <v>1114</v>
      </c>
      <c r="E153" s="392" t="s">
        <v>6</v>
      </c>
      <c r="F153" s="471"/>
      <c r="G153" s="462">
        <f>G154+G156</f>
        <v>1037480.73</v>
      </c>
      <c r="H153" s="460"/>
      <c r="I153" s="462"/>
      <c r="J153" s="462">
        <f>J154+J156</f>
        <v>1037480.73</v>
      </c>
      <c r="K153" s="462">
        <f t="shared" si="43"/>
        <v>100</v>
      </c>
      <c r="L153" s="462">
        <f t="shared" si="44"/>
        <v>0</v>
      </c>
      <c r="M153" s="462">
        <f>M154+M156</f>
        <v>1037480.73</v>
      </c>
      <c r="N153" s="178">
        <f t="shared" si="42"/>
        <v>0</v>
      </c>
    </row>
    <row r="154" spans="1:14" ht="101.9" outlineLevel="7" x14ac:dyDescent="0.3">
      <c r="A154" s="189" t="s">
        <v>11</v>
      </c>
      <c r="B154" s="392" t="s">
        <v>455</v>
      </c>
      <c r="C154" s="392" t="s">
        <v>24</v>
      </c>
      <c r="D154" s="470" t="s">
        <v>1114</v>
      </c>
      <c r="E154" s="392" t="s">
        <v>12</v>
      </c>
      <c r="F154" s="471"/>
      <c r="G154" s="462">
        <f>G155</f>
        <v>977480.73</v>
      </c>
      <c r="H154" s="460"/>
      <c r="I154" s="462"/>
      <c r="J154" s="462">
        <f>J155</f>
        <v>977480.73</v>
      </c>
      <c r="K154" s="462">
        <f t="shared" si="43"/>
        <v>100</v>
      </c>
      <c r="L154" s="462">
        <f t="shared" si="44"/>
        <v>0</v>
      </c>
      <c r="M154" s="462">
        <f>M155</f>
        <v>977480.73</v>
      </c>
      <c r="N154" s="178">
        <f t="shared" si="42"/>
        <v>0</v>
      </c>
    </row>
    <row r="155" spans="1:14" ht="19.55" customHeight="1" outlineLevel="7" x14ac:dyDescent="0.3">
      <c r="A155" s="189" t="s">
        <v>13</v>
      </c>
      <c r="B155" s="392" t="s">
        <v>455</v>
      </c>
      <c r="C155" s="392" t="s">
        <v>24</v>
      </c>
      <c r="D155" s="470" t="s">
        <v>1114</v>
      </c>
      <c r="E155" s="392" t="s">
        <v>14</v>
      </c>
      <c r="F155" s="475"/>
      <c r="G155" s="19">
        <v>977480.73</v>
      </c>
      <c r="H155" s="460"/>
      <c r="I155" s="462"/>
      <c r="J155" s="19">
        <v>977480.73</v>
      </c>
      <c r="K155" s="462">
        <f t="shared" si="43"/>
        <v>100</v>
      </c>
      <c r="L155" s="462">
        <f t="shared" si="44"/>
        <v>0</v>
      </c>
      <c r="M155" s="19">
        <v>977480.73</v>
      </c>
      <c r="N155" s="178">
        <f t="shared" si="42"/>
        <v>0</v>
      </c>
    </row>
    <row r="156" spans="1:14" ht="46.55" customHeight="1" outlineLevel="3" x14ac:dyDescent="0.3">
      <c r="A156" s="189" t="s">
        <v>15</v>
      </c>
      <c r="B156" s="392" t="s">
        <v>455</v>
      </c>
      <c r="C156" s="392" t="s">
        <v>24</v>
      </c>
      <c r="D156" s="470" t="s">
        <v>1114</v>
      </c>
      <c r="E156" s="392" t="s">
        <v>16</v>
      </c>
      <c r="F156" s="475"/>
      <c r="G156" s="462">
        <f>G157</f>
        <v>60000</v>
      </c>
      <c r="H156" s="460"/>
      <c r="I156" s="462"/>
      <c r="J156" s="462">
        <f>J157</f>
        <v>60000</v>
      </c>
      <c r="K156" s="462">
        <f t="shared" si="43"/>
        <v>100</v>
      </c>
      <c r="L156" s="462">
        <f t="shared" si="44"/>
        <v>0</v>
      </c>
      <c r="M156" s="462">
        <f>M157</f>
        <v>60000</v>
      </c>
      <c r="N156" s="178">
        <f t="shared" si="42"/>
        <v>0</v>
      </c>
    </row>
    <row r="157" spans="1:14" ht="50.95" outlineLevel="3" x14ac:dyDescent="0.3">
      <c r="A157" s="189" t="s">
        <v>17</v>
      </c>
      <c r="B157" s="392" t="s">
        <v>455</v>
      </c>
      <c r="C157" s="392" t="s">
        <v>24</v>
      </c>
      <c r="D157" s="470" t="s">
        <v>1114</v>
      </c>
      <c r="E157" s="392" t="s">
        <v>18</v>
      </c>
      <c r="F157" s="475"/>
      <c r="G157" s="462">
        <v>60000</v>
      </c>
      <c r="H157" s="460"/>
      <c r="I157" s="462"/>
      <c r="J157" s="462">
        <v>60000</v>
      </c>
      <c r="K157" s="462">
        <f t="shared" si="43"/>
        <v>100</v>
      </c>
      <c r="L157" s="462">
        <f t="shared" si="44"/>
        <v>0</v>
      </c>
      <c r="M157" s="462">
        <v>60000</v>
      </c>
      <c r="N157" s="178">
        <f t="shared" si="42"/>
        <v>0</v>
      </c>
    </row>
    <row r="158" spans="1:14" ht="23.1" customHeight="1" outlineLevel="3" x14ac:dyDescent="0.3">
      <c r="A158" s="233" t="s">
        <v>525</v>
      </c>
      <c r="B158" s="397" t="s">
        <v>455</v>
      </c>
      <c r="C158" s="397" t="s">
        <v>26</v>
      </c>
      <c r="D158" s="397" t="s">
        <v>126</v>
      </c>
      <c r="E158" s="397" t="s">
        <v>6</v>
      </c>
      <c r="F158" s="471">
        <f t="shared" ref="F158:J163" si="47">F159</f>
        <v>221108.82</v>
      </c>
      <c r="G158" s="462">
        <f t="shared" si="47"/>
        <v>270000</v>
      </c>
      <c r="H158" s="460">
        <v>1265582.6100000001</v>
      </c>
      <c r="I158" s="462">
        <f t="shared" si="47"/>
        <v>280000</v>
      </c>
      <c r="J158" s="462">
        <f t="shared" si="47"/>
        <v>2074512</v>
      </c>
      <c r="K158" s="462">
        <f t="shared" si="43"/>
        <v>768.33777777777777</v>
      </c>
      <c r="L158" s="462">
        <f t="shared" si="44"/>
        <v>1804512</v>
      </c>
      <c r="M158" s="462">
        <f t="shared" ref="M158:M163" si="48">M159</f>
        <v>2074512</v>
      </c>
      <c r="N158" s="178">
        <f t="shared" si="42"/>
        <v>0</v>
      </c>
    </row>
    <row r="159" spans="1:14" ht="23.8" customHeight="1" outlineLevel="3" x14ac:dyDescent="0.3">
      <c r="A159" s="189" t="s">
        <v>526</v>
      </c>
      <c r="B159" s="392" t="s">
        <v>455</v>
      </c>
      <c r="C159" s="392" t="s">
        <v>527</v>
      </c>
      <c r="D159" s="392" t="s">
        <v>126</v>
      </c>
      <c r="E159" s="392" t="s">
        <v>6</v>
      </c>
      <c r="F159" s="471">
        <f t="shared" si="47"/>
        <v>221108.82</v>
      </c>
      <c r="G159" s="462">
        <f t="shared" si="47"/>
        <v>270000</v>
      </c>
      <c r="H159" s="460">
        <v>1265582.6100000001</v>
      </c>
      <c r="I159" s="462">
        <f t="shared" si="47"/>
        <v>280000</v>
      </c>
      <c r="J159" s="462">
        <f t="shared" si="47"/>
        <v>2074512</v>
      </c>
      <c r="K159" s="462">
        <f t="shared" si="43"/>
        <v>768.33777777777777</v>
      </c>
      <c r="L159" s="462">
        <f t="shared" si="44"/>
        <v>1804512</v>
      </c>
      <c r="M159" s="462">
        <f t="shared" si="48"/>
        <v>2074512</v>
      </c>
      <c r="N159" s="178">
        <f t="shared" si="42"/>
        <v>0</v>
      </c>
    </row>
    <row r="160" spans="1:14" ht="38.9" customHeight="1" outlineLevel="3" x14ac:dyDescent="0.3">
      <c r="A160" s="189" t="s">
        <v>132</v>
      </c>
      <c r="B160" s="392" t="s">
        <v>455</v>
      </c>
      <c r="C160" s="392" t="s">
        <v>527</v>
      </c>
      <c r="D160" s="392" t="s">
        <v>127</v>
      </c>
      <c r="E160" s="392" t="s">
        <v>6</v>
      </c>
      <c r="F160" s="471">
        <f>F161+F167</f>
        <v>221108.82</v>
      </c>
      <c r="G160" s="462">
        <f>G161+G165</f>
        <v>270000</v>
      </c>
      <c r="H160" s="460">
        <v>1265582.6100000001</v>
      </c>
      <c r="I160" s="462">
        <f>I161+I165</f>
        <v>280000</v>
      </c>
      <c r="J160" s="462">
        <f>J161+J165</f>
        <v>2074512</v>
      </c>
      <c r="K160" s="462">
        <f t="shared" si="43"/>
        <v>768.33777777777777</v>
      </c>
      <c r="L160" s="462">
        <f t="shared" si="44"/>
        <v>1804512</v>
      </c>
      <c r="M160" s="462">
        <f>M161+M165</f>
        <v>2074512</v>
      </c>
      <c r="N160" s="178">
        <f t="shared" si="42"/>
        <v>0</v>
      </c>
    </row>
    <row r="161" spans="1:14" ht="19.55" customHeight="1" outlineLevel="3" x14ac:dyDescent="0.3">
      <c r="A161" s="189" t="s">
        <v>269</v>
      </c>
      <c r="B161" s="392" t="s">
        <v>455</v>
      </c>
      <c r="C161" s="392" t="s">
        <v>527</v>
      </c>
      <c r="D161" s="392" t="s">
        <v>268</v>
      </c>
      <c r="E161" s="392" t="s">
        <v>6</v>
      </c>
      <c r="F161" s="471">
        <f t="shared" si="47"/>
        <v>0</v>
      </c>
      <c r="G161" s="462">
        <f t="shared" si="47"/>
        <v>0</v>
      </c>
      <c r="H161" s="460"/>
      <c r="I161" s="462">
        <f t="shared" si="47"/>
        <v>0</v>
      </c>
      <c r="J161" s="462">
        <f t="shared" si="47"/>
        <v>1804512</v>
      </c>
      <c r="K161" s="462" t="e">
        <f t="shared" si="43"/>
        <v>#DIV/0!</v>
      </c>
      <c r="L161" s="462">
        <f t="shared" si="44"/>
        <v>1804512</v>
      </c>
      <c r="M161" s="462">
        <f t="shared" si="48"/>
        <v>1804512</v>
      </c>
      <c r="N161" s="178">
        <f t="shared" si="42"/>
        <v>0</v>
      </c>
    </row>
    <row r="162" spans="1:14" ht="55.2" customHeight="1" outlineLevel="3" x14ac:dyDescent="0.3">
      <c r="A162" s="189" t="s">
        <v>960</v>
      </c>
      <c r="B162" s="392" t="s">
        <v>455</v>
      </c>
      <c r="C162" s="392" t="s">
        <v>527</v>
      </c>
      <c r="D162" s="392" t="s">
        <v>529</v>
      </c>
      <c r="E162" s="392" t="s">
        <v>6</v>
      </c>
      <c r="F162" s="471">
        <v>0</v>
      </c>
      <c r="G162" s="462">
        <f t="shared" si="47"/>
        <v>0</v>
      </c>
      <c r="H162" s="460"/>
      <c r="I162" s="462">
        <f t="shared" si="47"/>
        <v>0</v>
      </c>
      <c r="J162" s="462">
        <f t="shared" si="47"/>
        <v>1804512</v>
      </c>
      <c r="K162" s="462" t="e">
        <f t="shared" si="43"/>
        <v>#DIV/0!</v>
      </c>
      <c r="L162" s="462">
        <f t="shared" si="44"/>
        <v>1804512</v>
      </c>
      <c r="M162" s="462">
        <f t="shared" si="48"/>
        <v>1804512</v>
      </c>
      <c r="N162" s="178">
        <f t="shared" si="42"/>
        <v>0</v>
      </c>
    </row>
    <row r="163" spans="1:14" ht="101.9" outlineLevel="3" x14ac:dyDescent="0.3">
      <c r="A163" s="189" t="s">
        <v>11</v>
      </c>
      <c r="B163" s="392" t="s">
        <v>455</v>
      </c>
      <c r="C163" s="392" t="s">
        <v>527</v>
      </c>
      <c r="D163" s="392" t="s">
        <v>529</v>
      </c>
      <c r="E163" s="392" t="s">
        <v>12</v>
      </c>
      <c r="F163" s="471">
        <f t="shared" si="47"/>
        <v>0</v>
      </c>
      <c r="G163" s="462">
        <f t="shared" si="47"/>
        <v>0</v>
      </c>
      <c r="H163" s="460"/>
      <c r="I163" s="462">
        <f t="shared" si="47"/>
        <v>0</v>
      </c>
      <c r="J163" s="462">
        <f t="shared" si="47"/>
        <v>1804512</v>
      </c>
      <c r="K163" s="462" t="e">
        <f t="shared" si="43"/>
        <v>#DIV/0!</v>
      </c>
      <c r="L163" s="462">
        <f t="shared" si="44"/>
        <v>1804512</v>
      </c>
      <c r="M163" s="462">
        <f t="shared" si="48"/>
        <v>1804512</v>
      </c>
      <c r="N163" s="178">
        <f t="shared" si="42"/>
        <v>0</v>
      </c>
    </row>
    <row r="164" spans="1:14" ht="34" outlineLevel="3" x14ac:dyDescent="0.3">
      <c r="A164" s="189" t="s">
        <v>13</v>
      </c>
      <c r="B164" s="392" t="s">
        <v>455</v>
      </c>
      <c r="C164" s="392" t="s">
        <v>527</v>
      </c>
      <c r="D164" s="392" t="s">
        <v>529</v>
      </c>
      <c r="E164" s="392" t="s">
        <v>14</v>
      </c>
      <c r="F164" s="471">
        <v>0</v>
      </c>
      <c r="G164" s="462">
        <v>0</v>
      </c>
      <c r="H164" s="460"/>
      <c r="I164" s="462"/>
      <c r="J164" s="19">
        <v>1804512</v>
      </c>
      <c r="K164" s="462" t="e">
        <f t="shared" si="43"/>
        <v>#DIV/0!</v>
      </c>
      <c r="L164" s="462">
        <f t="shared" si="44"/>
        <v>1804512</v>
      </c>
      <c r="M164" s="19">
        <v>1804512</v>
      </c>
      <c r="N164" s="178">
        <f t="shared" si="42"/>
        <v>0</v>
      </c>
    </row>
    <row r="165" spans="1:14" ht="67.95" outlineLevel="3" x14ac:dyDescent="0.3">
      <c r="A165" s="189" t="s">
        <v>654</v>
      </c>
      <c r="B165" s="392" t="s">
        <v>455</v>
      </c>
      <c r="C165" s="392" t="s">
        <v>527</v>
      </c>
      <c r="D165" s="392" t="s">
        <v>659</v>
      </c>
      <c r="E165" s="392" t="s">
        <v>6</v>
      </c>
      <c r="F165" s="471">
        <f>F166</f>
        <v>221108.82</v>
      </c>
      <c r="G165" s="462">
        <f t="shared" ref="G165:J166" si="49">G166</f>
        <v>270000</v>
      </c>
      <c r="H165" s="460"/>
      <c r="I165" s="462">
        <f t="shared" si="49"/>
        <v>280000</v>
      </c>
      <c r="J165" s="462">
        <f t="shared" si="49"/>
        <v>270000</v>
      </c>
      <c r="K165" s="462">
        <f t="shared" si="43"/>
        <v>100</v>
      </c>
      <c r="L165" s="462">
        <f t="shared" si="44"/>
        <v>0</v>
      </c>
      <c r="M165" s="462">
        <f t="shared" ref="M165:M166" si="50">M166</f>
        <v>270000</v>
      </c>
      <c r="N165" s="178">
        <f t="shared" si="42"/>
        <v>0</v>
      </c>
    </row>
    <row r="166" spans="1:14" ht="101.9" outlineLevel="3" x14ac:dyDescent="0.3">
      <c r="A166" s="189" t="s">
        <v>11</v>
      </c>
      <c r="B166" s="392" t="s">
        <v>455</v>
      </c>
      <c r="C166" s="392" t="s">
        <v>527</v>
      </c>
      <c r="D166" s="392" t="s">
        <v>659</v>
      </c>
      <c r="E166" s="392" t="s">
        <v>12</v>
      </c>
      <c r="F166" s="471">
        <f>F167</f>
        <v>221108.82</v>
      </c>
      <c r="G166" s="462">
        <f t="shared" si="49"/>
        <v>270000</v>
      </c>
      <c r="H166" s="460"/>
      <c r="I166" s="462">
        <f t="shared" si="49"/>
        <v>280000</v>
      </c>
      <c r="J166" s="462">
        <f t="shared" si="49"/>
        <v>270000</v>
      </c>
      <c r="K166" s="462">
        <f t="shared" si="43"/>
        <v>100</v>
      </c>
      <c r="L166" s="462">
        <f t="shared" si="44"/>
        <v>0</v>
      </c>
      <c r="M166" s="462">
        <f t="shared" si="50"/>
        <v>270000</v>
      </c>
      <c r="N166" s="178">
        <f t="shared" si="42"/>
        <v>0</v>
      </c>
    </row>
    <row r="167" spans="1:14" ht="34" outlineLevel="3" x14ac:dyDescent="0.3">
      <c r="A167" s="189" t="s">
        <v>13</v>
      </c>
      <c r="B167" s="392" t="s">
        <v>455</v>
      </c>
      <c r="C167" s="392" t="s">
        <v>527</v>
      </c>
      <c r="D167" s="392" t="s">
        <v>659</v>
      </c>
      <c r="E167" s="392" t="s">
        <v>14</v>
      </c>
      <c r="F167" s="471">
        <v>221108.82</v>
      </c>
      <c r="G167" s="462">
        <f>'потребность 2023 (5)'!K171</f>
        <v>270000</v>
      </c>
      <c r="H167" s="460"/>
      <c r="I167" s="462">
        <v>280000</v>
      </c>
      <c r="J167" s="449">
        <v>270000</v>
      </c>
      <c r="K167" s="462">
        <f t="shared" si="43"/>
        <v>100</v>
      </c>
      <c r="L167" s="462">
        <f t="shared" si="44"/>
        <v>0</v>
      </c>
      <c r="M167" s="449">
        <v>270000</v>
      </c>
      <c r="N167" s="178">
        <f t="shared" si="42"/>
        <v>0</v>
      </c>
    </row>
    <row r="168" spans="1:14" ht="34" outlineLevel="3" x14ac:dyDescent="0.3">
      <c r="A168" s="233" t="s">
        <v>41</v>
      </c>
      <c r="B168" s="397" t="s">
        <v>455</v>
      </c>
      <c r="C168" s="397" t="s">
        <v>42</v>
      </c>
      <c r="D168" s="397" t="s">
        <v>126</v>
      </c>
      <c r="E168" s="397" t="s">
        <v>6</v>
      </c>
      <c r="F168" s="473">
        <f>F169+F174</f>
        <v>585000</v>
      </c>
      <c r="G168" s="465">
        <f>G169+G174</f>
        <v>805000</v>
      </c>
      <c r="H168" s="460"/>
      <c r="I168" s="465">
        <f>I169+I174</f>
        <v>805000</v>
      </c>
      <c r="J168" s="465">
        <f>J169+J174</f>
        <v>3612945</v>
      </c>
      <c r="K168" s="462">
        <f t="shared" si="43"/>
        <v>448.81304347826091</v>
      </c>
      <c r="L168" s="462">
        <f t="shared" si="44"/>
        <v>2807945</v>
      </c>
      <c r="M168" s="465">
        <f>M169+M174</f>
        <v>2612945</v>
      </c>
      <c r="N168" s="178">
        <f t="shared" si="42"/>
        <v>-1000000</v>
      </c>
    </row>
    <row r="169" spans="1:14" ht="50.95" outlineLevel="3" x14ac:dyDescent="0.3">
      <c r="A169" s="189" t="s">
        <v>43</v>
      </c>
      <c r="B169" s="392" t="s">
        <v>455</v>
      </c>
      <c r="C169" s="392" t="s">
        <v>44</v>
      </c>
      <c r="D169" s="392" t="s">
        <v>126</v>
      </c>
      <c r="E169" s="392" t="s">
        <v>6</v>
      </c>
      <c r="F169" s="471">
        <f t="shared" ref="F169:J172" si="51">F170</f>
        <v>0</v>
      </c>
      <c r="G169" s="462">
        <f t="shared" si="51"/>
        <v>200000</v>
      </c>
      <c r="H169" s="460">
        <v>0</v>
      </c>
      <c r="I169" s="462">
        <f t="shared" si="51"/>
        <v>200000</v>
      </c>
      <c r="J169" s="462">
        <f t="shared" si="51"/>
        <v>200000</v>
      </c>
      <c r="K169" s="462">
        <f t="shared" si="43"/>
        <v>100</v>
      </c>
      <c r="L169" s="462">
        <f t="shared" si="44"/>
        <v>0</v>
      </c>
      <c r="M169" s="462">
        <f t="shared" ref="M169:M172" si="52">M170</f>
        <v>200000</v>
      </c>
      <c r="N169" s="178">
        <f t="shared" si="42"/>
        <v>0</v>
      </c>
    </row>
    <row r="170" spans="1:14" ht="34" outlineLevel="3" x14ac:dyDescent="0.3">
      <c r="A170" s="189" t="s">
        <v>132</v>
      </c>
      <c r="B170" s="392" t="s">
        <v>455</v>
      </c>
      <c r="C170" s="392" t="s">
        <v>44</v>
      </c>
      <c r="D170" s="392" t="s">
        <v>127</v>
      </c>
      <c r="E170" s="392" t="s">
        <v>6</v>
      </c>
      <c r="F170" s="471">
        <f t="shared" si="51"/>
        <v>0</v>
      </c>
      <c r="G170" s="462">
        <f t="shared" si="51"/>
        <v>200000</v>
      </c>
      <c r="H170" s="460">
        <v>0</v>
      </c>
      <c r="I170" s="462">
        <f t="shared" si="51"/>
        <v>200000</v>
      </c>
      <c r="J170" s="462">
        <f t="shared" si="51"/>
        <v>200000</v>
      </c>
      <c r="K170" s="462">
        <f t="shared" si="43"/>
        <v>100</v>
      </c>
      <c r="L170" s="462">
        <f t="shared" si="44"/>
        <v>0</v>
      </c>
      <c r="M170" s="462">
        <f t="shared" si="52"/>
        <v>200000</v>
      </c>
      <c r="N170" s="178">
        <f t="shared" si="42"/>
        <v>0</v>
      </c>
    </row>
    <row r="171" spans="1:14" s="224" customFormat="1" ht="50.95" outlineLevel="1" x14ac:dyDescent="0.3">
      <c r="A171" s="189" t="s">
        <v>45</v>
      </c>
      <c r="B171" s="392" t="s">
        <v>455</v>
      </c>
      <c r="C171" s="392" t="s">
        <v>44</v>
      </c>
      <c r="D171" s="392" t="s">
        <v>133</v>
      </c>
      <c r="E171" s="392" t="s">
        <v>6</v>
      </c>
      <c r="F171" s="471">
        <f t="shared" si="51"/>
        <v>0</v>
      </c>
      <c r="G171" s="462">
        <f t="shared" si="51"/>
        <v>200000</v>
      </c>
      <c r="H171" s="460">
        <v>0</v>
      </c>
      <c r="I171" s="462">
        <f t="shared" si="51"/>
        <v>200000</v>
      </c>
      <c r="J171" s="462">
        <f t="shared" si="51"/>
        <v>200000</v>
      </c>
      <c r="K171" s="462">
        <f t="shared" si="43"/>
        <v>100</v>
      </c>
      <c r="L171" s="462">
        <f t="shared" si="44"/>
        <v>0</v>
      </c>
      <c r="M171" s="462">
        <f t="shared" si="52"/>
        <v>200000</v>
      </c>
      <c r="N171" s="178">
        <f t="shared" si="42"/>
        <v>0</v>
      </c>
    </row>
    <row r="172" spans="1:14" ht="34" outlineLevel="2" x14ac:dyDescent="0.3">
      <c r="A172" s="189" t="s">
        <v>15</v>
      </c>
      <c r="B172" s="392" t="s">
        <v>455</v>
      </c>
      <c r="C172" s="392" t="s">
        <v>44</v>
      </c>
      <c r="D172" s="392" t="s">
        <v>133</v>
      </c>
      <c r="E172" s="392" t="s">
        <v>16</v>
      </c>
      <c r="F172" s="471">
        <f t="shared" si="51"/>
        <v>0</v>
      </c>
      <c r="G172" s="462">
        <f t="shared" si="51"/>
        <v>200000</v>
      </c>
      <c r="H172" s="460">
        <v>0</v>
      </c>
      <c r="I172" s="462">
        <f t="shared" si="51"/>
        <v>200000</v>
      </c>
      <c r="J172" s="462">
        <f t="shared" si="51"/>
        <v>200000</v>
      </c>
      <c r="K172" s="462">
        <f t="shared" si="43"/>
        <v>100</v>
      </c>
      <c r="L172" s="462">
        <f t="shared" si="44"/>
        <v>0</v>
      </c>
      <c r="M172" s="462">
        <f t="shared" si="52"/>
        <v>200000</v>
      </c>
      <c r="N172" s="178">
        <f t="shared" si="42"/>
        <v>0</v>
      </c>
    </row>
    <row r="173" spans="1:14" ht="50.95" outlineLevel="4" x14ac:dyDescent="0.3">
      <c r="A173" s="189" t="s">
        <v>17</v>
      </c>
      <c r="B173" s="392" t="s">
        <v>455</v>
      </c>
      <c r="C173" s="392" t="s">
        <v>44</v>
      </c>
      <c r="D173" s="392" t="s">
        <v>133</v>
      </c>
      <c r="E173" s="392" t="s">
        <v>18</v>
      </c>
      <c r="F173" s="471">
        <v>0</v>
      </c>
      <c r="G173" s="462">
        <f>'потребность 2023 (5)'!K177</f>
        <v>200000</v>
      </c>
      <c r="H173" s="460">
        <v>0</v>
      </c>
      <c r="I173" s="462">
        <v>200000</v>
      </c>
      <c r="J173" s="449">
        <v>200000</v>
      </c>
      <c r="K173" s="462">
        <f t="shared" si="43"/>
        <v>100</v>
      </c>
      <c r="L173" s="462">
        <f t="shared" si="44"/>
        <v>0</v>
      </c>
      <c r="M173" s="449">
        <v>200000</v>
      </c>
      <c r="N173" s="178">
        <f t="shared" si="42"/>
        <v>0</v>
      </c>
    </row>
    <row r="174" spans="1:14" outlineLevel="5" x14ac:dyDescent="0.3">
      <c r="A174" s="189" t="s">
        <v>459</v>
      </c>
      <c r="B174" s="392" t="s">
        <v>455</v>
      </c>
      <c r="C174" s="392" t="s">
        <v>460</v>
      </c>
      <c r="D174" s="392" t="s">
        <v>126</v>
      </c>
      <c r="E174" s="392" t="s">
        <v>6</v>
      </c>
      <c r="F174" s="471">
        <f t="shared" ref="F174:J177" si="53">F175</f>
        <v>585000</v>
      </c>
      <c r="G174" s="462">
        <f t="shared" si="53"/>
        <v>605000</v>
      </c>
      <c r="H174" s="460">
        <v>8776.2000000000007</v>
      </c>
      <c r="I174" s="462">
        <f t="shared" si="53"/>
        <v>605000</v>
      </c>
      <c r="J174" s="462">
        <f t="shared" si="53"/>
        <v>3412945</v>
      </c>
      <c r="K174" s="462">
        <f t="shared" si="43"/>
        <v>564.1231404958678</v>
      </c>
      <c r="L174" s="462">
        <f t="shared" si="44"/>
        <v>2807945</v>
      </c>
      <c r="M174" s="462">
        <f t="shared" ref="M174:M177" si="54">M175</f>
        <v>2412945</v>
      </c>
      <c r="N174" s="178">
        <f t="shared" si="42"/>
        <v>-1000000</v>
      </c>
    </row>
    <row r="175" spans="1:14" ht="34" outlineLevel="6" x14ac:dyDescent="0.3">
      <c r="A175" s="189" t="s">
        <v>132</v>
      </c>
      <c r="B175" s="392" t="s">
        <v>455</v>
      </c>
      <c r="C175" s="392" t="s">
        <v>460</v>
      </c>
      <c r="D175" s="392" t="s">
        <v>127</v>
      </c>
      <c r="E175" s="392" t="s">
        <v>6</v>
      </c>
      <c r="F175" s="471">
        <f t="shared" si="53"/>
        <v>585000</v>
      </c>
      <c r="G175" s="462">
        <f t="shared" si="53"/>
        <v>605000</v>
      </c>
      <c r="H175" s="460">
        <v>8776.2000000000007</v>
      </c>
      <c r="I175" s="462">
        <f t="shared" si="53"/>
        <v>605000</v>
      </c>
      <c r="J175" s="462">
        <f t="shared" si="53"/>
        <v>3412945</v>
      </c>
      <c r="K175" s="462">
        <f t="shared" si="43"/>
        <v>564.1231404958678</v>
      </c>
      <c r="L175" s="462">
        <f t="shared" si="44"/>
        <v>2807945</v>
      </c>
      <c r="M175" s="462">
        <f t="shared" si="54"/>
        <v>2412945</v>
      </c>
      <c r="N175" s="178">
        <f t="shared" si="42"/>
        <v>-1000000</v>
      </c>
    </row>
    <row r="176" spans="1:14" ht="38.049999999999997" customHeight="1" outlineLevel="7" x14ac:dyDescent="0.3">
      <c r="A176" s="189" t="s">
        <v>461</v>
      </c>
      <c r="B176" s="392" t="s">
        <v>455</v>
      </c>
      <c r="C176" s="392" t="s">
        <v>460</v>
      </c>
      <c r="D176" s="392" t="s">
        <v>617</v>
      </c>
      <c r="E176" s="392" t="s">
        <v>6</v>
      </c>
      <c r="F176" s="471">
        <f t="shared" si="53"/>
        <v>585000</v>
      </c>
      <c r="G176" s="462">
        <f t="shared" si="53"/>
        <v>605000</v>
      </c>
      <c r="H176" s="460">
        <v>8776.2000000000007</v>
      </c>
      <c r="I176" s="462">
        <f t="shared" si="53"/>
        <v>605000</v>
      </c>
      <c r="J176" s="462">
        <f t="shared" si="53"/>
        <v>3412945</v>
      </c>
      <c r="K176" s="462">
        <f t="shared" si="43"/>
        <v>564.1231404958678</v>
      </c>
      <c r="L176" s="462">
        <f t="shared" si="44"/>
        <v>2807945</v>
      </c>
      <c r="M176" s="462">
        <f t="shared" si="54"/>
        <v>2412945</v>
      </c>
      <c r="N176" s="178">
        <f t="shared" si="42"/>
        <v>-1000000</v>
      </c>
    </row>
    <row r="177" spans="1:14" ht="20.25" customHeight="1" outlineLevel="7" x14ac:dyDescent="0.3">
      <c r="A177" s="189" t="s">
        <v>15</v>
      </c>
      <c r="B177" s="392" t="s">
        <v>455</v>
      </c>
      <c r="C177" s="392" t="s">
        <v>460</v>
      </c>
      <c r="D177" s="392" t="s">
        <v>617</v>
      </c>
      <c r="E177" s="392" t="s">
        <v>16</v>
      </c>
      <c r="F177" s="471">
        <f t="shared" si="53"/>
        <v>585000</v>
      </c>
      <c r="G177" s="462">
        <f t="shared" si="53"/>
        <v>605000</v>
      </c>
      <c r="H177" s="460">
        <v>8776.2000000000007</v>
      </c>
      <c r="I177" s="462">
        <f t="shared" si="53"/>
        <v>605000</v>
      </c>
      <c r="J177" s="462">
        <f t="shared" si="53"/>
        <v>3412945</v>
      </c>
      <c r="K177" s="462">
        <f t="shared" si="43"/>
        <v>564.1231404958678</v>
      </c>
      <c r="L177" s="462">
        <f t="shared" si="44"/>
        <v>2807945</v>
      </c>
      <c r="M177" s="462">
        <f t="shared" si="54"/>
        <v>2412945</v>
      </c>
      <c r="N177" s="178">
        <f t="shared" si="42"/>
        <v>-1000000</v>
      </c>
    </row>
    <row r="178" spans="1:14" ht="50.95" outlineLevel="7" x14ac:dyDescent="0.3">
      <c r="A178" s="189" t="s">
        <v>17</v>
      </c>
      <c r="B178" s="392" t="s">
        <v>455</v>
      </c>
      <c r="C178" s="392" t="s">
        <v>460</v>
      </c>
      <c r="D178" s="392" t="s">
        <v>617</v>
      </c>
      <c r="E178" s="392" t="s">
        <v>18</v>
      </c>
      <c r="F178" s="471">
        <v>585000</v>
      </c>
      <c r="G178" s="462">
        <f>'потребность 2023 (5)'!K182</f>
        <v>605000</v>
      </c>
      <c r="H178" s="460">
        <v>8776.2000000000007</v>
      </c>
      <c r="I178" s="462">
        <f>1605000-1000000</f>
        <v>605000</v>
      </c>
      <c r="J178" s="449">
        <v>3412945</v>
      </c>
      <c r="K178" s="462">
        <f t="shared" si="43"/>
        <v>564.1231404958678</v>
      </c>
      <c r="L178" s="462">
        <f t="shared" si="44"/>
        <v>2807945</v>
      </c>
      <c r="M178" s="449">
        <f>3412945-1000000</f>
        <v>2412945</v>
      </c>
      <c r="N178" s="178">
        <f t="shared" si="42"/>
        <v>-1000000</v>
      </c>
    </row>
    <row r="179" spans="1:14" ht="20.25" customHeight="1" outlineLevel="7" x14ac:dyDescent="0.3">
      <c r="A179" s="233" t="s">
        <v>119</v>
      </c>
      <c r="B179" s="397" t="s">
        <v>455</v>
      </c>
      <c r="C179" s="397" t="s">
        <v>46</v>
      </c>
      <c r="D179" s="397" t="s">
        <v>126</v>
      </c>
      <c r="E179" s="397" t="s">
        <v>6</v>
      </c>
      <c r="F179" s="465">
        <f>F203+F186+F215+F180</f>
        <v>24449397.420000002</v>
      </c>
      <c r="G179" s="465">
        <f>G203+G186+G215+G180</f>
        <v>23536279.5</v>
      </c>
      <c r="H179" s="460">
        <v>10391993.369999999</v>
      </c>
      <c r="I179" s="465">
        <f>I203+I186+I215+I180</f>
        <v>14696000</v>
      </c>
      <c r="J179" s="465">
        <f>J203+J186+J215+J180</f>
        <v>20410133.93</v>
      </c>
      <c r="K179" s="462">
        <f t="shared" si="43"/>
        <v>86.717758131653738</v>
      </c>
      <c r="L179" s="462">
        <f t="shared" si="44"/>
        <v>-3126145.5700000003</v>
      </c>
      <c r="M179" s="465">
        <f>M203+M186+M215+M180</f>
        <v>20808765.300000001</v>
      </c>
      <c r="N179" s="178">
        <f t="shared" si="42"/>
        <v>398631.37000000104</v>
      </c>
    </row>
    <row r="180" spans="1:14" outlineLevel="7" x14ac:dyDescent="0.3">
      <c r="A180" s="189" t="s">
        <v>121</v>
      </c>
      <c r="B180" s="392" t="s">
        <v>455</v>
      </c>
      <c r="C180" s="392" t="s">
        <v>122</v>
      </c>
      <c r="D180" s="392" t="s">
        <v>126</v>
      </c>
      <c r="E180" s="392" t="s">
        <v>6</v>
      </c>
      <c r="F180" s="471">
        <f>F181</f>
        <v>0</v>
      </c>
      <c r="G180" s="462">
        <f>G181</f>
        <v>0</v>
      </c>
      <c r="H180" s="460">
        <v>0</v>
      </c>
      <c r="I180" s="462">
        <f>I181</f>
        <v>0</v>
      </c>
      <c r="J180" s="462">
        <f>J181</f>
        <v>1122746.8500000001</v>
      </c>
      <c r="K180" s="462" t="e">
        <f t="shared" si="43"/>
        <v>#DIV/0!</v>
      </c>
      <c r="L180" s="462">
        <f t="shared" si="44"/>
        <v>1122746.8500000001</v>
      </c>
      <c r="M180" s="462">
        <f>M181</f>
        <v>1122746.8500000001</v>
      </c>
      <c r="N180" s="178">
        <f t="shared" si="42"/>
        <v>0</v>
      </c>
    </row>
    <row r="181" spans="1:14" ht="34" outlineLevel="7" x14ac:dyDescent="0.3">
      <c r="A181" s="233" t="s">
        <v>132</v>
      </c>
      <c r="B181" s="392" t="s">
        <v>455</v>
      </c>
      <c r="C181" s="397" t="s">
        <v>122</v>
      </c>
      <c r="D181" s="397" t="s">
        <v>127</v>
      </c>
      <c r="E181" s="397" t="s">
        <v>6</v>
      </c>
      <c r="F181" s="473">
        <f>F183</f>
        <v>0</v>
      </c>
      <c r="G181" s="465">
        <f>G183</f>
        <v>0</v>
      </c>
      <c r="H181" s="460">
        <v>0</v>
      </c>
      <c r="I181" s="465">
        <f>I183</f>
        <v>0</v>
      </c>
      <c r="J181" s="465">
        <f>J183</f>
        <v>1122746.8500000001</v>
      </c>
      <c r="K181" s="462" t="e">
        <f t="shared" si="43"/>
        <v>#DIV/0!</v>
      </c>
      <c r="L181" s="462">
        <f t="shared" si="44"/>
        <v>1122746.8500000001</v>
      </c>
      <c r="M181" s="465">
        <f>M183</f>
        <v>1122746.8500000001</v>
      </c>
      <c r="N181" s="178">
        <f t="shared" si="42"/>
        <v>0</v>
      </c>
    </row>
    <row r="182" spans="1:14" s="224" customFormat="1" ht="34" outlineLevel="7" x14ac:dyDescent="0.3">
      <c r="A182" s="189" t="s">
        <v>269</v>
      </c>
      <c r="B182" s="392" t="s">
        <v>455</v>
      </c>
      <c r="C182" s="392" t="s">
        <v>122</v>
      </c>
      <c r="D182" s="392" t="s">
        <v>268</v>
      </c>
      <c r="E182" s="392" t="s">
        <v>6</v>
      </c>
      <c r="F182" s="471">
        <f t="shared" ref="F182:J184" si="55">F183</f>
        <v>0</v>
      </c>
      <c r="G182" s="462">
        <f t="shared" si="55"/>
        <v>0</v>
      </c>
      <c r="H182" s="460">
        <v>0</v>
      </c>
      <c r="I182" s="462">
        <f t="shared" si="55"/>
        <v>0</v>
      </c>
      <c r="J182" s="462">
        <f t="shared" si="55"/>
        <v>1122746.8500000001</v>
      </c>
      <c r="K182" s="462" t="e">
        <f t="shared" si="43"/>
        <v>#DIV/0!</v>
      </c>
      <c r="L182" s="462">
        <f t="shared" si="44"/>
        <v>1122746.8500000001</v>
      </c>
      <c r="M182" s="462">
        <f t="shared" ref="M182:M184" si="56">M183</f>
        <v>1122746.8500000001</v>
      </c>
      <c r="N182" s="178">
        <f t="shared" si="42"/>
        <v>0</v>
      </c>
    </row>
    <row r="183" spans="1:14" ht="64.2" customHeight="1" outlineLevel="7" x14ac:dyDescent="0.3">
      <c r="A183" s="202" t="s">
        <v>933</v>
      </c>
      <c r="B183" s="392" t="s">
        <v>455</v>
      </c>
      <c r="C183" s="392" t="s">
        <v>122</v>
      </c>
      <c r="D183" s="392" t="s">
        <v>278</v>
      </c>
      <c r="E183" s="392" t="s">
        <v>6</v>
      </c>
      <c r="F183" s="471">
        <f t="shared" si="55"/>
        <v>0</v>
      </c>
      <c r="G183" s="462">
        <f t="shared" si="55"/>
        <v>0</v>
      </c>
      <c r="H183" s="460">
        <v>0</v>
      </c>
      <c r="I183" s="462">
        <f t="shared" si="55"/>
        <v>0</v>
      </c>
      <c r="J183" s="462">
        <f t="shared" si="55"/>
        <v>1122746.8500000001</v>
      </c>
      <c r="K183" s="462" t="e">
        <f t="shared" si="43"/>
        <v>#DIV/0!</v>
      </c>
      <c r="L183" s="462">
        <f t="shared" si="44"/>
        <v>1122746.8500000001</v>
      </c>
      <c r="M183" s="462">
        <f t="shared" si="56"/>
        <v>1122746.8500000001</v>
      </c>
      <c r="N183" s="178">
        <f t="shared" si="42"/>
        <v>0</v>
      </c>
    </row>
    <row r="184" spans="1:14" ht="34" outlineLevel="7" x14ac:dyDescent="0.3">
      <c r="A184" s="189" t="s">
        <v>15</v>
      </c>
      <c r="B184" s="392" t="s">
        <v>455</v>
      </c>
      <c r="C184" s="392" t="s">
        <v>122</v>
      </c>
      <c r="D184" s="392" t="s">
        <v>278</v>
      </c>
      <c r="E184" s="392" t="s">
        <v>16</v>
      </c>
      <c r="F184" s="471">
        <f t="shared" si="55"/>
        <v>0</v>
      </c>
      <c r="G184" s="462">
        <f t="shared" si="55"/>
        <v>0</v>
      </c>
      <c r="H184" s="460">
        <v>0</v>
      </c>
      <c r="I184" s="462">
        <f t="shared" si="55"/>
        <v>0</v>
      </c>
      <c r="J184" s="462">
        <f t="shared" si="55"/>
        <v>1122746.8500000001</v>
      </c>
      <c r="K184" s="462" t="e">
        <f t="shared" si="43"/>
        <v>#DIV/0!</v>
      </c>
      <c r="L184" s="462">
        <f t="shared" si="44"/>
        <v>1122746.8500000001</v>
      </c>
      <c r="M184" s="462">
        <f t="shared" si="56"/>
        <v>1122746.8500000001</v>
      </c>
      <c r="N184" s="178">
        <f t="shared" si="42"/>
        <v>0</v>
      </c>
    </row>
    <row r="185" spans="1:14" ht="50.95" outlineLevel="7" x14ac:dyDescent="0.3">
      <c r="A185" s="189" t="s">
        <v>17</v>
      </c>
      <c r="B185" s="392" t="s">
        <v>455</v>
      </c>
      <c r="C185" s="392" t="s">
        <v>122</v>
      </c>
      <c r="D185" s="392" t="s">
        <v>278</v>
      </c>
      <c r="E185" s="392" t="s">
        <v>18</v>
      </c>
      <c r="F185" s="475">
        <v>0</v>
      </c>
      <c r="G185" s="462">
        <v>0</v>
      </c>
      <c r="H185" s="460">
        <v>0</v>
      </c>
      <c r="I185" s="462">
        <v>0</v>
      </c>
      <c r="J185" s="449">
        <v>1122746.8500000001</v>
      </c>
      <c r="K185" s="462" t="e">
        <f t="shared" si="43"/>
        <v>#DIV/0!</v>
      </c>
      <c r="L185" s="462">
        <f t="shared" si="44"/>
        <v>1122746.8500000001</v>
      </c>
      <c r="M185" s="449">
        <v>1122746.8500000001</v>
      </c>
      <c r="N185" s="178">
        <f t="shared" si="42"/>
        <v>0</v>
      </c>
    </row>
    <row r="186" spans="1:14" outlineLevel="7" x14ac:dyDescent="0.3">
      <c r="A186" s="189" t="s">
        <v>282</v>
      </c>
      <c r="B186" s="392" t="s">
        <v>455</v>
      </c>
      <c r="C186" s="392" t="s">
        <v>283</v>
      </c>
      <c r="D186" s="392" t="s">
        <v>126</v>
      </c>
      <c r="E186" s="392" t="s">
        <v>6</v>
      </c>
      <c r="F186" s="462">
        <f>F187+F192</f>
        <v>0</v>
      </c>
      <c r="G186" s="462">
        <f>G187+G192</f>
        <v>1485000</v>
      </c>
      <c r="H186" s="460">
        <v>530832.76</v>
      </c>
      <c r="I186" s="462">
        <f>I187+I192</f>
        <v>100000</v>
      </c>
      <c r="J186" s="462">
        <f>J187+J192</f>
        <v>3787387.08</v>
      </c>
      <c r="K186" s="462">
        <f t="shared" si="43"/>
        <v>255.04290101010102</v>
      </c>
      <c r="L186" s="462">
        <f t="shared" si="44"/>
        <v>2302387.08</v>
      </c>
      <c r="M186" s="462">
        <f>M187+M192</f>
        <v>4461018.45</v>
      </c>
      <c r="N186" s="178">
        <f t="shared" si="42"/>
        <v>673631.37000000011</v>
      </c>
    </row>
    <row r="187" spans="1:14" ht="34" outlineLevel="7" x14ac:dyDescent="0.3">
      <c r="A187" s="189" t="s">
        <v>132</v>
      </c>
      <c r="B187" s="392" t="s">
        <v>455</v>
      </c>
      <c r="C187" s="392" t="s">
        <v>283</v>
      </c>
      <c r="D187" s="392" t="s">
        <v>127</v>
      </c>
      <c r="E187" s="392" t="s">
        <v>6</v>
      </c>
      <c r="F187" s="471">
        <f>F188</f>
        <v>0</v>
      </c>
      <c r="G187" s="462">
        <f>G189</f>
        <v>0</v>
      </c>
      <c r="H187" s="460">
        <v>530832.76</v>
      </c>
      <c r="I187" s="462">
        <f>I189</f>
        <v>0</v>
      </c>
      <c r="J187" s="462">
        <f>J189</f>
        <v>3387.08</v>
      </c>
      <c r="K187" s="462" t="e">
        <f t="shared" si="43"/>
        <v>#DIV/0!</v>
      </c>
      <c r="L187" s="462">
        <f t="shared" si="44"/>
        <v>3387.08</v>
      </c>
      <c r="M187" s="462">
        <f>M189</f>
        <v>3387.08</v>
      </c>
      <c r="N187" s="178">
        <f t="shared" si="42"/>
        <v>0</v>
      </c>
    </row>
    <row r="188" spans="1:14" ht="20.25" customHeight="1" outlineLevel="7" x14ac:dyDescent="0.3">
      <c r="A188" s="189" t="s">
        <v>269</v>
      </c>
      <c r="B188" s="392" t="s">
        <v>455</v>
      </c>
      <c r="C188" s="392" t="s">
        <v>283</v>
      </c>
      <c r="D188" s="392" t="s">
        <v>268</v>
      </c>
      <c r="E188" s="392" t="s">
        <v>6</v>
      </c>
      <c r="F188" s="471">
        <f>F190</f>
        <v>0</v>
      </c>
      <c r="G188" s="462">
        <f t="shared" ref="G188:J190" si="57">G189</f>
        <v>0</v>
      </c>
      <c r="H188" s="460">
        <v>530832.76</v>
      </c>
      <c r="I188" s="462">
        <f t="shared" si="57"/>
        <v>0</v>
      </c>
      <c r="J188" s="462">
        <f t="shared" si="57"/>
        <v>3387.08</v>
      </c>
      <c r="K188" s="462" t="e">
        <f t="shared" si="43"/>
        <v>#DIV/0!</v>
      </c>
      <c r="L188" s="462">
        <f t="shared" si="44"/>
        <v>3387.08</v>
      </c>
      <c r="M188" s="462">
        <f t="shared" ref="M188:M190" si="58">M189</f>
        <v>3387.08</v>
      </c>
      <c r="N188" s="178">
        <f t="shared" si="42"/>
        <v>0</v>
      </c>
    </row>
    <row r="189" spans="1:14" ht="72" customHeight="1" outlineLevel="7" x14ac:dyDescent="0.3">
      <c r="A189" s="185" t="s">
        <v>940</v>
      </c>
      <c r="B189" s="392" t="s">
        <v>455</v>
      </c>
      <c r="C189" s="392" t="s">
        <v>283</v>
      </c>
      <c r="D189" s="392" t="s">
        <v>364</v>
      </c>
      <c r="E189" s="392" t="s">
        <v>6</v>
      </c>
      <c r="F189" s="471">
        <f t="shared" ref="F189:F191" si="59">F190</f>
        <v>0</v>
      </c>
      <c r="G189" s="462">
        <f t="shared" si="57"/>
        <v>0</v>
      </c>
      <c r="H189" s="460">
        <v>0</v>
      </c>
      <c r="I189" s="462">
        <f t="shared" si="57"/>
        <v>0</v>
      </c>
      <c r="J189" s="462">
        <f t="shared" si="57"/>
        <v>3387.08</v>
      </c>
      <c r="K189" s="462" t="e">
        <f t="shared" si="43"/>
        <v>#DIV/0!</v>
      </c>
      <c r="L189" s="462">
        <f t="shared" si="44"/>
        <v>3387.08</v>
      </c>
      <c r="M189" s="462">
        <f t="shared" si="58"/>
        <v>3387.08</v>
      </c>
      <c r="N189" s="178">
        <f t="shared" si="42"/>
        <v>0</v>
      </c>
    </row>
    <row r="190" spans="1:14" ht="34" outlineLevel="7" x14ac:dyDescent="0.3">
      <c r="A190" s="189" t="s">
        <v>15</v>
      </c>
      <c r="B190" s="392" t="s">
        <v>455</v>
      </c>
      <c r="C190" s="392" t="s">
        <v>283</v>
      </c>
      <c r="D190" s="392" t="s">
        <v>364</v>
      </c>
      <c r="E190" s="392" t="s">
        <v>16</v>
      </c>
      <c r="F190" s="471">
        <f t="shared" si="59"/>
        <v>0</v>
      </c>
      <c r="G190" s="462">
        <f t="shared" si="57"/>
        <v>0</v>
      </c>
      <c r="H190" s="460">
        <v>0</v>
      </c>
      <c r="I190" s="462">
        <f t="shared" si="57"/>
        <v>0</v>
      </c>
      <c r="J190" s="462">
        <f t="shared" si="57"/>
        <v>3387.08</v>
      </c>
      <c r="K190" s="462" t="e">
        <f t="shared" si="43"/>
        <v>#DIV/0!</v>
      </c>
      <c r="L190" s="462">
        <f t="shared" si="44"/>
        <v>3387.08</v>
      </c>
      <c r="M190" s="462">
        <f t="shared" si="58"/>
        <v>3387.08</v>
      </c>
      <c r="N190" s="178">
        <f t="shared" si="42"/>
        <v>0</v>
      </c>
    </row>
    <row r="191" spans="1:14" s="224" customFormat="1" ht="50.95" outlineLevel="7" x14ac:dyDescent="0.3">
      <c r="A191" s="189" t="s">
        <v>17</v>
      </c>
      <c r="B191" s="392" t="s">
        <v>455</v>
      </c>
      <c r="C191" s="392" t="s">
        <v>283</v>
      </c>
      <c r="D191" s="392" t="s">
        <v>364</v>
      </c>
      <c r="E191" s="392" t="s">
        <v>18</v>
      </c>
      <c r="F191" s="471">
        <f t="shared" si="59"/>
        <v>0</v>
      </c>
      <c r="G191" s="449"/>
      <c r="H191" s="460">
        <v>0</v>
      </c>
      <c r="I191" s="449">
        <v>0</v>
      </c>
      <c r="J191" s="524">
        <v>3387.08</v>
      </c>
      <c r="K191" s="462" t="e">
        <f t="shared" si="43"/>
        <v>#DIV/0!</v>
      </c>
      <c r="L191" s="462">
        <f t="shared" si="44"/>
        <v>3387.08</v>
      </c>
      <c r="M191" s="524">
        <v>3387.08</v>
      </c>
      <c r="N191" s="178">
        <f t="shared" si="42"/>
        <v>0</v>
      </c>
    </row>
    <row r="192" spans="1:14" s="224" customFormat="1" ht="67.95" outlineLevel="7" x14ac:dyDescent="0.3">
      <c r="A192" s="472" t="s">
        <v>716</v>
      </c>
      <c r="B192" s="392" t="s">
        <v>455</v>
      </c>
      <c r="C192" s="392" t="s">
        <v>283</v>
      </c>
      <c r="D192" s="392" t="s">
        <v>308</v>
      </c>
      <c r="E192" s="392" t="s">
        <v>6</v>
      </c>
      <c r="F192" s="475">
        <v>0</v>
      </c>
      <c r="G192" s="449">
        <f>G193</f>
        <v>1485000</v>
      </c>
      <c r="H192" s="460">
        <v>530832.76</v>
      </c>
      <c r="I192" s="449">
        <f>I193</f>
        <v>100000</v>
      </c>
      <c r="J192" s="449">
        <f>J193</f>
        <v>3784000</v>
      </c>
      <c r="K192" s="462">
        <f t="shared" si="43"/>
        <v>254.81481481481484</v>
      </c>
      <c r="L192" s="462">
        <f t="shared" si="44"/>
        <v>2299000</v>
      </c>
      <c r="M192" s="449">
        <f>M193</f>
        <v>4457631.37</v>
      </c>
      <c r="N192" s="178">
        <f t="shared" si="42"/>
        <v>673631.37000000011</v>
      </c>
    </row>
    <row r="193" spans="1:14" s="224" customFormat="1" ht="38.9" customHeight="1" outlineLevel="7" x14ac:dyDescent="0.3">
      <c r="A193" s="312" t="s">
        <v>711</v>
      </c>
      <c r="B193" s="392" t="s">
        <v>455</v>
      </c>
      <c r="C193" s="392" t="s">
        <v>283</v>
      </c>
      <c r="D193" s="392" t="s">
        <v>712</v>
      </c>
      <c r="E193" s="392" t="s">
        <v>6</v>
      </c>
      <c r="F193" s="462" t="s">
        <v>838</v>
      </c>
      <c r="G193" s="449">
        <f>G194+G200</f>
        <v>1485000</v>
      </c>
      <c r="H193" s="460">
        <v>530832.76</v>
      </c>
      <c r="I193" s="449">
        <f>I194+I200</f>
        <v>100000</v>
      </c>
      <c r="J193" s="449">
        <f>J194+J200</f>
        <v>3784000</v>
      </c>
      <c r="K193" s="462">
        <f t="shared" si="43"/>
        <v>254.81481481481484</v>
      </c>
      <c r="L193" s="462">
        <f t="shared" si="44"/>
        <v>2299000</v>
      </c>
      <c r="M193" s="449">
        <f>M194+M200+M197</f>
        <v>4457631.37</v>
      </c>
      <c r="N193" s="178">
        <f t="shared" si="42"/>
        <v>673631.37000000011</v>
      </c>
    </row>
    <row r="194" spans="1:14" s="224" customFormat="1" ht="56.4" customHeight="1" outlineLevel="7" x14ac:dyDescent="0.3">
      <c r="A194" s="567" t="s">
        <v>1122</v>
      </c>
      <c r="B194" s="551" t="s">
        <v>455</v>
      </c>
      <c r="C194" s="551" t="s">
        <v>283</v>
      </c>
      <c r="D194" s="568">
        <v>1696192410</v>
      </c>
      <c r="E194" s="551" t="s">
        <v>6</v>
      </c>
      <c r="F194" s="554" t="s">
        <v>838</v>
      </c>
      <c r="G194" s="555">
        <f t="shared" ref="G194:J195" si="60">G195</f>
        <v>0</v>
      </c>
      <c r="H194" s="569">
        <v>0</v>
      </c>
      <c r="I194" s="555">
        <f t="shared" si="60"/>
        <v>100000</v>
      </c>
      <c r="J194" s="555">
        <f t="shared" si="60"/>
        <v>0</v>
      </c>
      <c r="K194" s="554" t="e">
        <f t="shared" si="43"/>
        <v>#DIV/0!</v>
      </c>
      <c r="L194" s="554">
        <f t="shared" si="44"/>
        <v>0</v>
      </c>
      <c r="M194" s="555">
        <f t="shared" ref="M194:M195" si="61">M195</f>
        <v>3027055.06</v>
      </c>
      <c r="N194" s="556">
        <f t="shared" si="42"/>
        <v>3027055.06</v>
      </c>
    </row>
    <row r="195" spans="1:14" s="224" customFormat="1" ht="42.8" customHeight="1" outlineLevel="7" x14ac:dyDescent="0.3">
      <c r="A195" s="557" t="s">
        <v>15</v>
      </c>
      <c r="B195" s="551" t="s">
        <v>455</v>
      </c>
      <c r="C195" s="551" t="s">
        <v>283</v>
      </c>
      <c r="D195" s="568">
        <v>1696192410</v>
      </c>
      <c r="E195" s="551" t="s">
        <v>16</v>
      </c>
      <c r="F195" s="554" t="s">
        <v>838</v>
      </c>
      <c r="G195" s="555">
        <f t="shared" si="60"/>
        <v>0</v>
      </c>
      <c r="H195" s="570">
        <v>0</v>
      </c>
      <c r="I195" s="555">
        <f t="shared" si="60"/>
        <v>100000</v>
      </c>
      <c r="J195" s="555">
        <f t="shared" si="60"/>
        <v>0</v>
      </c>
      <c r="K195" s="554" t="e">
        <f t="shared" si="43"/>
        <v>#DIV/0!</v>
      </c>
      <c r="L195" s="554">
        <f t="shared" si="44"/>
        <v>0</v>
      </c>
      <c r="M195" s="555">
        <f t="shared" si="61"/>
        <v>3027055.06</v>
      </c>
      <c r="N195" s="556">
        <f t="shared" si="42"/>
        <v>3027055.06</v>
      </c>
    </row>
    <row r="196" spans="1:14" s="224" customFormat="1" ht="55.2" customHeight="1" outlineLevel="7" x14ac:dyDescent="0.3">
      <c r="A196" s="557" t="s">
        <v>17</v>
      </c>
      <c r="B196" s="551" t="s">
        <v>455</v>
      </c>
      <c r="C196" s="551" t="s">
        <v>283</v>
      </c>
      <c r="D196" s="571">
        <v>1696192410</v>
      </c>
      <c r="E196" s="551" t="s">
        <v>18</v>
      </c>
      <c r="F196" s="554" t="s">
        <v>838</v>
      </c>
      <c r="G196" s="555">
        <f>'потребность 2023 (5)'!K200+1385000-1485000</f>
        <v>0</v>
      </c>
      <c r="H196" s="570">
        <v>0</v>
      </c>
      <c r="I196" s="555">
        <v>100000</v>
      </c>
      <c r="J196" s="572"/>
      <c r="K196" s="554" t="e">
        <f t="shared" si="43"/>
        <v>#DIV/0!</v>
      </c>
      <c r="L196" s="554">
        <f t="shared" si="44"/>
        <v>0</v>
      </c>
      <c r="M196" s="572">
        <v>3027055.06</v>
      </c>
      <c r="N196" s="556">
        <f t="shared" si="42"/>
        <v>3027055.06</v>
      </c>
    </row>
    <row r="197" spans="1:14" s="224" customFormat="1" ht="81.7" customHeight="1" outlineLevel="7" x14ac:dyDescent="0.3">
      <c r="A197" s="559" t="s">
        <v>1123</v>
      </c>
      <c r="B197" s="551" t="s">
        <v>455</v>
      </c>
      <c r="C197" s="551" t="s">
        <v>283</v>
      </c>
      <c r="D197" s="571" t="s">
        <v>1124</v>
      </c>
      <c r="E197" s="551" t="s">
        <v>6</v>
      </c>
      <c r="F197" s="554"/>
      <c r="G197" s="555"/>
      <c r="H197" s="570"/>
      <c r="I197" s="555"/>
      <c r="J197" s="572"/>
      <c r="K197" s="554"/>
      <c r="L197" s="554"/>
      <c r="M197" s="555">
        <f>M198</f>
        <v>30576.31</v>
      </c>
      <c r="N197" s="556"/>
    </row>
    <row r="198" spans="1:14" s="224" customFormat="1" ht="35.5" customHeight="1" outlineLevel="7" x14ac:dyDescent="0.3">
      <c r="A198" s="557" t="s">
        <v>15</v>
      </c>
      <c r="B198" s="551" t="s">
        <v>455</v>
      </c>
      <c r="C198" s="551" t="s">
        <v>283</v>
      </c>
      <c r="D198" s="571" t="s">
        <v>1124</v>
      </c>
      <c r="E198" s="551" t="s">
        <v>16</v>
      </c>
      <c r="F198" s="554"/>
      <c r="G198" s="555"/>
      <c r="H198" s="570"/>
      <c r="I198" s="555"/>
      <c r="J198" s="572"/>
      <c r="K198" s="554"/>
      <c r="L198" s="554"/>
      <c r="M198" s="555">
        <f>M199</f>
        <v>30576.31</v>
      </c>
      <c r="N198" s="556"/>
    </row>
    <row r="199" spans="1:14" s="224" customFormat="1" ht="30.6" customHeight="1" outlineLevel="7" x14ac:dyDescent="0.3">
      <c r="A199" s="557" t="s">
        <v>17</v>
      </c>
      <c r="B199" s="551" t="s">
        <v>455</v>
      </c>
      <c r="C199" s="551" t="s">
        <v>283</v>
      </c>
      <c r="D199" s="571" t="s">
        <v>1124</v>
      </c>
      <c r="E199" s="551" t="s">
        <v>18</v>
      </c>
      <c r="F199" s="554"/>
      <c r="G199" s="555"/>
      <c r="H199" s="570"/>
      <c r="I199" s="555"/>
      <c r="J199" s="572"/>
      <c r="K199" s="554"/>
      <c r="L199" s="554"/>
      <c r="M199" s="555">
        <f>ROUND(M196/99*1,2)</f>
        <v>30576.31</v>
      </c>
      <c r="N199" s="556"/>
    </row>
    <row r="200" spans="1:14" s="224" customFormat="1" ht="40.75" customHeight="1" outlineLevel="7" x14ac:dyDescent="0.3">
      <c r="A200" s="189" t="s">
        <v>1085</v>
      </c>
      <c r="B200" s="392" t="s">
        <v>455</v>
      </c>
      <c r="C200" s="392" t="s">
        <v>283</v>
      </c>
      <c r="D200" s="392" t="s">
        <v>1086</v>
      </c>
      <c r="E200" s="392" t="s">
        <v>6</v>
      </c>
      <c r="F200" s="462" t="s">
        <v>838</v>
      </c>
      <c r="G200" s="449">
        <f t="shared" ref="G200:J201" si="62">G201</f>
        <v>1485000</v>
      </c>
      <c r="H200" s="460">
        <f>H201</f>
        <v>530832.76</v>
      </c>
      <c r="I200" s="449">
        <f t="shared" si="62"/>
        <v>0</v>
      </c>
      <c r="J200" s="449">
        <f t="shared" si="62"/>
        <v>3784000</v>
      </c>
      <c r="K200" s="462">
        <f t="shared" si="43"/>
        <v>254.81481481481484</v>
      </c>
      <c r="L200" s="462">
        <f t="shared" si="44"/>
        <v>2299000</v>
      </c>
      <c r="M200" s="449">
        <f t="shared" ref="M200:M201" si="63">M201</f>
        <v>1400000</v>
      </c>
      <c r="N200" s="178">
        <f t="shared" si="42"/>
        <v>-2384000</v>
      </c>
    </row>
    <row r="201" spans="1:14" s="224" customFormat="1" ht="33.450000000000003" customHeight="1" outlineLevel="7" x14ac:dyDescent="0.3">
      <c r="A201" s="189" t="s">
        <v>15</v>
      </c>
      <c r="B201" s="392" t="s">
        <v>455</v>
      </c>
      <c r="C201" s="392" t="s">
        <v>283</v>
      </c>
      <c r="D201" s="392" t="s">
        <v>1086</v>
      </c>
      <c r="E201" s="392" t="s">
        <v>16</v>
      </c>
      <c r="F201" s="462" t="s">
        <v>838</v>
      </c>
      <c r="G201" s="449">
        <f t="shared" si="62"/>
        <v>1485000</v>
      </c>
      <c r="H201" s="460">
        <f>H202</f>
        <v>530832.76</v>
      </c>
      <c r="I201" s="449">
        <f t="shared" si="62"/>
        <v>0</v>
      </c>
      <c r="J201" s="449">
        <f t="shared" si="62"/>
        <v>3784000</v>
      </c>
      <c r="K201" s="462">
        <f t="shared" si="43"/>
        <v>254.81481481481484</v>
      </c>
      <c r="L201" s="462">
        <f t="shared" si="44"/>
        <v>2299000</v>
      </c>
      <c r="M201" s="449">
        <f t="shared" si="63"/>
        <v>1400000</v>
      </c>
      <c r="N201" s="178">
        <f t="shared" ref="N201:N264" si="64">M201-J201</f>
        <v>-2384000</v>
      </c>
    </row>
    <row r="202" spans="1:14" s="224" customFormat="1" ht="34" customHeight="1" outlineLevel="7" x14ac:dyDescent="0.3">
      <c r="A202" s="189" t="s">
        <v>17</v>
      </c>
      <c r="B202" s="392" t="s">
        <v>455</v>
      </c>
      <c r="C202" s="392" t="s">
        <v>283</v>
      </c>
      <c r="D202" s="392" t="s">
        <v>1086</v>
      </c>
      <c r="E202" s="392" t="s">
        <v>18</v>
      </c>
      <c r="F202" s="462" t="s">
        <v>838</v>
      </c>
      <c r="G202" s="449">
        <v>1485000</v>
      </c>
      <c r="H202" s="460">
        <v>530832.76</v>
      </c>
      <c r="I202" s="449"/>
      <c r="J202" s="467">
        <v>3784000</v>
      </c>
      <c r="K202" s="462">
        <f t="shared" ref="K202:K265" si="65">J202/G202*100</f>
        <v>254.81481481481484</v>
      </c>
      <c r="L202" s="462">
        <f t="shared" ref="L202:L265" si="66">J202-G202</f>
        <v>2299000</v>
      </c>
      <c r="M202" s="467">
        <f>3784000-2384000</f>
        <v>1400000</v>
      </c>
      <c r="N202" s="178">
        <f t="shared" si="64"/>
        <v>-2384000</v>
      </c>
    </row>
    <row r="203" spans="1:14" ht="27.7" customHeight="1" outlineLevel="7" x14ac:dyDescent="0.3">
      <c r="A203" s="189" t="s">
        <v>49</v>
      </c>
      <c r="B203" s="392" t="s">
        <v>455</v>
      </c>
      <c r="C203" s="392" t="s">
        <v>50</v>
      </c>
      <c r="D203" s="392" t="s">
        <v>126</v>
      </c>
      <c r="E203" s="392" t="s">
        <v>6</v>
      </c>
      <c r="F203" s="462">
        <f t="shared" ref="F203:J204" si="67">F204</f>
        <v>20668216.140000001</v>
      </c>
      <c r="G203" s="462">
        <f t="shared" si="67"/>
        <v>21116279.5</v>
      </c>
      <c r="H203" s="460">
        <v>9700153.5099999998</v>
      </c>
      <c r="I203" s="462">
        <f t="shared" si="67"/>
        <v>14066000</v>
      </c>
      <c r="J203" s="462">
        <f t="shared" si="67"/>
        <v>14000000</v>
      </c>
      <c r="K203" s="462">
        <f t="shared" si="65"/>
        <v>66.299558120548653</v>
      </c>
      <c r="L203" s="462">
        <f t="shared" si="66"/>
        <v>-7116279.5</v>
      </c>
      <c r="M203" s="462">
        <f t="shared" ref="M203:M204" si="68">M204</f>
        <v>14000000</v>
      </c>
      <c r="N203" s="178">
        <f t="shared" si="64"/>
        <v>0</v>
      </c>
    </row>
    <row r="204" spans="1:14" ht="84.9" outlineLevel="7" x14ac:dyDescent="0.3">
      <c r="A204" s="233" t="s">
        <v>1023</v>
      </c>
      <c r="B204" s="397" t="s">
        <v>455</v>
      </c>
      <c r="C204" s="397" t="s">
        <v>50</v>
      </c>
      <c r="D204" s="397" t="s">
        <v>322</v>
      </c>
      <c r="E204" s="397" t="s">
        <v>6</v>
      </c>
      <c r="F204" s="465">
        <f t="shared" si="67"/>
        <v>20668216.140000001</v>
      </c>
      <c r="G204" s="465">
        <f t="shared" si="67"/>
        <v>21116279.5</v>
      </c>
      <c r="H204" s="460">
        <v>9700153.5099999998</v>
      </c>
      <c r="I204" s="465">
        <f t="shared" si="67"/>
        <v>14066000</v>
      </c>
      <c r="J204" s="465">
        <f t="shared" si="67"/>
        <v>14000000</v>
      </c>
      <c r="K204" s="462">
        <f t="shared" si="65"/>
        <v>66.299558120548653</v>
      </c>
      <c r="L204" s="462">
        <f t="shared" si="66"/>
        <v>-7116279.5</v>
      </c>
      <c r="M204" s="465">
        <f t="shared" si="68"/>
        <v>14000000</v>
      </c>
      <c r="N204" s="178">
        <f t="shared" si="64"/>
        <v>0</v>
      </c>
    </row>
    <row r="205" spans="1:14" ht="40.75" customHeight="1" outlineLevel="7" x14ac:dyDescent="0.3">
      <c r="A205" s="189" t="s">
        <v>323</v>
      </c>
      <c r="B205" s="392" t="s">
        <v>455</v>
      </c>
      <c r="C205" s="392" t="s">
        <v>50</v>
      </c>
      <c r="D205" s="392" t="s">
        <v>324</v>
      </c>
      <c r="E205" s="392" t="s">
        <v>6</v>
      </c>
      <c r="F205" s="462">
        <f>F206+F212+F209</f>
        <v>20668216.140000001</v>
      </c>
      <c r="G205" s="462">
        <f>G206+G212+G209</f>
        <v>21116279.5</v>
      </c>
      <c r="H205" s="460">
        <v>9700153.5099999998</v>
      </c>
      <c r="I205" s="462">
        <f>I206+I212+I209</f>
        <v>14066000</v>
      </c>
      <c r="J205" s="462">
        <f>J206+J212+J209</f>
        <v>14000000</v>
      </c>
      <c r="K205" s="462">
        <f t="shared" si="65"/>
        <v>66.299558120548653</v>
      </c>
      <c r="L205" s="462">
        <f t="shared" si="66"/>
        <v>-7116279.5</v>
      </c>
      <c r="M205" s="462">
        <f>M206+M212+M209</f>
        <v>14000000</v>
      </c>
      <c r="N205" s="178">
        <f t="shared" si="64"/>
        <v>0</v>
      </c>
    </row>
    <row r="206" spans="1:14" ht="67.95" outlineLevel="7" x14ac:dyDescent="0.3">
      <c r="A206" s="189" t="s">
        <v>717</v>
      </c>
      <c r="B206" s="392" t="s">
        <v>455</v>
      </c>
      <c r="C206" s="392" t="s">
        <v>50</v>
      </c>
      <c r="D206" s="392" t="s">
        <v>326</v>
      </c>
      <c r="E206" s="392" t="s">
        <v>6</v>
      </c>
      <c r="F206" s="462">
        <f t="shared" ref="F206:J207" si="69">F207</f>
        <v>20668216.140000001</v>
      </c>
      <c r="G206" s="462">
        <f t="shared" si="69"/>
        <v>20807001.149999999</v>
      </c>
      <c r="H206" s="460">
        <v>9700153.5099999998</v>
      </c>
      <c r="I206" s="462">
        <f t="shared" si="69"/>
        <v>14066000</v>
      </c>
      <c r="J206" s="462">
        <f t="shared" si="69"/>
        <v>14000000</v>
      </c>
      <c r="K206" s="462">
        <f t="shared" si="65"/>
        <v>67.285044582217466</v>
      </c>
      <c r="L206" s="462">
        <f t="shared" si="66"/>
        <v>-6807001.1499999985</v>
      </c>
      <c r="M206" s="462">
        <f t="shared" ref="M206:M207" si="70">M207</f>
        <v>14000000</v>
      </c>
      <c r="N206" s="178">
        <f t="shared" si="64"/>
        <v>0</v>
      </c>
    </row>
    <row r="207" spans="1:14" s="224" customFormat="1" ht="34" outlineLevel="7" x14ac:dyDescent="0.3">
      <c r="A207" s="189" t="s">
        <v>15</v>
      </c>
      <c r="B207" s="392" t="s">
        <v>455</v>
      </c>
      <c r="C207" s="392" t="s">
        <v>50</v>
      </c>
      <c r="D207" s="392" t="s">
        <v>326</v>
      </c>
      <c r="E207" s="392" t="s">
        <v>16</v>
      </c>
      <c r="F207" s="462">
        <f t="shared" si="69"/>
        <v>20668216.140000001</v>
      </c>
      <c r="G207" s="462">
        <f t="shared" si="69"/>
        <v>20807001.149999999</v>
      </c>
      <c r="H207" s="460">
        <v>9700153.5099999998</v>
      </c>
      <c r="I207" s="462">
        <f t="shared" si="69"/>
        <v>14066000</v>
      </c>
      <c r="J207" s="462">
        <f t="shared" si="69"/>
        <v>14000000</v>
      </c>
      <c r="K207" s="462">
        <f t="shared" si="65"/>
        <v>67.285044582217466</v>
      </c>
      <c r="L207" s="462">
        <f t="shared" si="66"/>
        <v>-6807001.1499999985</v>
      </c>
      <c r="M207" s="462">
        <f t="shared" si="70"/>
        <v>14000000</v>
      </c>
      <c r="N207" s="178">
        <f t="shared" si="64"/>
        <v>0</v>
      </c>
    </row>
    <row r="208" spans="1:14" ht="67.95" customHeight="1" outlineLevel="7" x14ac:dyDescent="0.3">
      <c r="A208" s="189" t="s">
        <v>17</v>
      </c>
      <c r="B208" s="392" t="s">
        <v>455</v>
      </c>
      <c r="C208" s="392" t="s">
        <v>50</v>
      </c>
      <c r="D208" s="392" t="s">
        <v>326</v>
      </c>
      <c r="E208" s="392" t="s">
        <v>18</v>
      </c>
      <c r="F208" s="475">
        <v>20668216.140000001</v>
      </c>
      <c r="G208" s="462">
        <f>'потребность 2023 (5)'!K206+1400000+6350001.15</f>
        <v>20807001.149999999</v>
      </c>
      <c r="H208" s="460">
        <v>9700153.5099999998</v>
      </c>
      <c r="I208" s="462">
        <v>14066000</v>
      </c>
      <c r="J208" s="449">
        <v>14000000</v>
      </c>
      <c r="K208" s="462">
        <f t="shared" si="65"/>
        <v>67.285044582217466</v>
      </c>
      <c r="L208" s="462">
        <f t="shared" si="66"/>
        <v>-6807001.1499999985</v>
      </c>
      <c r="M208" s="449">
        <v>14000000</v>
      </c>
      <c r="N208" s="178">
        <f t="shared" si="64"/>
        <v>0</v>
      </c>
    </row>
    <row r="209" spans="1:14" ht="37.4" customHeight="1" outlineLevel="7" x14ac:dyDescent="0.3">
      <c r="A209" s="202" t="s">
        <v>954</v>
      </c>
      <c r="B209" s="392" t="s">
        <v>455</v>
      </c>
      <c r="C209" s="392" t="s">
        <v>50</v>
      </c>
      <c r="D209" s="392" t="s">
        <v>530</v>
      </c>
      <c r="E209" s="392" t="s">
        <v>6</v>
      </c>
      <c r="F209" s="462" t="s">
        <v>838</v>
      </c>
      <c r="G209" s="462">
        <f t="shared" ref="G209:J210" si="71">G210</f>
        <v>0</v>
      </c>
      <c r="H209" s="460">
        <v>0</v>
      </c>
      <c r="I209" s="462">
        <f t="shared" si="71"/>
        <v>0</v>
      </c>
      <c r="J209" s="462">
        <f t="shared" si="71"/>
        <v>0</v>
      </c>
      <c r="K209" s="462" t="e">
        <f t="shared" si="65"/>
        <v>#DIV/0!</v>
      </c>
      <c r="L209" s="462">
        <f t="shared" si="66"/>
        <v>0</v>
      </c>
      <c r="M209" s="462">
        <f t="shared" ref="M209:M210" si="72">M210</f>
        <v>0</v>
      </c>
      <c r="N209" s="178">
        <f t="shared" si="64"/>
        <v>0</v>
      </c>
    </row>
    <row r="210" spans="1:14" ht="48.9" customHeight="1" outlineLevel="7" x14ac:dyDescent="0.3">
      <c r="A210" s="189" t="s">
        <v>15</v>
      </c>
      <c r="B210" s="392" t="s">
        <v>455</v>
      </c>
      <c r="C210" s="392" t="s">
        <v>50</v>
      </c>
      <c r="D210" s="392" t="s">
        <v>530</v>
      </c>
      <c r="E210" s="392" t="s">
        <v>16</v>
      </c>
      <c r="F210" s="462" t="s">
        <v>838</v>
      </c>
      <c r="G210" s="462">
        <f t="shared" si="71"/>
        <v>0</v>
      </c>
      <c r="H210" s="460">
        <v>0</v>
      </c>
      <c r="I210" s="462">
        <f t="shared" si="71"/>
        <v>0</v>
      </c>
      <c r="J210" s="462">
        <f t="shared" si="71"/>
        <v>0</v>
      </c>
      <c r="K210" s="462" t="e">
        <f t="shared" si="65"/>
        <v>#DIV/0!</v>
      </c>
      <c r="L210" s="462">
        <f t="shared" si="66"/>
        <v>0</v>
      </c>
      <c r="M210" s="462">
        <f t="shared" si="72"/>
        <v>0</v>
      </c>
      <c r="N210" s="178">
        <f t="shared" si="64"/>
        <v>0</v>
      </c>
    </row>
    <row r="211" spans="1:14" ht="40.75" customHeight="1" outlineLevel="7" x14ac:dyDescent="0.3">
      <c r="A211" s="189" t="s">
        <v>17</v>
      </c>
      <c r="B211" s="392" t="s">
        <v>455</v>
      </c>
      <c r="C211" s="392" t="s">
        <v>50</v>
      </c>
      <c r="D211" s="392" t="s">
        <v>530</v>
      </c>
      <c r="E211" s="392" t="s">
        <v>18</v>
      </c>
      <c r="F211" s="462" t="s">
        <v>838</v>
      </c>
      <c r="G211" s="462">
        <v>0</v>
      </c>
      <c r="H211" s="460">
        <v>0</v>
      </c>
      <c r="I211" s="462">
        <v>0</v>
      </c>
      <c r="J211" s="449"/>
      <c r="K211" s="462" t="e">
        <f t="shared" si="65"/>
        <v>#DIV/0!</v>
      </c>
      <c r="L211" s="462">
        <f t="shared" si="66"/>
        <v>0</v>
      </c>
      <c r="M211" s="449"/>
      <c r="N211" s="178">
        <f t="shared" si="64"/>
        <v>0</v>
      </c>
    </row>
    <row r="212" spans="1:14" ht="43.5" customHeight="1" outlineLevel="7" x14ac:dyDescent="0.3">
      <c r="A212" s="189" t="s">
        <v>272</v>
      </c>
      <c r="B212" s="392" t="s">
        <v>455</v>
      </c>
      <c r="C212" s="392" t="s">
        <v>50</v>
      </c>
      <c r="D212" s="392" t="s">
        <v>383</v>
      </c>
      <c r="E212" s="392" t="s">
        <v>6</v>
      </c>
      <c r="F212" s="462" t="s">
        <v>838</v>
      </c>
      <c r="G212" s="449">
        <f t="shared" ref="G212:J213" si="73">G213</f>
        <v>309278.34999999998</v>
      </c>
      <c r="H212" s="460">
        <v>0</v>
      </c>
      <c r="I212" s="449">
        <f t="shared" si="73"/>
        <v>0</v>
      </c>
      <c r="J212" s="449">
        <f t="shared" si="73"/>
        <v>0</v>
      </c>
      <c r="K212" s="462">
        <f t="shared" si="65"/>
        <v>0</v>
      </c>
      <c r="L212" s="462">
        <f t="shared" si="66"/>
        <v>-309278.34999999998</v>
      </c>
      <c r="M212" s="449">
        <f t="shared" ref="M212:M213" si="74">M213</f>
        <v>0</v>
      </c>
      <c r="N212" s="178">
        <f t="shared" si="64"/>
        <v>0</v>
      </c>
    </row>
    <row r="213" spans="1:14" ht="34" outlineLevel="7" x14ac:dyDescent="0.3">
      <c r="A213" s="189" t="s">
        <v>15</v>
      </c>
      <c r="B213" s="392" t="s">
        <v>455</v>
      </c>
      <c r="C213" s="392" t="s">
        <v>50</v>
      </c>
      <c r="D213" s="392" t="s">
        <v>383</v>
      </c>
      <c r="E213" s="392" t="s">
        <v>16</v>
      </c>
      <c r="F213" s="462" t="s">
        <v>838</v>
      </c>
      <c r="G213" s="449">
        <f t="shared" si="73"/>
        <v>309278.34999999998</v>
      </c>
      <c r="H213" s="460">
        <v>0</v>
      </c>
      <c r="I213" s="449">
        <f t="shared" si="73"/>
        <v>0</v>
      </c>
      <c r="J213" s="449">
        <f t="shared" si="73"/>
        <v>0</v>
      </c>
      <c r="K213" s="462">
        <f t="shared" si="65"/>
        <v>0</v>
      </c>
      <c r="L213" s="462">
        <f t="shared" si="66"/>
        <v>-309278.34999999998</v>
      </c>
      <c r="M213" s="449">
        <f t="shared" si="74"/>
        <v>0</v>
      </c>
      <c r="N213" s="178">
        <f t="shared" si="64"/>
        <v>0</v>
      </c>
    </row>
    <row r="214" spans="1:14" ht="50.95" outlineLevel="7" x14ac:dyDescent="0.3">
      <c r="A214" s="189" t="s">
        <v>17</v>
      </c>
      <c r="B214" s="392" t="s">
        <v>455</v>
      </c>
      <c r="C214" s="392" t="s">
        <v>50</v>
      </c>
      <c r="D214" s="392" t="s">
        <v>383</v>
      </c>
      <c r="E214" s="392" t="s">
        <v>18</v>
      </c>
      <c r="F214" s="462" t="s">
        <v>838</v>
      </c>
      <c r="G214" s="462">
        <v>309278.34999999998</v>
      </c>
      <c r="H214" s="460">
        <v>0</v>
      </c>
      <c r="I214" s="462">
        <v>0</v>
      </c>
      <c r="J214" s="449"/>
      <c r="K214" s="462">
        <f t="shared" si="65"/>
        <v>0</v>
      </c>
      <c r="L214" s="462">
        <f t="shared" si="66"/>
        <v>-309278.34999999998</v>
      </c>
      <c r="M214" s="449"/>
      <c r="N214" s="178">
        <f t="shared" si="64"/>
        <v>0</v>
      </c>
    </row>
    <row r="215" spans="1:14" ht="31.95" customHeight="1" outlineLevel="7" x14ac:dyDescent="0.3">
      <c r="A215" s="189" t="s">
        <v>52</v>
      </c>
      <c r="B215" s="392" t="s">
        <v>455</v>
      </c>
      <c r="C215" s="392" t="s">
        <v>53</v>
      </c>
      <c r="D215" s="392" t="s">
        <v>126</v>
      </c>
      <c r="E215" s="392" t="s">
        <v>6</v>
      </c>
      <c r="F215" s="462">
        <f>F216+F221</f>
        <v>3781181.28</v>
      </c>
      <c r="G215" s="462">
        <f>G216+G221</f>
        <v>935000</v>
      </c>
      <c r="H215" s="460">
        <v>161007.1</v>
      </c>
      <c r="I215" s="462">
        <f>I216+I221</f>
        <v>530000</v>
      </c>
      <c r="J215" s="462">
        <f>J216+J221</f>
        <v>1500000</v>
      </c>
      <c r="K215" s="462">
        <f t="shared" si="65"/>
        <v>160.42780748663102</v>
      </c>
      <c r="L215" s="462">
        <f t="shared" si="66"/>
        <v>565000</v>
      </c>
      <c r="M215" s="462">
        <f>M216+M221</f>
        <v>1225000</v>
      </c>
      <c r="N215" s="178">
        <f t="shared" si="64"/>
        <v>-275000</v>
      </c>
    </row>
    <row r="216" spans="1:14" ht="39.25" customHeight="1" outlineLevel="7" x14ac:dyDescent="0.3">
      <c r="A216" s="233" t="s">
        <v>1027</v>
      </c>
      <c r="B216" s="397" t="s">
        <v>455</v>
      </c>
      <c r="C216" s="397" t="s">
        <v>53</v>
      </c>
      <c r="D216" s="397" t="s">
        <v>385</v>
      </c>
      <c r="E216" s="397" t="s">
        <v>6</v>
      </c>
      <c r="F216" s="471">
        <f t="shared" ref="F216:J219" si="75">F217</f>
        <v>100000</v>
      </c>
      <c r="G216" s="462">
        <f t="shared" si="75"/>
        <v>100000</v>
      </c>
      <c r="H216" s="460">
        <v>0</v>
      </c>
      <c r="I216" s="462">
        <f t="shared" si="75"/>
        <v>100000</v>
      </c>
      <c r="J216" s="462">
        <f t="shared" si="75"/>
        <v>100000</v>
      </c>
      <c r="K216" s="462">
        <f t="shared" si="65"/>
        <v>100</v>
      </c>
      <c r="L216" s="462">
        <f t="shared" si="66"/>
        <v>0</v>
      </c>
      <c r="M216" s="462">
        <f t="shared" ref="M216:M219" si="76">M217</f>
        <v>100000</v>
      </c>
      <c r="N216" s="178">
        <f t="shared" si="64"/>
        <v>0</v>
      </c>
    </row>
    <row r="217" spans="1:14" ht="50.95" outlineLevel="7" x14ac:dyDescent="0.3">
      <c r="A217" s="189" t="s">
        <v>692</v>
      </c>
      <c r="B217" s="392" t="s">
        <v>455</v>
      </c>
      <c r="C217" s="392" t="s">
        <v>53</v>
      </c>
      <c r="D217" s="392" t="s">
        <v>387</v>
      </c>
      <c r="E217" s="392" t="s">
        <v>6</v>
      </c>
      <c r="F217" s="471">
        <f t="shared" si="75"/>
        <v>100000</v>
      </c>
      <c r="G217" s="462">
        <f t="shared" si="75"/>
        <v>100000</v>
      </c>
      <c r="H217" s="460">
        <v>0</v>
      </c>
      <c r="I217" s="462">
        <f t="shared" si="75"/>
        <v>100000</v>
      </c>
      <c r="J217" s="462">
        <f t="shared" si="75"/>
        <v>100000</v>
      </c>
      <c r="K217" s="462">
        <f t="shared" si="65"/>
        <v>100</v>
      </c>
      <c r="L217" s="462">
        <f t="shared" si="66"/>
        <v>0</v>
      </c>
      <c r="M217" s="462">
        <f t="shared" si="76"/>
        <v>100000</v>
      </c>
      <c r="N217" s="178">
        <f t="shared" si="64"/>
        <v>0</v>
      </c>
    </row>
    <row r="218" spans="1:14" ht="66.599999999999994" customHeight="1" outlineLevel="7" x14ac:dyDescent="0.3">
      <c r="A218" s="189" t="s">
        <v>693</v>
      </c>
      <c r="B218" s="392" t="s">
        <v>455</v>
      </c>
      <c r="C218" s="392" t="s">
        <v>53</v>
      </c>
      <c r="D218" s="392" t="s">
        <v>694</v>
      </c>
      <c r="E218" s="392" t="s">
        <v>6</v>
      </c>
      <c r="F218" s="471">
        <f t="shared" si="75"/>
        <v>100000</v>
      </c>
      <c r="G218" s="462">
        <f t="shared" si="75"/>
        <v>100000</v>
      </c>
      <c r="H218" s="460">
        <v>0</v>
      </c>
      <c r="I218" s="462">
        <f t="shared" si="75"/>
        <v>100000</v>
      </c>
      <c r="J218" s="462">
        <f t="shared" si="75"/>
        <v>100000</v>
      </c>
      <c r="K218" s="462">
        <f t="shared" si="65"/>
        <v>100</v>
      </c>
      <c r="L218" s="462">
        <f t="shared" si="66"/>
        <v>0</v>
      </c>
      <c r="M218" s="462">
        <f t="shared" si="76"/>
        <v>100000</v>
      </c>
      <c r="N218" s="178">
        <f t="shared" si="64"/>
        <v>0</v>
      </c>
    </row>
    <row r="219" spans="1:14" outlineLevel="2" x14ac:dyDescent="0.3">
      <c r="A219" s="189" t="s">
        <v>19</v>
      </c>
      <c r="B219" s="392" t="s">
        <v>455</v>
      </c>
      <c r="C219" s="392" t="s">
        <v>53</v>
      </c>
      <c r="D219" s="392" t="s">
        <v>694</v>
      </c>
      <c r="E219" s="392" t="s">
        <v>20</v>
      </c>
      <c r="F219" s="471">
        <f t="shared" si="75"/>
        <v>100000</v>
      </c>
      <c r="G219" s="462">
        <f t="shared" si="75"/>
        <v>100000</v>
      </c>
      <c r="H219" s="460">
        <v>0</v>
      </c>
      <c r="I219" s="462">
        <f t="shared" si="75"/>
        <v>100000</v>
      </c>
      <c r="J219" s="462">
        <f t="shared" si="75"/>
        <v>100000</v>
      </c>
      <c r="K219" s="462">
        <f t="shared" si="65"/>
        <v>100</v>
      </c>
      <c r="L219" s="462">
        <f t="shared" si="66"/>
        <v>0</v>
      </c>
      <c r="M219" s="462">
        <f t="shared" si="76"/>
        <v>100000</v>
      </c>
      <c r="N219" s="178">
        <f t="shared" si="64"/>
        <v>0</v>
      </c>
    </row>
    <row r="220" spans="1:14" ht="62.15" customHeight="1" outlineLevel="2" x14ac:dyDescent="0.3">
      <c r="A220" s="189" t="s">
        <v>963</v>
      </c>
      <c r="B220" s="392" t="s">
        <v>455</v>
      </c>
      <c r="C220" s="392" t="s">
        <v>53</v>
      </c>
      <c r="D220" s="392" t="s">
        <v>694</v>
      </c>
      <c r="E220" s="392" t="s">
        <v>48</v>
      </c>
      <c r="F220" s="475">
        <v>100000</v>
      </c>
      <c r="G220" s="462">
        <f>'потребность 2023 (5)'!K218</f>
        <v>100000</v>
      </c>
      <c r="H220" s="460">
        <v>0</v>
      </c>
      <c r="I220" s="462">
        <v>100000</v>
      </c>
      <c r="J220" s="449">
        <v>100000</v>
      </c>
      <c r="K220" s="462">
        <f t="shared" si="65"/>
        <v>100</v>
      </c>
      <c r="L220" s="462">
        <f t="shared" si="66"/>
        <v>0</v>
      </c>
      <c r="M220" s="449">
        <v>100000</v>
      </c>
      <c r="N220" s="178">
        <f t="shared" si="64"/>
        <v>0</v>
      </c>
    </row>
    <row r="221" spans="1:14" ht="55.2" customHeight="1" outlineLevel="2" x14ac:dyDescent="0.3">
      <c r="A221" s="233" t="s">
        <v>1030</v>
      </c>
      <c r="B221" s="397" t="s">
        <v>455</v>
      </c>
      <c r="C221" s="397" t="s">
        <v>53</v>
      </c>
      <c r="D221" s="397" t="s">
        <v>327</v>
      </c>
      <c r="E221" s="397" t="s">
        <v>6</v>
      </c>
      <c r="F221" s="473">
        <f>F222+F226</f>
        <v>3681181.28</v>
      </c>
      <c r="G221" s="465">
        <f>G222+G226</f>
        <v>835000</v>
      </c>
      <c r="H221" s="460">
        <v>161007.1</v>
      </c>
      <c r="I221" s="465">
        <f>I222+I226</f>
        <v>430000</v>
      </c>
      <c r="J221" s="465">
        <f>J222+J226</f>
        <v>1400000</v>
      </c>
      <c r="K221" s="462">
        <f t="shared" si="65"/>
        <v>167.66467065868261</v>
      </c>
      <c r="L221" s="462">
        <f t="shared" si="66"/>
        <v>565000</v>
      </c>
      <c r="M221" s="465">
        <f>M222+M226</f>
        <v>1125000</v>
      </c>
      <c r="N221" s="178">
        <f t="shared" si="64"/>
        <v>-275000</v>
      </c>
    </row>
    <row r="222" spans="1:14" ht="34" outlineLevel="2" x14ac:dyDescent="0.3">
      <c r="A222" s="189" t="s">
        <v>366</v>
      </c>
      <c r="B222" s="392" t="s">
        <v>455</v>
      </c>
      <c r="C222" s="392" t="s">
        <v>53</v>
      </c>
      <c r="D222" s="392" t="s">
        <v>328</v>
      </c>
      <c r="E222" s="392" t="s">
        <v>6</v>
      </c>
      <c r="F222" s="476">
        <f t="shared" ref="F222:J224" si="77">F223</f>
        <v>3422100</v>
      </c>
      <c r="G222" s="449">
        <f t="shared" si="77"/>
        <v>235000</v>
      </c>
      <c r="H222" s="460">
        <v>120800</v>
      </c>
      <c r="I222" s="449">
        <f t="shared" si="77"/>
        <v>300000</v>
      </c>
      <c r="J222" s="449">
        <f t="shared" si="77"/>
        <v>270000</v>
      </c>
      <c r="K222" s="462">
        <f t="shared" si="65"/>
        <v>114.89361702127661</v>
      </c>
      <c r="L222" s="462">
        <f t="shared" si="66"/>
        <v>35000</v>
      </c>
      <c r="M222" s="449">
        <f t="shared" ref="M222:M224" si="78">M223</f>
        <v>270000</v>
      </c>
      <c r="N222" s="178">
        <f t="shared" si="64"/>
        <v>0</v>
      </c>
    </row>
    <row r="223" spans="1:14" ht="34" outlineLevel="2" x14ac:dyDescent="0.3">
      <c r="A223" s="189" t="s">
        <v>329</v>
      </c>
      <c r="B223" s="392" t="s">
        <v>455</v>
      </c>
      <c r="C223" s="392" t="s">
        <v>53</v>
      </c>
      <c r="D223" s="392" t="s">
        <v>330</v>
      </c>
      <c r="E223" s="392" t="s">
        <v>6</v>
      </c>
      <c r="F223" s="476">
        <f t="shared" si="77"/>
        <v>3422100</v>
      </c>
      <c r="G223" s="449">
        <f t="shared" si="77"/>
        <v>235000</v>
      </c>
      <c r="H223" s="460">
        <v>120800</v>
      </c>
      <c r="I223" s="449">
        <f t="shared" si="77"/>
        <v>300000</v>
      </c>
      <c r="J223" s="449">
        <f t="shared" si="77"/>
        <v>270000</v>
      </c>
      <c r="K223" s="462">
        <f t="shared" si="65"/>
        <v>114.89361702127661</v>
      </c>
      <c r="L223" s="462">
        <f t="shared" si="66"/>
        <v>35000</v>
      </c>
      <c r="M223" s="449">
        <f t="shared" si="78"/>
        <v>270000</v>
      </c>
      <c r="N223" s="178">
        <f t="shared" si="64"/>
        <v>0</v>
      </c>
    </row>
    <row r="224" spans="1:14" s="224" customFormat="1" ht="34" outlineLevel="3" x14ac:dyDescent="0.3">
      <c r="A224" s="189" t="s">
        <v>15</v>
      </c>
      <c r="B224" s="392" t="s">
        <v>455</v>
      </c>
      <c r="C224" s="392" t="s">
        <v>53</v>
      </c>
      <c r="D224" s="392" t="s">
        <v>330</v>
      </c>
      <c r="E224" s="392" t="s">
        <v>16</v>
      </c>
      <c r="F224" s="476">
        <f t="shared" si="77"/>
        <v>3422100</v>
      </c>
      <c r="G224" s="449">
        <f t="shared" si="77"/>
        <v>235000</v>
      </c>
      <c r="H224" s="460">
        <v>120800</v>
      </c>
      <c r="I224" s="449">
        <f t="shared" si="77"/>
        <v>300000</v>
      </c>
      <c r="J224" s="449">
        <f t="shared" si="77"/>
        <v>270000</v>
      </c>
      <c r="K224" s="462">
        <f t="shared" si="65"/>
        <v>114.89361702127661</v>
      </c>
      <c r="L224" s="462">
        <f t="shared" si="66"/>
        <v>35000</v>
      </c>
      <c r="M224" s="449">
        <f t="shared" si="78"/>
        <v>270000</v>
      </c>
      <c r="N224" s="178">
        <f t="shared" si="64"/>
        <v>0</v>
      </c>
    </row>
    <row r="225" spans="1:14" ht="50.95" outlineLevel="3" x14ac:dyDescent="0.3">
      <c r="A225" s="189" t="s">
        <v>17</v>
      </c>
      <c r="B225" s="392" t="s">
        <v>455</v>
      </c>
      <c r="C225" s="392" t="s">
        <v>53</v>
      </c>
      <c r="D225" s="392" t="s">
        <v>330</v>
      </c>
      <c r="E225" s="392" t="s">
        <v>18</v>
      </c>
      <c r="F225" s="475">
        <v>3422100</v>
      </c>
      <c r="G225" s="462">
        <f>'потребность 2023 (5)'!K223</f>
        <v>235000</v>
      </c>
      <c r="H225" s="460">
        <v>120800</v>
      </c>
      <c r="I225" s="462">
        <v>300000</v>
      </c>
      <c r="J225" s="449">
        <v>270000</v>
      </c>
      <c r="K225" s="462">
        <f t="shared" si="65"/>
        <v>114.89361702127661</v>
      </c>
      <c r="L225" s="462">
        <f t="shared" si="66"/>
        <v>35000</v>
      </c>
      <c r="M225" s="449">
        <v>270000</v>
      </c>
      <c r="N225" s="178">
        <f t="shared" si="64"/>
        <v>0</v>
      </c>
    </row>
    <row r="226" spans="1:14" ht="34" outlineLevel="3" x14ac:dyDescent="0.3">
      <c r="A226" s="189" t="s">
        <v>368</v>
      </c>
      <c r="B226" s="392" t="s">
        <v>455</v>
      </c>
      <c r="C226" s="392" t="s">
        <v>53</v>
      </c>
      <c r="D226" s="392" t="s">
        <v>367</v>
      </c>
      <c r="E226" s="392" t="s">
        <v>6</v>
      </c>
      <c r="F226" s="471">
        <f t="shared" ref="F226:J228" si="79">F227</f>
        <v>259081.28</v>
      </c>
      <c r="G226" s="462">
        <f t="shared" si="79"/>
        <v>600000</v>
      </c>
      <c r="H226" s="460">
        <v>40207.1</v>
      </c>
      <c r="I226" s="462">
        <f t="shared" si="79"/>
        <v>130000</v>
      </c>
      <c r="J226" s="462">
        <f t="shared" si="79"/>
        <v>1130000</v>
      </c>
      <c r="K226" s="462">
        <f t="shared" si="65"/>
        <v>188.33333333333334</v>
      </c>
      <c r="L226" s="462">
        <f t="shared" si="66"/>
        <v>530000</v>
      </c>
      <c r="M226" s="462">
        <f t="shared" ref="M226:M228" si="80">M227</f>
        <v>855000</v>
      </c>
      <c r="N226" s="178">
        <f t="shared" si="64"/>
        <v>-275000</v>
      </c>
    </row>
    <row r="227" spans="1:14" ht="34" outlineLevel="3" x14ac:dyDescent="0.3">
      <c r="A227" s="189" t="s">
        <v>331</v>
      </c>
      <c r="B227" s="392" t="s">
        <v>455</v>
      </c>
      <c r="C227" s="392" t="s">
        <v>53</v>
      </c>
      <c r="D227" s="392" t="s">
        <v>389</v>
      </c>
      <c r="E227" s="392" t="s">
        <v>6</v>
      </c>
      <c r="F227" s="471">
        <f t="shared" si="79"/>
        <v>259081.28</v>
      </c>
      <c r="G227" s="462">
        <f t="shared" si="79"/>
        <v>600000</v>
      </c>
      <c r="H227" s="460">
        <v>40207.1</v>
      </c>
      <c r="I227" s="462">
        <f t="shared" si="79"/>
        <v>130000</v>
      </c>
      <c r="J227" s="462">
        <f t="shared" si="79"/>
        <v>1130000</v>
      </c>
      <c r="K227" s="462">
        <f t="shared" si="65"/>
        <v>188.33333333333334</v>
      </c>
      <c r="L227" s="462">
        <f t="shared" si="66"/>
        <v>530000</v>
      </c>
      <c r="M227" s="462">
        <f t="shared" si="80"/>
        <v>855000</v>
      </c>
      <c r="N227" s="178">
        <f t="shared" si="64"/>
        <v>-275000</v>
      </c>
    </row>
    <row r="228" spans="1:14" ht="18.7" customHeight="1" outlineLevel="3" x14ac:dyDescent="0.3">
      <c r="A228" s="189" t="s">
        <v>15</v>
      </c>
      <c r="B228" s="392" t="s">
        <v>455</v>
      </c>
      <c r="C228" s="392" t="s">
        <v>53</v>
      </c>
      <c r="D228" s="392" t="s">
        <v>389</v>
      </c>
      <c r="E228" s="392" t="s">
        <v>16</v>
      </c>
      <c r="F228" s="471">
        <f t="shared" si="79"/>
        <v>259081.28</v>
      </c>
      <c r="G228" s="462">
        <f t="shared" si="79"/>
        <v>600000</v>
      </c>
      <c r="H228" s="460">
        <v>40207.1</v>
      </c>
      <c r="I228" s="462">
        <f t="shared" si="79"/>
        <v>130000</v>
      </c>
      <c r="J228" s="462">
        <f t="shared" si="79"/>
        <v>1130000</v>
      </c>
      <c r="K228" s="462">
        <f t="shared" si="65"/>
        <v>188.33333333333334</v>
      </c>
      <c r="L228" s="462">
        <f t="shared" si="66"/>
        <v>530000</v>
      </c>
      <c r="M228" s="462">
        <f t="shared" si="80"/>
        <v>855000</v>
      </c>
      <c r="N228" s="178">
        <f t="shared" si="64"/>
        <v>-275000</v>
      </c>
    </row>
    <row r="229" spans="1:14" ht="19.55" customHeight="1" outlineLevel="3" x14ac:dyDescent="0.3">
      <c r="A229" s="189" t="s">
        <v>17</v>
      </c>
      <c r="B229" s="392" t="s">
        <v>455</v>
      </c>
      <c r="C229" s="392" t="s">
        <v>53</v>
      </c>
      <c r="D229" s="392" t="s">
        <v>389</v>
      </c>
      <c r="E229" s="392" t="s">
        <v>18</v>
      </c>
      <c r="F229" s="475">
        <v>259081.28</v>
      </c>
      <c r="G229" s="462">
        <f>'потребность 2023 (5)'!K227</f>
        <v>600000</v>
      </c>
      <c r="H229" s="460">
        <v>40207.1</v>
      </c>
      <c r="I229" s="462">
        <v>130000</v>
      </c>
      <c r="J229" s="449">
        <v>1130000</v>
      </c>
      <c r="K229" s="462">
        <f t="shared" si="65"/>
        <v>188.33333333333334</v>
      </c>
      <c r="L229" s="462">
        <f t="shared" si="66"/>
        <v>530000</v>
      </c>
      <c r="M229" s="449">
        <f>1130000-275000</f>
        <v>855000</v>
      </c>
      <c r="N229" s="178">
        <f t="shared" si="64"/>
        <v>-275000</v>
      </c>
    </row>
    <row r="230" spans="1:14" ht="34" outlineLevel="5" x14ac:dyDescent="0.3">
      <c r="A230" s="233" t="s">
        <v>54</v>
      </c>
      <c r="B230" s="397" t="s">
        <v>455</v>
      </c>
      <c r="C230" s="397" t="s">
        <v>55</v>
      </c>
      <c r="D230" s="397" t="s">
        <v>126</v>
      </c>
      <c r="E230" s="397" t="s">
        <v>6</v>
      </c>
      <c r="F230" s="465">
        <f>F231+F237+F268+F320</f>
        <v>77730576.179999992</v>
      </c>
      <c r="G230" s="465">
        <f>G231+G237+G268+G320</f>
        <v>50687804.199999996</v>
      </c>
      <c r="H230" s="460">
        <v>59680408.060000002</v>
      </c>
      <c r="I230" s="465">
        <f>I231+I237+I268+I320</f>
        <v>9614185.9800000004</v>
      </c>
      <c r="J230" s="465">
        <f>J231+J237+J268+J320</f>
        <v>86460714.960000008</v>
      </c>
      <c r="K230" s="462">
        <f t="shared" si="65"/>
        <v>170.57498608314151</v>
      </c>
      <c r="L230" s="462">
        <f t="shared" si="66"/>
        <v>35772910.760000013</v>
      </c>
      <c r="M230" s="465">
        <f>M231+M237+M268+M320</f>
        <v>37950181.480000004</v>
      </c>
      <c r="N230" s="178">
        <f t="shared" si="64"/>
        <v>-48510533.480000004</v>
      </c>
    </row>
    <row r="231" spans="1:14" outlineLevel="6" x14ac:dyDescent="0.3">
      <c r="A231" s="189" t="s">
        <v>56</v>
      </c>
      <c r="B231" s="392" t="s">
        <v>455</v>
      </c>
      <c r="C231" s="392" t="s">
        <v>57</v>
      </c>
      <c r="D231" s="392" t="s">
        <v>126</v>
      </c>
      <c r="E231" s="392" t="s">
        <v>6</v>
      </c>
      <c r="F231" s="471">
        <f>F232</f>
        <v>4435521.75</v>
      </c>
      <c r="G231" s="462">
        <f t="shared" ref="G231:J235" si="81">G232</f>
        <v>3083113.73</v>
      </c>
      <c r="H231" s="460">
        <v>2066937.11</v>
      </c>
      <c r="I231" s="462">
        <f t="shared" si="81"/>
        <v>1000000</v>
      </c>
      <c r="J231" s="462">
        <f t="shared" si="81"/>
        <v>9037550</v>
      </c>
      <c r="K231" s="462">
        <f t="shared" si="65"/>
        <v>293.13060728382538</v>
      </c>
      <c r="L231" s="462">
        <f t="shared" si="66"/>
        <v>5954436.2699999996</v>
      </c>
      <c r="M231" s="462">
        <f t="shared" ref="M231:M235" si="82">M232</f>
        <v>3037550</v>
      </c>
      <c r="N231" s="178">
        <f t="shared" si="64"/>
        <v>-6000000</v>
      </c>
    </row>
    <row r="232" spans="1:14" ht="48.25" customHeight="1" outlineLevel="7" x14ac:dyDescent="0.3">
      <c r="A232" s="233" t="s">
        <v>1031</v>
      </c>
      <c r="B232" s="397" t="s">
        <v>455</v>
      </c>
      <c r="C232" s="397" t="s">
        <v>57</v>
      </c>
      <c r="D232" s="397" t="s">
        <v>319</v>
      </c>
      <c r="E232" s="397" t="s">
        <v>6</v>
      </c>
      <c r="F232" s="473">
        <f t="shared" ref="F232:F235" si="83">F233</f>
        <v>4435521.75</v>
      </c>
      <c r="G232" s="465">
        <f t="shared" si="81"/>
        <v>3083113.73</v>
      </c>
      <c r="H232" s="460">
        <v>2066937.11</v>
      </c>
      <c r="I232" s="465">
        <f t="shared" si="81"/>
        <v>1000000</v>
      </c>
      <c r="J232" s="465">
        <f t="shared" si="81"/>
        <v>9037550</v>
      </c>
      <c r="K232" s="462">
        <f t="shared" si="65"/>
        <v>293.13060728382538</v>
      </c>
      <c r="L232" s="462">
        <f t="shared" si="66"/>
        <v>5954436.2699999996</v>
      </c>
      <c r="M232" s="465">
        <f t="shared" si="82"/>
        <v>3037550</v>
      </c>
      <c r="N232" s="178">
        <f t="shared" si="64"/>
        <v>-6000000</v>
      </c>
    </row>
    <row r="233" spans="1:14" s="224" customFormat="1" ht="50.95" outlineLevel="1" x14ac:dyDescent="0.3">
      <c r="A233" s="189" t="s">
        <v>332</v>
      </c>
      <c r="B233" s="392" t="s">
        <v>455</v>
      </c>
      <c r="C233" s="392" t="s">
        <v>57</v>
      </c>
      <c r="D233" s="392" t="s">
        <v>320</v>
      </c>
      <c r="E233" s="392" t="s">
        <v>6</v>
      </c>
      <c r="F233" s="471">
        <f t="shared" si="83"/>
        <v>4435521.75</v>
      </c>
      <c r="G233" s="462">
        <f t="shared" si="81"/>
        <v>3083113.73</v>
      </c>
      <c r="H233" s="460">
        <v>2066937.11</v>
      </c>
      <c r="I233" s="462">
        <f t="shared" si="81"/>
        <v>1000000</v>
      </c>
      <c r="J233" s="462">
        <f t="shared" si="81"/>
        <v>9037550</v>
      </c>
      <c r="K233" s="462">
        <f t="shared" si="65"/>
        <v>293.13060728382538</v>
      </c>
      <c r="L233" s="462">
        <f t="shared" si="66"/>
        <v>5954436.2699999996</v>
      </c>
      <c r="M233" s="462">
        <f t="shared" si="82"/>
        <v>3037550</v>
      </c>
      <c r="N233" s="178">
        <f t="shared" si="64"/>
        <v>-6000000</v>
      </c>
    </row>
    <row r="234" spans="1:14" ht="34" outlineLevel="1" x14ac:dyDescent="0.3">
      <c r="A234" s="189" t="s">
        <v>333</v>
      </c>
      <c r="B234" s="392" t="s">
        <v>455</v>
      </c>
      <c r="C234" s="392" t="s">
        <v>57</v>
      </c>
      <c r="D234" s="392" t="s">
        <v>334</v>
      </c>
      <c r="E234" s="392" t="s">
        <v>6</v>
      </c>
      <c r="F234" s="471">
        <f t="shared" si="83"/>
        <v>4435521.75</v>
      </c>
      <c r="G234" s="462">
        <f t="shared" si="81"/>
        <v>3083113.73</v>
      </c>
      <c r="H234" s="460">
        <v>2066937.11</v>
      </c>
      <c r="I234" s="462">
        <f t="shared" si="81"/>
        <v>1000000</v>
      </c>
      <c r="J234" s="462">
        <f t="shared" si="81"/>
        <v>9037550</v>
      </c>
      <c r="K234" s="462">
        <f t="shared" si="65"/>
        <v>293.13060728382538</v>
      </c>
      <c r="L234" s="462">
        <f t="shared" si="66"/>
        <v>5954436.2699999996</v>
      </c>
      <c r="M234" s="462">
        <f t="shared" si="82"/>
        <v>3037550</v>
      </c>
      <c r="N234" s="178">
        <f t="shared" si="64"/>
        <v>-6000000</v>
      </c>
    </row>
    <row r="235" spans="1:14" s="224" customFormat="1" ht="34" outlineLevel="1" x14ac:dyDescent="0.3">
      <c r="A235" s="189" t="s">
        <v>15</v>
      </c>
      <c r="B235" s="392" t="s">
        <v>455</v>
      </c>
      <c r="C235" s="392" t="s">
        <v>57</v>
      </c>
      <c r="D235" s="392" t="s">
        <v>334</v>
      </c>
      <c r="E235" s="392" t="s">
        <v>16</v>
      </c>
      <c r="F235" s="471">
        <f t="shared" si="83"/>
        <v>4435521.75</v>
      </c>
      <c r="G235" s="462">
        <f t="shared" si="81"/>
        <v>3083113.73</v>
      </c>
      <c r="H235" s="460">
        <v>2066937.11</v>
      </c>
      <c r="I235" s="462">
        <f t="shared" si="81"/>
        <v>1000000</v>
      </c>
      <c r="J235" s="462">
        <f t="shared" si="81"/>
        <v>9037550</v>
      </c>
      <c r="K235" s="462">
        <f t="shared" si="65"/>
        <v>293.13060728382538</v>
      </c>
      <c r="L235" s="462">
        <f t="shared" si="66"/>
        <v>5954436.2699999996</v>
      </c>
      <c r="M235" s="462">
        <f t="shared" si="82"/>
        <v>3037550</v>
      </c>
      <c r="N235" s="178">
        <f t="shared" si="64"/>
        <v>-6000000</v>
      </c>
    </row>
    <row r="236" spans="1:14" ht="36.700000000000003" customHeight="1" outlineLevel="1" x14ac:dyDescent="0.3">
      <c r="A236" s="189" t="s">
        <v>17</v>
      </c>
      <c r="B236" s="392" t="s">
        <v>455</v>
      </c>
      <c r="C236" s="392" t="s">
        <v>57</v>
      </c>
      <c r="D236" s="392" t="s">
        <v>334</v>
      </c>
      <c r="E236" s="392" t="s">
        <v>18</v>
      </c>
      <c r="F236" s="475">
        <v>4435521.75</v>
      </c>
      <c r="G236" s="449">
        <f>'потребность 2023 (5)'!K234-16886.27+600000</f>
        <v>3083113.73</v>
      </c>
      <c r="H236" s="460">
        <v>2066937.11</v>
      </c>
      <c r="I236" s="449">
        <v>1000000</v>
      </c>
      <c r="J236" s="449">
        <f>3037550+6000000</f>
        <v>9037550</v>
      </c>
      <c r="K236" s="462">
        <f t="shared" si="65"/>
        <v>293.13060728382538</v>
      </c>
      <c r="L236" s="462">
        <f t="shared" si="66"/>
        <v>5954436.2699999996</v>
      </c>
      <c r="M236" s="449">
        <f>3037550+6000000-6000000</f>
        <v>3037550</v>
      </c>
      <c r="N236" s="178">
        <f t="shared" si="64"/>
        <v>-6000000</v>
      </c>
    </row>
    <row r="237" spans="1:14" ht="18.7" customHeight="1" outlineLevel="7" x14ac:dyDescent="0.3">
      <c r="A237" s="189" t="s">
        <v>58</v>
      </c>
      <c r="B237" s="392" t="s">
        <v>455</v>
      </c>
      <c r="C237" s="392" t="s">
        <v>59</v>
      </c>
      <c r="D237" s="392" t="s">
        <v>126</v>
      </c>
      <c r="E237" s="392" t="s">
        <v>6</v>
      </c>
      <c r="F237" s="462">
        <f t="shared" ref="F237:J238" si="84">F238</f>
        <v>39133013.280000001</v>
      </c>
      <c r="G237" s="462">
        <f t="shared" si="84"/>
        <v>32193687.460000001</v>
      </c>
      <c r="H237" s="460">
        <v>32467780.23</v>
      </c>
      <c r="I237" s="462">
        <f t="shared" si="84"/>
        <v>4000000</v>
      </c>
      <c r="J237" s="462">
        <f t="shared" si="84"/>
        <v>35060606.060000002</v>
      </c>
      <c r="K237" s="462">
        <f t="shared" si="65"/>
        <v>108.90521970669589</v>
      </c>
      <c r="L237" s="462">
        <f t="shared" si="66"/>
        <v>2866918.6000000015</v>
      </c>
      <c r="M237" s="462">
        <f t="shared" ref="M237:M238" si="85">M238</f>
        <v>3326016.67</v>
      </c>
      <c r="N237" s="178">
        <f t="shared" si="64"/>
        <v>-31734589.390000001</v>
      </c>
    </row>
    <row r="238" spans="1:14" ht="67.95" outlineLevel="7" x14ac:dyDescent="0.3">
      <c r="A238" s="233" t="s">
        <v>1032</v>
      </c>
      <c r="B238" s="397" t="s">
        <v>455</v>
      </c>
      <c r="C238" s="397" t="s">
        <v>59</v>
      </c>
      <c r="D238" s="397" t="s">
        <v>134</v>
      </c>
      <c r="E238" s="397" t="s">
        <v>6</v>
      </c>
      <c r="F238" s="473">
        <f>F239+F254</f>
        <v>39133013.280000001</v>
      </c>
      <c r="G238" s="465">
        <f t="shared" si="84"/>
        <v>32193687.460000001</v>
      </c>
      <c r="H238" s="460">
        <v>32467780.23</v>
      </c>
      <c r="I238" s="465">
        <f t="shared" si="84"/>
        <v>4000000</v>
      </c>
      <c r="J238" s="465">
        <f t="shared" si="84"/>
        <v>35060606.060000002</v>
      </c>
      <c r="K238" s="462">
        <f t="shared" si="65"/>
        <v>108.90521970669589</v>
      </c>
      <c r="L238" s="462">
        <f t="shared" si="66"/>
        <v>2866918.6000000015</v>
      </c>
      <c r="M238" s="465">
        <f t="shared" si="85"/>
        <v>3326016.67</v>
      </c>
      <c r="N238" s="178">
        <f t="shared" si="64"/>
        <v>-31734589.390000001</v>
      </c>
    </row>
    <row r="239" spans="1:14" ht="67.95" outlineLevel="7" x14ac:dyDescent="0.3">
      <c r="A239" s="189" t="s">
        <v>1033</v>
      </c>
      <c r="B239" s="392" t="s">
        <v>455</v>
      </c>
      <c r="C239" s="392" t="s">
        <v>59</v>
      </c>
      <c r="D239" s="392" t="s">
        <v>335</v>
      </c>
      <c r="E239" s="392" t="s">
        <v>6</v>
      </c>
      <c r="F239" s="471">
        <f>F240+F247+F250</f>
        <v>39133013.280000001</v>
      </c>
      <c r="G239" s="462">
        <f>G240+G247+G250+G256+G253+G259+G265+G262</f>
        <v>32193687.460000001</v>
      </c>
      <c r="H239" s="460">
        <v>32467780.23</v>
      </c>
      <c r="I239" s="462">
        <f>I240+I247+I250+I256+I253+I259+I265+I262</f>
        <v>4000000</v>
      </c>
      <c r="J239" s="462">
        <f>J240+J247+J250+J256+J253+J259+J265+J262</f>
        <v>35060606.060000002</v>
      </c>
      <c r="K239" s="462">
        <f t="shared" si="65"/>
        <v>108.90521970669589</v>
      </c>
      <c r="L239" s="462">
        <f t="shared" si="66"/>
        <v>2866918.6000000015</v>
      </c>
      <c r="M239" s="462">
        <f>M240+M247+M250+M256+M253+M259+M265+M262</f>
        <v>3326016.67</v>
      </c>
      <c r="N239" s="178">
        <f t="shared" si="64"/>
        <v>-31734589.390000001</v>
      </c>
    </row>
    <row r="240" spans="1:14" ht="101.9" outlineLevel="1" x14ac:dyDescent="0.3">
      <c r="A240" s="189" t="s">
        <v>60</v>
      </c>
      <c r="B240" s="392" t="s">
        <v>455</v>
      </c>
      <c r="C240" s="392" t="s">
        <v>59</v>
      </c>
      <c r="D240" s="392" t="s">
        <v>336</v>
      </c>
      <c r="E240" s="392" t="s">
        <v>6</v>
      </c>
      <c r="F240" s="471">
        <f>F241+F243+F245</f>
        <v>13643362.870000001</v>
      </c>
      <c r="G240" s="462">
        <f>G241+G243+G245</f>
        <v>11659292.050000001</v>
      </c>
      <c r="H240" s="460">
        <v>10719560.43</v>
      </c>
      <c r="I240" s="462">
        <f>I241+I243+I245</f>
        <v>500000</v>
      </c>
      <c r="J240" s="462">
        <f>J241+J243+J245</f>
        <v>10000000</v>
      </c>
      <c r="K240" s="462">
        <f t="shared" si="65"/>
        <v>85.768500841352534</v>
      </c>
      <c r="L240" s="462">
        <f t="shared" si="66"/>
        <v>-1659292.0500000007</v>
      </c>
      <c r="M240" s="462">
        <f>M241+M243+M245</f>
        <v>1000000</v>
      </c>
      <c r="N240" s="178">
        <f t="shared" si="64"/>
        <v>-9000000</v>
      </c>
    </row>
    <row r="241" spans="1:14" s="224" customFormat="1" ht="34" outlineLevel="1" x14ac:dyDescent="0.3">
      <c r="A241" s="189" t="s">
        <v>15</v>
      </c>
      <c r="B241" s="392" t="s">
        <v>455</v>
      </c>
      <c r="C241" s="392" t="s">
        <v>59</v>
      </c>
      <c r="D241" s="392" t="s">
        <v>336</v>
      </c>
      <c r="E241" s="392" t="s">
        <v>16</v>
      </c>
      <c r="F241" s="471">
        <f>F242</f>
        <v>2744102.88</v>
      </c>
      <c r="G241" s="462">
        <f>G242</f>
        <v>1180603.8700000001</v>
      </c>
      <c r="H241" s="460">
        <v>240872.25</v>
      </c>
      <c r="I241" s="462">
        <f>I242</f>
        <v>500000</v>
      </c>
      <c r="J241" s="462">
        <f>J242</f>
        <v>10000000</v>
      </c>
      <c r="K241" s="462">
        <f t="shared" si="65"/>
        <v>847.02415891623309</v>
      </c>
      <c r="L241" s="462">
        <f t="shared" si="66"/>
        <v>8819396.129999999</v>
      </c>
      <c r="M241" s="462">
        <f>M242</f>
        <v>1000000</v>
      </c>
      <c r="N241" s="178">
        <f t="shared" si="64"/>
        <v>-9000000</v>
      </c>
    </row>
    <row r="242" spans="1:14" ht="39.25" customHeight="1" outlineLevel="1" x14ac:dyDescent="0.3">
      <c r="A242" s="189" t="s">
        <v>17</v>
      </c>
      <c r="B242" s="392" t="s">
        <v>455</v>
      </c>
      <c r="C242" s="392" t="s">
        <v>59</v>
      </c>
      <c r="D242" s="392" t="s">
        <v>336</v>
      </c>
      <c r="E242" s="392" t="s">
        <v>18</v>
      </c>
      <c r="F242" s="475">
        <v>2744102.88</v>
      </c>
      <c r="G242" s="449">
        <f>'потребность 2023 (5)'!K245-1040707.95-178688.18+6200000-5300000</f>
        <v>1180603.8700000001</v>
      </c>
      <c r="H242" s="460">
        <v>240872.25</v>
      </c>
      <c r="I242" s="449">
        <v>500000</v>
      </c>
      <c r="J242" s="449">
        <v>10000000</v>
      </c>
      <c r="K242" s="462">
        <f t="shared" si="65"/>
        <v>847.02415891623309</v>
      </c>
      <c r="L242" s="462">
        <f t="shared" si="66"/>
        <v>8819396.129999999</v>
      </c>
      <c r="M242" s="449">
        <f>10000000-10000000+1000000</f>
        <v>1000000</v>
      </c>
      <c r="N242" s="178">
        <f t="shared" si="64"/>
        <v>-9000000</v>
      </c>
    </row>
    <row r="243" spans="1:14" ht="50.95" customHeight="1" outlineLevel="1" x14ac:dyDescent="0.3">
      <c r="A243" s="189" t="s">
        <v>258</v>
      </c>
      <c r="B243" s="392" t="s">
        <v>455</v>
      </c>
      <c r="C243" s="392" t="s">
        <v>59</v>
      </c>
      <c r="D243" s="392" t="s">
        <v>336</v>
      </c>
      <c r="E243" s="392" t="s">
        <v>259</v>
      </c>
      <c r="F243" s="476">
        <f>F244</f>
        <v>899259.99</v>
      </c>
      <c r="G243" s="449">
        <f>G244</f>
        <v>478688.18</v>
      </c>
      <c r="H243" s="460">
        <v>478688.18</v>
      </c>
      <c r="I243" s="449">
        <f>I244</f>
        <v>0</v>
      </c>
      <c r="J243" s="449">
        <f>J244</f>
        <v>0</v>
      </c>
      <c r="K243" s="462">
        <f t="shared" si="65"/>
        <v>0</v>
      </c>
      <c r="L243" s="462">
        <f t="shared" si="66"/>
        <v>-478688.18</v>
      </c>
      <c r="M243" s="449">
        <f>M244</f>
        <v>0</v>
      </c>
      <c r="N243" s="178">
        <f t="shared" si="64"/>
        <v>0</v>
      </c>
    </row>
    <row r="244" spans="1:14" ht="24.8" customHeight="1" outlineLevel="1" x14ac:dyDescent="0.3">
      <c r="A244" s="189" t="s">
        <v>260</v>
      </c>
      <c r="B244" s="392" t="s">
        <v>455</v>
      </c>
      <c r="C244" s="392" t="s">
        <v>59</v>
      </c>
      <c r="D244" s="392" t="s">
        <v>336</v>
      </c>
      <c r="E244" s="392" t="s">
        <v>261</v>
      </c>
      <c r="F244" s="475">
        <v>899259.99</v>
      </c>
      <c r="G244" s="449">
        <f>178688.18+300000</f>
        <v>478688.18</v>
      </c>
      <c r="H244" s="460">
        <v>478688.18</v>
      </c>
      <c r="I244" s="449">
        <v>0</v>
      </c>
      <c r="J244" s="449"/>
      <c r="K244" s="462">
        <f t="shared" si="65"/>
        <v>0</v>
      </c>
      <c r="L244" s="462">
        <f t="shared" si="66"/>
        <v>-478688.18</v>
      </c>
      <c r="M244" s="449"/>
      <c r="N244" s="178">
        <f t="shared" si="64"/>
        <v>0</v>
      </c>
    </row>
    <row r="245" spans="1:14" ht="27.7" customHeight="1" outlineLevel="1" x14ac:dyDescent="0.3">
      <c r="A245" s="189" t="s">
        <v>19</v>
      </c>
      <c r="B245" s="392" t="s">
        <v>455</v>
      </c>
      <c r="C245" s="392" t="s">
        <v>59</v>
      </c>
      <c r="D245" s="392" t="s">
        <v>336</v>
      </c>
      <c r="E245" s="392" t="s">
        <v>20</v>
      </c>
      <c r="F245" s="475">
        <v>10000000</v>
      </c>
      <c r="G245" s="449">
        <f>G246</f>
        <v>10000000</v>
      </c>
      <c r="H245" s="460">
        <v>10000000</v>
      </c>
      <c r="I245" s="449">
        <f>I246</f>
        <v>0</v>
      </c>
      <c r="J245" s="449">
        <f>J246</f>
        <v>0</v>
      </c>
      <c r="K245" s="462">
        <f t="shared" si="65"/>
        <v>0</v>
      </c>
      <c r="L245" s="462">
        <f t="shared" si="66"/>
        <v>-10000000</v>
      </c>
      <c r="M245" s="449">
        <f>M246</f>
        <v>0</v>
      </c>
      <c r="N245" s="178">
        <f t="shared" si="64"/>
        <v>0</v>
      </c>
    </row>
    <row r="246" spans="1:14" ht="57.75" customHeight="1" outlineLevel="1" x14ac:dyDescent="0.3">
      <c r="A246" s="189" t="s">
        <v>963</v>
      </c>
      <c r="B246" s="392" t="s">
        <v>455</v>
      </c>
      <c r="C246" s="392" t="s">
        <v>59</v>
      </c>
      <c r="D246" s="392" t="s">
        <v>336</v>
      </c>
      <c r="E246" s="392" t="s">
        <v>48</v>
      </c>
      <c r="F246" s="475">
        <v>10000000</v>
      </c>
      <c r="G246" s="449">
        <f>'потребность 2023 (5)'!K249</f>
        <v>10000000</v>
      </c>
      <c r="H246" s="460">
        <v>10000000</v>
      </c>
      <c r="I246" s="449">
        <v>0</v>
      </c>
      <c r="J246" s="449"/>
      <c r="K246" s="462">
        <f t="shared" si="65"/>
        <v>0</v>
      </c>
      <c r="L246" s="462">
        <f t="shared" si="66"/>
        <v>-10000000</v>
      </c>
      <c r="M246" s="449">
        <v>0</v>
      </c>
      <c r="N246" s="178">
        <f t="shared" si="64"/>
        <v>0</v>
      </c>
    </row>
    <row r="247" spans="1:14" ht="58.6" customHeight="1" outlineLevel="1" x14ac:dyDescent="0.3">
      <c r="A247" s="189" t="s">
        <v>246</v>
      </c>
      <c r="B247" s="392" t="s">
        <v>455</v>
      </c>
      <c r="C247" s="392" t="s">
        <v>59</v>
      </c>
      <c r="D247" s="392" t="s">
        <v>337</v>
      </c>
      <c r="E247" s="392" t="s">
        <v>6</v>
      </c>
      <c r="F247" s="475">
        <v>3838391.19</v>
      </c>
      <c r="G247" s="449">
        <f t="shared" ref="G247:J248" si="86">G248</f>
        <v>4400000</v>
      </c>
      <c r="H247" s="460">
        <v>2982177.06</v>
      </c>
      <c r="I247" s="449">
        <f t="shared" si="86"/>
        <v>3500000</v>
      </c>
      <c r="J247" s="449">
        <f t="shared" si="86"/>
        <v>4000000</v>
      </c>
      <c r="K247" s="462">
        <f t="shared" si="65"/>
        <v>90.909090909090907</v>
      </c>
      <c r="L247" s="462">
        <f t="shared" si="66"/>
        <v>-400000</v>
      </c>
      <c r="M247" s="449">
        <f t="shared" ref="M247:M248" si="87">M248</f>
        <v>2265410.61</v>
      </c>
      <c r="N247" s="178">
        <f t="shared" si="64"/>
        <v>-1734589.3900000001</v>
      </c>
    </row>
    <row r="248" spans="1:14" ht="21.25" customHeight="1" outlineLevel="1" x14ac:dyDescent="0.3">
      <c r="A248" s="189" t="s">
        <v>19</v>
      </c>
      <c r="B248" s="392" t="s">
        <v>455</v>
      </c>
      <c r="C248" s="392" t="s">
        <v>59</v>
      </c>
      <c r="D248" s="392" t="s">
        <v>337</v>
      </c>
      <c r="E248" s="392" t="s">
        <v>20</v>
      </c>
      <c r="F248" s="475">
        <v>3838391.19</v>
      </c>
      <c r="G248" s="449">
        <f t="shared" si="86"/>
        <v>4400000</v>
      </c>
      <c r="H248" s="460">
        <v>2982177.06</v>
      </c>
      <c r="I248" s="449">
        <f t="shared" si="86"/>
        <v>3500000</v>
      </c>
      <c r="J248" s="449">
        <f t="shared" si="86"/>
        <v>4000000</v>
      </c>
      <c r="K248" s="462">
        <f t="shared" si="65"/>
        <v>90.909090909090907</v>
      </c>
      <c r="L248" s="462">
        <f t="shared" si="66"/>
        <v>-400000</v>
      </c>
      <c r="M248" s="449">
        <f t="shared" si="87"/>
        <v>2265410.61</v>
      </c>
      <c r="N248" s="178">
        <f t="shared" si="64"/>
        <v>-1734589.3900000001</v>
      </c>
    </row>
    <row r="249" spans="1:14" ht="55.55" customHeight="1" outlineLevel="1" x14ac:dyDescent="0.3">
      <c r="A249" s="189" t="s">
        <v>963</v>
      </c>
      <c r="B249" s="392" t="s">
        <v>455</v>
      </c>
      <c r="C249" s="392" t="s">
        <v>59</v>
      </c>
      <c r="D249" s="392" t="s">
        <v>337</v>
      </c>
      <c r="E249" s="392" t="s">
        <v>48</v>
      </c>
      <c r="F249" s="475">
        <v>3838391.19</v>
      </c>
      <c r="G249" s="462">
        <f>'потребность 2023 (5)'!K252</f>
        <v>4400000</v>
      </c>
      <c r="H249" s="460">
        <v>2982177.06</v>
      </c>
      <c r="I249" s="462">
        <v>3500000</v>
      </c>
      <c r="J249" s="449">
        <v>4000000</v>
      </c>
      <c r="K249" s="462">
        <f t="shared" si="65"/>
        <v>90.909090909090907</v>
      </c>
      <c r="L249" s="462">
        <f t="shared" si="66"/>
        <v>-400000</v>
      </c>
      <c r="M249" s="449">
        <f>4000000-1704013.37-30576.02</f>
        <v>2265410.61</v>
      </c>
      <c r="N249" s="178">
        <f t="shared" si="64"/>
        <v>-1734589.3900000001</v>
      </c>
    </row>
    <row r="250" spans="1:14" ht="36.700000000000003" customHeight="1" outlineLevel="1" x14ac:dyDescent="0.3">
      <c r="A250" s="189" t="s">
        <v>256</v>
      </c>
      <c r="B250" s="392" t="s">
        <v>455</v>
      </c>
      <c r="C250" s="392" t="s">
        <v>59</v>
      </c>
      <c r="D250" s="392" t="s">
        <v>338</v>
      </c>
      <c r="E250" s="392" t="s">
        <v>6</v>
      </c>
      <c r="F250" s="475">
        <v>21651259.219999999</v>
      </c>
      <c r="G250" s="449">
        <f t="shared" ref="G250:J251" si="88">G251</f>
        <v>15999000</v>
      </c>
      <c r="H250" s="460">
        <v>15234254.439999999</v>
      </c>
      <c r="I250" s="449">
        <f t="shared" si="88"/>
        <v>0</v>
      </c>
      <c r="J250" s="449">
        <f t="shared" si="88"/>
        <v>21000000</v>
      </c>
      <c r="K250" s="462">
        <f t="shared" si="65"/>
        <v>131.25820363772735</v>
      </c>
      <c r="L250" s="462">
        <f t="shared" si="66"/>
        <v>5001000</v>
      </c>
      <c r="M250" s="449">
        <f t="shared" ref="M250:M251" si="89">M251</f>
        <v>0</v>
      </c>
      <c r="N250" s="178">
        <f t="shared" si="64"/>
        <v>-21000000</v>
      </c>
    </row>
    <row r="251" spans="1:14" outlineLevel="1" x14ac:dyDescent="0.3">
      <c r="A251" s="189" t="s">
        <v>19</v>
      </c>
      <c r="B251" s="392" t="s">
        <v>455</v>
      </c>
      <c r="C251" s="392" t="s">
        <v>59</v>
      </c>
      <c r="D251" s="392" t="s">
        <v>338</v>
      </c>
      <c r="E251" s="392" t="s">
        <v>20</v>
      </c>
      <c r="F251" s="475">
        <v>21651259.219999999</v>
      </c>
      <c r="G251" s="449">
        <f t="shared" si="88"/>
        <v>15999000</v>
      </c>
      <c r="H251" s="460">
        <v>15234254.439999999</v>
      </c>
      <c r="I251" s="449">
        <f t="shared" si="88"/>
        <v>0</v>
      </c>
      <c r="J251" s="449">
        <f t="shared" si="88"/>
        <v>21000000</v>
      </c>
      <c r="K251" s="462">
        <f t="shared" si="65"/>
        <v>131.25820363772735</v>
      </c>
      <c r="L251" s="462">
        <f t="shared" si="66"/>
        <v>5001000</v>
      </c>
      <c r="M251" s="449">
        <f t="shared" si="89"/>
        <v>0</v>
      </c>
      <c r="N251" s="178">
        <f t="shared" si="64"/>
        <v>-21000000</v>
      </c>
    </row>
    <row r="252" spans="1:14" ht="60.45" customHeight="1" outlineLevel="1" x14ac:dyDescent="0.3">
      <c r="A252" s="189" t="s">
        <v>963</v>
      </c>
      <c r="B252" s="392" t="s">
        <v>455</v>
      </c>
      <c r="C252" s="392" t="s">
        <v>59</v>
      </c>
      <c r="D252" s="392" t="s">
        <v>338</v>
      </c>
      <c r="E252" s="392" t="s">
        <v>48</v>
      </c>
      <c r="F252" s="475">
        <v>21651259.219999999</v>
      </c>
      <c r="G252" s="462">
        <f>'потребность 2023 (5)'!K255+560000</f>
        <v>15999000</v>
      </c>
      <c r="H252" s="460">
        <v>15234254.439999999</v>
      </c>
      <c r="I252" s="462">
        <v>0</v>
      </c>
      <c r="J252" s="449">
        <v>21000000</v>
      </c>
      <c r="K252" s="462">
        <f t="shared" si="65"/>
        <v>131.25820363772735</v>
      </c>
      <c r="L252" s="462">
        <f t="shared" si="66"/>
        <v>5001000</v>
      </c>
      <c r="M252" s="449">
        <v>0</v>
      </c>
      <c r="N252" s="178">
        <f t="shared" si="64"/>
        <v>-21000000</v>
      </c>
    </row>
    <row r="253" spans="1:14" ht="50.95" customHeight="1" outlineLevel="1" x14ac:dyDescent="0.3">
      <c r="A253" s="189" t="s">
        <v>289</v>
      </c>
      <c r="B253" s="392" t="s">
        <v>455</v>
      </c>
      <c r="C253" s="392" t="s">
        <v>59</v>
      </c>
      <c r="D253" s="392" t="s">
        <v>369</v>
      </c>
      <c r="E253" s="392" t="s">
        <v>6</v>
      </c>
      <c r="F253" s="462"/>
      <c r="G253" s="462">
        <f t="shared" ref="G253:J254" si="90">G254</f>
        <v>0</v>
      </c>
      <c r="H253" s="460">
        <v>0</v>
      </c>
      <c r="I253" s="462">
        <f t="shared" si="90"/>
        <v>0</v>
      </c>
      <c r="J253" s="462">
        <f t="shared" si="90"/>
        <v>0</v>
      </c>
      <c r="K253" s="462" t="e">
        <f t="shared" si="65"/>
        <v>#DIV/0!</v>
      </c>
      <c r="L253" s="462">
        <f t="shared" si="66"/>
        <v>0</v>
      </c>
      <c r="M253" s="462">
        <f t="shared" ref="M253:M254" si="91">M254</f>
        <v>0</v>
      </c>
      <c r="N253" s="178">
        <f t="shared" si="64"/>
        <v>0</v>
      </c>
    </row>
    <row r="254" spans="1:14" ht="34" customHeight="1" outlineLevel="1" x14ac:dyDescent="0.3">
      <c r="A254" s="189" t="s">
        <v>15</v>
      </c>
      <c r="B254" s="392" t="s">
        <v>455</v>
      </c>
      <c r="C254" s="392" t="s">
        <v>59</v>
      </c>
      <c r="D254" s="392" t="s">
        <v>369</v>
      </c>
      <c r="E254" s="392" t="s">
        <v>16</v>
      </c>
      <c r="F254" s="462"/>
      <c r="G254" s="462">
        <f t="shared" si="90"/>
        <v>0</v>
      </c>
      <c r="H254" s="460">
        <v>0</v>
      </c>
      <c r="I254" s="462">
        <f t="shared" si="90"/>
        <v>0</v>
      </c>
      <c r="J254" s="462">
        <f t="shared" si="90"/>
        <v>0</v>
      </c>
      <c r="K254" s="462" t="e">
        <f t="shared" si="65"/>
        <v>#DIV/0!</v>
      </c>
      <c r="L254" s="462">
        <f t="shared" si="66"/>
        <v>0</v>
      </c>
      <c r="M254" s="462">
        <f t="shared" si="91"/>
        <v>0</v>
      </c>
      <c r="N254" s="178">
        <f t="shared" si="64"/>
        <v>0</v>
      </c>
    </row>
    <row r="255" spans="1:14" ht="49.75" customHeight="1" outlineLevel="1" x14ac:dyDescent="0.3">
      <c r="A255" s="189" t="s">
        <v>17</v>
      </c>
      <c r="B255" s="392" t="s">
        <v>455</v>
      </c>
      <c r="C255" s="392" t="s">
        <v>59</v>
      </c>
      <c r="D255" s="392" t="s">
        <v>369</v>
      </c>
      <c r="E255" s="392" t="s">
        <v>18</v>
      </c>
      <c r="F255" s="462"/>
      <c r="G255" s="462">
        <f>'потребность 2023 (5)'!K258-151444.28</f>
        <v>0</v>
      </c>
      <c r="H255" s="468">
        <v>0</v>
      </c>
      <c r="I255" s="462">
        <v>0</v>
      </c>
      <c r="J255" s="449"/>
      <c r="K255" s="462" t="e">
        <f t="shared" si="65"/>
        <v>#DIV/0!</v>
      </c>
      <c r="L255" s="462">
        <f t="shared" si="66"/>
        <v>0</v>
      </c>
      <c r="M255" s="449"/>
      <c r="N255" s="178">
        <f t="shared" si="64"/>
        <v>0</v>
      </c>
    </row>
    <row r="256" spans="1:14" ht="56.25" customHeight="1" outlineLevel="1" x14ac:dyDescent="0.3">
      <c r="A256" s="189" t="s">
        <v>257</v>
      </c>
      <c r="B256" s="392" t="s">
        <v>455</v>
      </c>
      <c r="C256" s="392" t="s">
        <v>59</v>
      </c>
      <c r="D256" s="392" t="s">
        <v>370</v>
      </c>
      <c r="E256" s="392" t="s">
        <v>6</v>
      </c>
      <c r="F256" s="462"/>
      <c r="G256" s="462">
        <f t="shared" ref="G256:J257" si="92">G257</f>
        <v>0</v>
      </c>
      <c r="H256" s="449"/>
      <c r="I256" s="462">
        <f t="shared" si="92"/>
        <v>0</v>
      </c>
      <c r="J256" s="462">
        <f t="shared" si="92"/>
        <v>0</v>
      </c>
      <c r="K256" s="462" t="e">
        <f t="shared" si="65"/>
        <v>#DIV/0!</v>
      </c>
      <c r="L256" s="462">
        <f t="shared" si="66"/>
        <v>0</v>
      </c>
      <c r="M256" s="462">
        <f t="shared" ref="M256:M257" si="93">M257</f>
        <v>0</v>
      </c>
      <c r="N256" s="178">
        <f t="shared" si="64"/>
        <v>0</v>
      </c>
    </row>
    <row r="257" spans="1:14" ht="37.549999999999997" customHeight="1" outlineLevel="1" x14ac:dyDescent="0.3">
      <c r="A257" s="189" t="s">
        <v>15</v>
      </c>
      <c r="B257" s="392" t="s">
        <v>455</v>
      </c>
      <c r="C257" s="392" t="s">
        <v>59</v>
      </c>
      <c r="D257" s="392" t="s">
        <v>370</v>
      </c>
      <c r="E257" s="392" t="s">
        <v>16</v>
      </c>
      <c r="F257" s="462"/>
      <c r="G257" s="462">
        <f t="shared" si="92"/>
        <v>0</v>
      </c>
      <c r="H257" s="449"/>
      <c r="I257" s="462">
        <f t="shared" si="92"/>
        <v>0</v>
      </c>
      <c r="J257" s="462">
        <f t="shared" si="92"/>
        <v>0</v>
      </c>
      <c r="K257" s="462" t="e">
        <f t="shared" si="65"/>
        <v>#DIV/0!</v>
      </c>
      <c r="L257" s="462">
        <f t="shared" si="66"/>
        <v>0</v>
      </c>
      <c r="M257" s="462">
        <f t="shared" si="93"/>
        <v>0</v>
      </c>
      <c r="N257" s="178">
        <f t="shared" si="64"/>
        <v>0</v>
      </c>
    </row>
    <row r="258" spans="1:14" ht="37.549999999999997" customHeight="1" outlineLevel="1" x14ac:dyDescent="0.3">
      <c r="A258" s="189" t="s">
        <v>17</v>
      </c>
      <c r="B258" s="392" t="s">
        <v>455</v>
      </c>
      <c r="C258" s="392" t="s">
        <v>59</v>
      </c>
      <c r="D258" s="392" t="s">
        <v>370</v>
      </c>
      <c r="E258" s="392" t="s">
        <v>18</v>
      </c>
      <c r="F258" s="462"/>
      <c r="G258" s="462">
        <f>'потребность 2023 (5)'!K261-200000</f>
        <v>0</v>
      </c>
      <c r="H258" s="449"/>
      <c r="I258" s="462">
        <v>0</v>
      </c>
      <c r="J258" s="449"/>
      <c r="K258" s="462" t="e">
        <f t="shared" si="65"/>
        <v>#DIV/0!</v>
      </c>
      <c r="L258" s="462">
        <f t="shared" si="66"/>
        <v>0</v>
      </c>
      <c r="M258" s="449"/>
      <c r="N258" s="178">
        <f t="shared" si="64"/>
        <v>0</v>
      </c>
    </row>
    <row r="259" spans="1:14" ht="127.7" customHeight="1" outlineLevel="1" x14ac:dyDescent="0.3">
      <c r="A259" s="202" t="s">
        <v>981</v>
      </c>
      <c r="B259" s="392" t="s">
        <v>455</v>
      </c>
      <c r="C259" s="392" t="s">
        <v>59</v>
      </c>
      <c r="D259" s="392" t="s">
        <v>1007</v>
      </c>
      <c r="E259" s="392" t="s">
        <v>6</v>
      </c>
      <c r="F259" s="462"/>
      <c r="G259" s="462">
        <f t="shared" ref="G259:J260" si="94">G260</f>
        <v>105092.38</v>
      </c>
      <c r="H259" s="474"/>
      <c r="I259" s="462">
        <f t="shared" si="94"/>
        <v>0</v>
      </c>
      <c r="J259" s="462">
        <f t="shared" si="94"/>
        <v>0</v>
      </c>
      <c r="K259" s="462">
        <f t="shared" si="65"/>
        <v>0</v>
      </c>
      <c r="L259" s="462">
        <f t="shared" si="66"/>
        <v>-105092.38</v>
      </c>
      <c r="M259" s="462">
        <f t="shared" ref="M259:M260" si="95">M260</f>
        <v>0</v>
      </c>
      <c r="N259" s="178">
        <f t="shared" si="64"/>
        <v>0</v>
      </c>
    </row>
    <row r="260" spans="1:14" ht="37.549999999999997" customHeight="1" outlineLevel="1" x14ac:dyDescent="0.3">
      <c r="A260" s="189" t="s">
        <v>15</v>
      </c>
      <c r="B260" s="392" t="s">
        <v>455</v>
      </c>
      <c r="C260" s="392" t="s">
        <v>59</v>
      </c>
      <c r="D260" s="392" t="s">
        <v>1007</v>
      </c>
      <c r="E260" s="392" t="s">
        <v>16</v>
      </c>
      <c r="F260" s="462"/>
      <c r="G260" s="462">
        <f t="shared" si="94"/>
        <v>105092.38</v>
      </c>
      <c r="H260" s="460"/>
      <c r="I260" s="462">
        <f t="shared" si="94"/>
        <v>0</v>
      </c>
      <c r="J260" s="462">
        <f t="shared" si="94"/>
        <v>0</v>
      </c>
      <c r="K260" s="462">
        <f t="shared" si="65"/>
        <v>0</v>
      </c>
      <c r="L260" s="462">
        <f t="shared" si="66"/>
        <v>-105092.38</v>
      </c>
      <c r="M260" s="462">
        <f t="shared" si="95"/>
        <v>0</v>
      </c>
      <c r="N260" s="178">
        <f t="shared" si="64"/>
        <v>0</v>
      </c>
    </row>
    <row r="261" spans="1:14" ht="37.549999999999997" customHeight="1" outlineLevel="1" x14ac:dyDescent="0.3">
      <c r="A261" s="189" t="s">
        <v>17</v>
      </c>
      <c r="B261" s="392" t="s">
        <v>455</v>
      </c>
      <c r="C261" s="392" t="s">
        <v>59</v>
      </c>
      <c r="D261" s="392" t="s">
        <v>1007</v>
      </c>
      <c r="E261" s="392" t="s">
        <v>18</v>
      </c>
      <c r="F261" s="462"/>
      <c r="G261" s="462">
        <f>105092.38</f>
        <v>105092.38</v>
      </c>
      <c r="H261" s="460"/>
      <c r="I261" s="462">
        <v>0</v>
      </c>
      <c r="J261" s="449"/>
      <c r="K261" s="462">
        <f t="shared" si="65"/>
        <v>0</v>
      </c>
      <c r="L261" s="462">
        <f t="shared" si="66"/>
        <v>-105092.38</v>
      </c>
      <c r="M261" s="449"/>
      <c r="N261" s="178">
        <f t="shared" si="64"/>
        <v>0</v>
      </c>
    </row>
    <row r="262" spans="1:14" ht="42.8" customHeight="1" outlineLevel="1" x14ac:dyDescent="0.3">
      <c r="A262" s="189" t="s">
        <v>956</v>
      </c>
      <c r="B262" s="392" t="s">
        <v>455</v>
      </c>
      <c r="C262" s="392" t="s">
        <v>59</v>
      </c>
      <c r="D262" s="392" t="s">
        <v>639</v>
      </c>
      <c r="E262" s="392" t="s">
        <v>6</v>
      </c>
      <c r="F262" s="462"/>
      <c r="G262" s="462">
        <f t="shared" ref="G262:J263" si="96">G263</f>
        <v>0</v>
      </c>
      <c r="H262" s="460">
        <v>0</v>
      </c>
      <c r="I262" s="462">
        <f t="shared" si="96"/>
        <v>0</v>
      </c>
      <c r="J262" s="462">
        <f t="shared" si="96"/>
        <v>0</v>
      </c>
      <c r="K262" s="462" t="e">
        <f t="shared" si="65"/>
        <v>#DIV/0!</v>
      </c>
      <c r="L262" s="462">
        <f t="shared" si="66"/>
        <v>0</v>
      </c>
      <c r="M262" s="462">
        <f t="shared" ref="M262:M263" si="97">M263</f>
        <v>0</v>
      </c>
      <c r="N262" s="178">
        <f t="shared" si="64"/>
        <v>0</v>
      </c>
    </row>
    <row r="263" spans="1:14" ht="37.549999999999997" customHeight="1" outlineLevel="1" x14ac:dyDescent="0.3">
      <c r="A263" s="189" t="s">
        <v>15</v>
      </c>
      <c r="B263" s="392" t="s">
        <v>455</v>
      </c>
      <c r="C263" s="392" t="s">
        <v>59</v>
      </c>
      <c r="D263" s="392" t="s">
        <v>639</v>
      </c>
      <c r="E263" s="392" t="s">
        <v>16</v>
      </c>
      <c r="F263" s="462"/>
      <c r="G263" s="462">
        <f t="shared" si="96"/>
        <v>0</v>
      </c>
      <c r="H263" s="460">
        <v>0</v>
      </c>
      <c r="I263" s="462">
        <f t="shared" si="96"/>
        <v>0</v>
      </c>
      <c r="J263" s="462">
        <f t="shared" si="96"/>
        <v>0</v>
      </c>
      <c r="K263" s="462" t="e">
        <f t="shared" si="65"/>
        <v>#DIV/0!</v>
      </c>
      <c r="L263" s="462">
        <f t="shared" si="66"/>
        <v>0</v>
      </c>
      <c r="M263" s="462">
        <f t="shared" si="97"/>
        <v>0</v>
      </c>
      <c r="N263" s="178">
        <f t="shared" si="64"/>
        <v>0</v>
      </c>
    </row>
    <row r="264" spans="1:14" ht="37.549999999999997" customHeight="1" outlineLevel="1" x14ac:dyDescent="0.3">
      <c r="A264" s="189" t="s">
        <v>17</v>
      </c>
      <c r="B264" s="392" t="s">
        <v>455</v>
      </c>
      <c r="C264" s="392" t="s">
        <v>59</v>
      </c>
      <c r="D264" s="392" t="s">
        <v>639</v>
      </c>
      <c r="E264" s="392" t="s">
        <v>18</v>
      </c>
      <c r="F264" s="462"/>
      <c r="G264" s="462"/>
      <c r="H264" s="460">
        <v>0</v>
      </c>
      <c r="I264" s="462">
        <v>0</v>
      </c>
      <c r="J264" s="449"/>
      <c r="K264" s="462" t="e">
        <f t="shared" si="65"/>
        <v>#DIV/0!</v>
      </c>
      <c r="L264" s="462">
        <f t="shared" si="66"/>
        <v>0</v>
      </c>
      <c r="M264" s="449"/>
      <c r="N264" s="178">
        <f t="shared" si="64"/>
        <v>0</v>
      </c>
    </row>
    <row r="265" spans="1:14" ht="42.45" customHeight="1" outlineLevel="1" x14ac:dyDescent="0.3">
      <c r="A265" s="189" t="s">
        <v>616</v>
      </c>
      <c r="B265" s="392" t="s">
        <v>455</v>
      </c>
      <c r="C265" s="392" t="s">
        <v>59</v>
      </c>
      <c r="D265" s="392" t="s">
        <v>615</v>
      </c>
      <c r="E265" s="392" t="s">
        <v>6</v>
      </c>
      <c r="F265" s="462"/>
      <c r="G265" s="462">
        <f t="shared" ref="G265:J266" si="98">G266</f>
        <v>30303.03</v>
      </c>
      <c r="H265" s="460">
        <v>0</v>
      </c>
      <c r="I265" s="462">
        <f t="shared" si="98"/>
        <v>0</v>
      </c>
      <c r="J265" s="462">
        <f t="shared" si="98"/>
        <v>60606.06</v>
      </c>
      <c r="K265" s="462">
        <f t="shared" si="65"/>
        <v>200</v>
      </c>
      <c r="L265" s="462">
        <f t="shared" si="66"/>
        <v>30303.03</v>
      </c>
      <c r="M265" s="462">
        <f t="shared" ref="M265:M266" si="99">M266</f>
        <v>60606.06</v>
      </c>
      <c r="N265" s="178">
        <f t="shared" ref="N265:N331" si="100">M265-J265</f>
        <v>0</v>
      </c>
    </row>
    <row r="266" spans="1:14" ht="23.95" customHeight="1" outlineLevel="1" x14ac:dyDescent="0.3">
      <c r="A266" s="189" t="s">
        <v>15</v>
      </c>
      <c r="B266" s="392" t="s">
        <v>455</v>
      </c>
      <c r="C266" s="392" t="s">
        <v>59</v>
      </c>
      <c r="D266" s="392" t="s">
        <v>615</v>
      </c>
      <c r="E266" s="392" t="s">
        <v>16</v>
      </c>
      <c r="F266" s="462"/>
      <c r="G266" s="462">
        <f t="shared" si="98"/>
        <v>30303.03</v>
      </c>
      <c r="H266" s="460">
        <v>0</v>
      </c>
      <c r="I266" s="462">
        <f t="shared" si="98"/>
        <v>0</v>
      </c>
      <c r="J266" s="462">
        <f t="shared" si="98"/>
        <v>60606.06</v>
      </c>
      <c r="K266" s="462">
        <f t="shared" ref="K266:K332" si="101">J266/G266*100</f>
        <v>200</v>
      </c>
      <c r="L266" s="462">
        <f t="shared" ref="L266:L332" si="102">J266-G266</f>
        <v>30303.03</v>
      </c>
      <c r="M266" s="462">
        <f t="shared" si="99"/>
        <v>60606.06</v>
      </c>
      <c r="N266" s="178">
        <f t="shared" si="100"/>
        <v>0</v>
      </c>
    </row>
    <row r="267" spans="1:14" ht="20.399999999999999" customHeight="1" outlineLevel="1" x14ac:dyDescent="0.3">
      <c r="A267" s="189" t="s">
        <v>17</v>
      </c>
      <c r="B267" s="392" t="s">
        <v>455</v>
      </c>
      <c r="C267" s="392" t="s">
        <v>59</v>
      </c>
      <c r="D267" s="392" t="s">
        <v>615</v>
      </c>
      <c r="E267" s="392" t="s">
        <v>18</v>
      </c>
      <c r="F267" s="462"/>
      <c r="G267" s="462">
        <v>30303.03</v>
      </c>
      <c r="H267" s="460">
        <v>0</v>
      </c>
      <c r="I267" s="462">
        <v>0</v>
      </c>
      <c r="J267" s="449">
        <v>60606.06</v>
      </c>
      <c r="K267" s="462">
        <f t="shared" si="101"/>
        <v>200</v>
      </c>
      <c r="L267" s="462">
        <f t="shared" si="102"/>
        <v>30303.03</v>
      </c>
      <c r="M267" s="449">
        <v>60606.06</v>
      </c>
      <c r="N267" s="178">
        <f t="shared" si="100"/>
        <v>0</v>
      </c>
    </row>
    <row r="268" spans="1:14" ht="20.399999999999999" customHeight="1" outlineLevel="1" x14ac:dyDescent="0.3">
      <c r="A268" s="189" t="s">
        <v>61</v>
      </c>
      <c r="B268" s="392" t="s">
        <v>455</v>
      </c>
      <c r="C268" s="392" t="s">
        <v>62</v>
      </c>
      <c r="D268" s="392" t="s">
        <v>126</v>
      </c>
      <c r="E268" s="392" t="s">
        <v>6</v>
      </c>
      <c r="F268" s="462">
        <f>F269+F286+F300</f>
        <v>33936957.659999996</v>
      </c>
      <c r="G268" s="462">
        <f>G269+G286+G300</f>
        <v>15111003.01</v>
      </c>
      <c r="H268" s="460">
        <v>22300515.539999999</v>
      </c>
      <c r="I268" s="462">
        <f>I269+I286+I300</f>
        <v>4322356.1399999997</v>
      </c>
      <c r="J268" s="462">
        <f>J269+J286+J300</f>
        <v>34903637.75</v>
      </c>
      <c r="K268" s="462">
        <f t="shared" si="101"/>
        <v>230.98160808320824</v>
      </c>
      <c r="L268" s="462">
        <f t="shared" si="102"/>
        <v>19792634.740000002</v>
      </c>
      <c r="M268" s="462">
        <f>M269+M286+M300</f>
        <v>24127693.660000004</v>
      </c>
      <c r="N268" s="178">
        <f t="shared" si="100"/>
        <v>-10775944.089999996</v>
      </c>
    </row>
    <row r="269" spans="1:14" ht="38.049999999999997" customHeight="1" outlineLevel="1" x14ac:dyDescent="0.3">
      <c r="A269" s="233" t="s">
        <v>1032</v>
      </c>
      <c r="B269" s="392" t="s">
        <v>455</v>
      </c>
      <c r="C269" s="397" t="s">
        <v>62</v>
      </c>
      <c r="D269" s="397" t="s">
        <v>134</v>
      </c>
      <c r="E269" s="397" t="s">
        <v>6</v>
      </c>
      <c r="F269" s="471">
        <f>F270</f>
        <v>2079400</v>
      </c>
      <c r="G269" s="462">
        <f>G270</f>
        <v>3044292.5700000003</v>
      </c>
      <c r="H269" s="460">
        <v>2051975.26</v>
      </c>
      <c r="I269" s="462">
        <f>I270</f>
        <v>900000</v>
      </c>
      <c r="J269" s="462">
        <f>J270</f>
        <v>9400000</v>
      </c>
      <c r="K269" s="462">
        <f t="shared" si="101"/>
        <v>308.77452754154962</v>
      </c>
      <c r="L269" s="462">
        <f t="shared" si="102"/>
        <v>6355707.4299999997</v>
      </c>
      <c r="M269" s="462">
        <f>M270</f>
        <v>1409168.98</v>
      </c>
      <c r="N269" s="178">
        <f t="shared" si="100"/>
        <v>-7990831.0199999996</v>
      </c>
    </row>
    <row r="270" spans="1:14" ht="23.3" customHeight="1" outlineLevel="1" x14ac:dyDescent="0.3">
      <c r="A270" s="189" t="s">
        <v>339</v>
      </c>
      <c r="B270" s="392" t="s">
        <v>455</v>
      </c>
      <c r="C270" s="392" t="s">
        <v>62</v>
      </c>
      <c r="D270" s="392" t="s">
        <v>229</v>
      </c>
      <c r="E270" s="392" t="s">
        <v>6</v>
      </c>
      <c r="F270" s="471">
        <f>F271+F274</f>
        <v>2079400</v>
      </c>
      <c r="G270" s="462">
        <f>G271+G277+G274+G280</f>
        <v>3044292.5700000003</v>
      </c>
      <c r="H270" s="460">
        <v>2051975.26</v>
      </c>
      <c r="I270" s="462">
        <f>I271+I277+I274+I280</f>
        <v>900000</v>
      </c>
      <c r="J270" s="462">
        <f>J271+J277+J274+J280</f>
        <v>9400000</v>
      </c>
      <c r="K270" s="462">
        <f t="shared" si="101"/>
        <v>308.77452754154962</v>
      </c>
      <c r="L270" s="462">
        <f t="shared" si="102"/>
        <v>6355707.4299999997</v>
      </c>
      <c r="M270" s="462">
        <f>M271+M277+M274+M280+M283</f>
        <v>1409168.98</v>
      </c>
      <c r="N270" s="178">
        <f t="shared" si="100"/>
        <v>-7990831.0199999996</v>
      </c>
    </row>
    <row r="271" spans="1:14" ht="37.4" customHeight="1" outlineLevel="1" x14ac:dyDescent="0.3">
      <c r="A271" s="189" t="s">
        <v>343</v>
      </c>
      <c r="B271" s="392" t="s">
        <v>455</v>
      </c>
      <c r="C271" s="392" t="s">
        <v>62</v>
      </c>
      <c r="D271" s="392" t="s">
        <v>418</v>
      </c>
      <c r="E271" s="392" t="s">
        <v>6</v>
      </c>
      <c r="F271" s="471">
        <f>F272</f>
        <v>2079400</v>
      </c>
      <c r="G271" s="462">
        <f t="shared" ref="G271:J272" si="103">G272</f>
        <v>2000000</v>
      </c>
      <c r="H271" s="460">
        <v>0</v>
      </c>
      <c r="I271" s="462">
        <f t="shared" si="103"/>
        <v>400000</v>
      </c>
      <c r="J271" s="462">
        <f t="shared" si="103"/>
        <v>2400000</v>
      </c>
      <c r="K271" s="462">
        <f t="shared" si="101"/>
        <v>120</v>
      </c>
      <c r="L271" s="462">
        <f t="shared" si="102"/>
        <v>400000</v>
      </c>
      <c r="M271" s="462">
        <f t="shared" ref="M271:M272" si="104">M272</f>
        <v>0</v>
      </c>
      <c r="N271" s="178">
        <f t="shared" si="100"/>
        <v>-2400000</v>
      </c>
    </row>
    <row r="272" spans="1:14" s="224" customFormat="1" ht="34" outlineLevel="1" x14ac:dyDescent="0.3">
      <c r="A272" s="189" t="s">
        <v>15</v>
      </c>
      <c r="B272" s="392" t="s">
        <v>455</v>
      </c>
      <c r="C272" s="392" t="s">
        <v>62</v>
      </c>
      <c r="D272" s="392" t="s">
        <v>418</v>
      </c>
      <c r="E272" s="392" t="s">
        <v>16</v>
      </c>
      <c r="F272" s="471">
        <f>F273</f>
        <v>2079400</v>
      </c>
      <c r="G272" s="462">
        <f t="shared" si="103"/>
        <v>2000000</v>
      </c>
      <c r="H272" s="460">
        <v>0</v>
      </c>
      <c r="I272" s="462">
        <f t="shared" si="103"/>
        <v>400000</v>
      </c>
      <c r="J272" s="462">
        <f t="shared" si="103"/>
        <v>2400000</v>
      </c>
      <c r="K272" s="462">
        <f t="shared" si="101"/>
        <v>120</v>
      </c>
      <c r="L272" s="462">
        <f t="shared" si="102"/>
        <v>400000</v>
      </c>
      <c r="M272" s="462">
        <f t="shared" si="104"/>
        <v>0</v>
      </c>
      <c r="N272" s="178">
        <f t="shared" si="100"/>
        <v>-2400000</v>
      </c>
    </row>
    <row r="273" spans="1:14" ht="50.95" outlineLevel="1" x14ac:dyDescent="0.3">
      <c r="A273" s="189" t="s">
        <v>17</v>
      </c>
      <c r="B273" s="392" t="s">
        <v>455</v>
      </c>
      <c r="C273" s="392" t="s">
        <v>62</v>
      </c>
      <c r="D273" s="392" t="s">
        <v>418</v>
      </c>
      <c r="E273" s="392" t="s">
        <v>18</v>
      </c>
      <c r="F273" s="475">
        <v>2079400</v>
      </c>
      <c r="G273" s="462">
        <v>2000000</v>
      </c>
      <c r="H273" s="460">
        <v>0</v>
      </c>
      <c r="I273" s="462">
        <v>400000</v>
      </c>
      <c r="J273" s="462">
        <v>2400000</v>
      </c>
      <c r="K273" s="462">
        <f t="shared" si="101"/>
        <v>120</v>
      </c>
      <c r="L273" s="462">
        <f t="shared" si="102"/>
        <v>400000</v>
      </c>
      <c r="M273" s="462">
        <v>0</v>
      </c>
      <c r="N273" s="178">
        <f t="shared" si="100"/>
        <v>-2400000</v>
      </c>
    </row>
    <row r="274" spans="1:14" ht="56.4" customHeight="1" outlineLevel="1" x14ac:dyDescent="0.3">
      <c r="A274" s="202" t="s">
        <v>684</v>
      </c>
      <c r="B274" s="392" t="s">
        <v>455</v>
      </c>
      <c r="C274" s="392" t="s">
        <v>62</v>
      </c>
      <c r="D274" s="392" t="s">
        <v>814</v>
      </c>
      <c r="E274" s="392" t="s">
        <v>6</v>
      </c>
      <c r="F274" s="462"/>
      <c r="G274" s="462">
        <f t="shared" ref="G274:J275" si="105">G275</f>
        <v>544292.57000000007</v>
      </c>
      <c r="H274" s="460">
        <v>1822641.9</v>
      </c>
      <c r="I274" s="462">
        <f t="shared" si="105"/>
        <v>0</v>
      </c>
      <c r="J274" s="462">
        <f t="shared" si="105"/>
        <v>0</v>
      </c>
      <c r="K274" s="462">
        <f t="shared" si="101"/>
        <v>0</v>
      </c>
      <c r="L274" s="462">
        <f t="shared" si="102"/>
        <v>-544292.57000000007</v>
      </c>
      <c r="M274" s="462">
        <f t="shared" ref="M274:M275" si="106">M275</f>
        <v>0</v>
      </c>
      <c r="N274" s="178">
        <f t="shared" si="100"/>
        <v>0</v>
      </c>
    </row>
    <row r="275" spans="1:14" ht="34" outlineLevel="1" x14ac:dyDescent="0.3">
      <c r="A275" s="189" t="s">
        <v>15</v>
      </c>
      <c r="B275" s="392" t="s">
        <v>455</v>
      </c>
      <c r="C275" s="392" t="s">
        <v>62</v>
      </c>
      <c r="D275" s="392" t="s">
        <v>814</v>
      </c>
      <c r="E275" s="392" t="s">
        <v>16</v>
      </c>
      <c r="F275" s="462"/>
      <c r="G275" s="462">
        <f t="shared" si="105"/>
        <v>544292.57000000007</v>
      </c>
      <c r="H275" s="460">
        <v>1822641.9</v>
      </c>
      <c r="I275" s="462">
        <f t="shared" si="105"/>
        <v>0</v>
      </c>
      <c r="J275" s="462">
        <f t="shared" si="105"/>
        <v>0</v>
      </c>
      <c r="K275" s="462">
        <f t="shared" si="101"/>
        <v>0</v>
      </c>
      <c r="L275" s="462">
        <f t="shared" si="102"/>
        <v>-544292.57000000007</v>
      </c>
      <c r="M275" s="462">
        <f t="shared" si="106"/>
        <v>0</v>
      </c>
      <c r="N275" s="178">
        <f t="shared" si="100"/>
        <v>0</v>
      </c>
    </row>
    <row r="276" spans="1:14" ht="18.7" customHeight="1" outlineLevel="1" x14ac:dyDescent="0.3">
      <c r="A276" s="189" t="s">
        <v>17</v>
      </c>
      <c r="B276" s="392" t="s">
        <v>455</v>
      </c>
      <c r="C276" s="392" t="s">
        <v>62</v>
      </c>
      <c r="D276" s="392" t="s">
        <v>814</v>
      </c>
      <c r="E276" s="392" t="s">
        <v>18</v>
      </c>
      <c r="F276" s="462"/>
      <c r="G276" s="462">
        <f>789950+2500+1849060-573210.67-245657.43-1275849.33-2500</f>
        <v>544292.57000000007</v>
      </c>
      <c r="H276" s="460">
        <v>1822641.9</v>
      </c>
      <c r="I276" s="462">
        <v>0</v>
      </c>
      <c r="J276" s="449"/>
      <c r="K276" s="462">
        <f t="shared" si="101"/>
        <v>0</v>
      </c>
      <c r="L276" s="462">
        <f t="shared" si="102"/>
        <v>-544292.57000000007</v>
      </c>
      <c r="M276" s="449"/>
      <c r="N276" s="178">
        <f t="shared" si="100"/>
        <v>0</v>
      </c>
    </row>
    <row r="277" spans="1:14" ht="34" outlineLevel="1" x14ac:dyDescent="0.3">
      <c r="A277" s="189" t="s">
        <v>63</v>
      </c>
      <c r="B277" s="392" t="s">
        <v>455</v>
      </c>
      <c r="C277" s="392" t="s">
        <v>62</v>
      </c>
      <c r="D277" s="392" t="s">
        <v>340</v>
      </c>
      <c r="E277" s="392" t="s">
        <v>6</v>
      </c>
      <c r="F277" s="471">
        <f>F278</f>
        <v>228780.17</v>
      </c>
      <c r="G277" s="462">
        <f t="shared" ref="G277:J278" si="107">G278</f>
        <v>500000</v>
      </c>
      <c r="H277" s="460">
        <v>229333.36</v>
      </c>
      <c r="I277" s="462">
        <f t="shared" si="107"/>
        <v>500000</v>
      </c>
      <c r="J277" s="462">
        <f t="shared" si="107"/>
        <v>7000000</v>
      </c>
      <c r="K277" s="462">
        <f t="shared" si="101"/>
        <v>1400</v>
      </c>
      <c r="L277" s="462">
        <f t="shared" si="102"/>
        <v>6500000</v>
      </c>
      <c r="M277" s="462">
        <f t="shared" ref="M277:M278" si="108">M278</f>
        <v>500000</v>
      </c>
      <c r="N277" s="178">
        <f t="shared" si="100"/>
        <v>-6500000</v>
      </c>
    </row>
    <row r="278" spans="1:14" ht="34" outlineLevel="1" x14ac:dyDescent="0.3">
      <c r="A278" s="189" t="s">
        <v>15</v>
      </c>
      <c r="B278" s="392" t="s">
        <v>455</v>
      </c>
      <c r="C278" s="392" t="s">
        <v>62</v>
      </c>
      <c r="D278" s="392" t="s">
        <v>340</v>
      </c>
      <c r="E278" s="392" t="s">
        <v>16</v>
      </c>
      <c r="F278" s="471">
        <f>F279</f>
        <v>228780.17</v>
      </c>
      <c r="G278" s="462">
        <f t="shared" si="107"/>
        <v>500000</v>
      </c>
      <c r="H278" s="460">
        <v>229333.36</v>
      </c>
      <c r="I278" s="462">
        <f t="shared" si="107"/>
        <v>500000</v>
      </c>
      <c r="J278" s="462">
        <f t="shared" si="107"/>
        <v>7000000</v>
      </c>
      <c r="K278" s="462">
        <f t="shared" si="101"/>
        <v>1400</v>
      </c>
      <c r="L278" s="462">
        <f t="shared" si="102"/>
        <v>6500000</v>
      </c>
      <c r="M278" s="462">
        <f t="shared" si="108"/>
        <v>500000</v>
      </c>
      <c r="N278" s="178">
        <f t="shared" si="100"/>
        <v>-6500000</v>
      </c>
    </row>
    <row r="279" spans="1:14" ht="22.75" customHeight="1" outlineLevel="1" x14ac:dyDescent="0.3">
      <c r="A279" s="189" t="s">
        <v>17</v>
      </c>
      <c r="B279" s="392" t="s">
        <v>455</v>
      </c>
      <c r="C279" s="392" t="s">
        <v>62</v>
      </c>
      <c r="D279" s="392" t="s">
        <v>340</v>
      </c>
      <c r="E279" s="392" t="s">
        <v>18</v>
      </c>
      <c r="F279" s="475">
        <v>228780.17</v>
      </c>
      <c r="G279" s="449">
        <f>'потребность 2023 (5)'!K283</f>
        <v>500000</v>
      </c>
      <c r="H279" s="460">
        <v>229333.36</v>
      </c>
      <c r="I279" s="449">
        <v>500000</v>
      </c>
      <c r="J279" s="449">
        <v>7000000</v>
      </c>
      <c r="K279" s="462">
        <f t="shared" si="101"/>
        <v>1400</v>
      </c>
      <c r="L279" s="462">
        <f t="shared" si="102"/>
        <v>6500000</v>
      </c>
      <c r="M279" s="449">
        <f>7000000-6500000</f>
        <v>500000</v>
      </c>
      <c r="N279" s="178">
        <f t="shared" si="100"/>
        <v>-6500000</v>
      </c>
    </row>
    <row r="280" spans="1:14" ht="70" customHeight="1" outlineLevel="1" x14ac:dyDescent="0.3">
      <c r="A280" s="550" t="s">
        <v>1125</v>
      </c>
      <c r="B280" s="551" t="s">
        <v>455</v>
      </c>
      <c r="C280" s="551" t="s">
        <v>62</v>
      </c>
      <c r="D280" s="552" t="s">
        <v>1127</v>
      </c>
      <c r="E280" s="551" t="s">
        <v>6</v>
      </c>
      <c r="F280" s="554" t="s">
        <v>838</v>
      </c>
      <c r="G280" s="555">
        <f t="shared" ref="G280:J281" si="109">G281</f>
        <v>0</v>
      </c>
      <c r="H280" s="555"/>
      <c r="I280" s="555">
        <f t="shared" si="109"/>
        <v>0</v>
      </c>
      <c r="J280" s="555">
        <f t="shared" si="109"/>
        <v>0</v>
      </c>
      <c r="K280" s="554" t="e">
        <f t="shared" si="101"/>
        <v>#DIV/0!</v>
      </c>
      <c r="L280" s="554">
        <f t="shared" si="102"/>
        <v>0</v>
      </c>
      <c r="M280" s="555">
        <f t="shared" ref="M280:M281" si="110">M281</f>
        <v>900077.29</v>
      </c>
      <c r="N280" s="556">
        <f t="shared" si="100"/>
        <v>900077.29</v>
      </c>
    </row>
    <row r="281" spans="1:14" ht="22.75" customHeight="1" outlineLevel="1" x14ac:dyDescent="0.3">
      <c r="A281" s="557" t="s">
        <v>15</v>
      </c>
      <c r="B281" s="551" t="s">
        <v>455</v>
      </c>
      <c r="C281" s="551" t="s">
        <v>62</v>
      </c>
      <c r="D281" s="552" t="s">
        <v>1127</v>
      </c>
      <c r="E281" s="551" t="s">
        <v>16</v>
      </c>
      <c r="F281" s="554" t="s">
        <v>838</v>
      </c>
      <c r="G281" s="555">
        <f t="shared" si="109"/>
        <v>0</v>
      </c>
      <c r="H281" s="555"/>
      <c r="I281" s="555">
        <f t="shared" si="109"/>
        <v>0</v>
      </c>
      <c r="J281" s="555">
        <f t="shared" si="109"/>
        <v>0</v>
      </c>
      <c r="K281" s="554" t="e">
        <f t="shared" si="101"/>
        <v>#DIV/0!</v>
      </c>
      <c r="L281" s="554">
        <f t="shared" si="102"/>
        <v>0</v>
      </c>
      <c r="M281" s="555">
        <f t="shared" si="110"/>
        <v>900077.29</v>
      </c>
      <c r="N281" s="556">
        <f t="shared" si="100"/>
        <v>900077.29</v>
      </c>
    </row>
    <row r="282" spans="1:14" ht="22.75" customHeight="1" outlineLevel="1" x14ac:dyDescent="0.3">
      <c r="A282" s="557" t="s">
        <v>17</v>
      </c>
      <c r="B282" s="551" t="s">
        <v>455</v>
      </c>
      <c r="C282" s="551" t="s">
        <v>62</v>
      </c>
      <c r="D282" s="552" t="s">
        <v>1127</v>
      </c>
      <c r="E282" s="551" t="s">
        <v>18</v>
      </c>
      <c r="F282" s="554" t="s">
        <v>838</v>
      </c>
      <c r="G282" s="555">
        <v>0</v>
      </c>
      <c r="H282" s="555"/>
      <c r="I282" s="555">
        <v>0</v>
      </c>
      <c r="J282" s="555"/>
      <c r="K282" s="554" t="e">
        <f t="shared" si="101"/>
        <v>#DIV/0!</v>
      </c>
      <c r="L282" s="554">
        <f t="shared" si="102"/>
        <v>0</v>
      </c>
      <c r="M282" s="555">
        <v>900077.29</v>
      </c>
      <c r="N282" s="556">
        <f t="shared" si="100"/>
        <v>900077.29</v>
      </c>
    </row>
    <row r="283" spans="1:14" ht="106.65" customHeight="1" outlineLevel="1" x14ac:dyDescent="0.3">
      <c r="A283" s="550" t="s">
        <v>1126</v>
      </c>
      <c r="B283" s="551" t="s">
        <v>455</v>
      </c>
      <c r="C283" s="551" t="s">
        <v>62</v>
      </c>
      <c r="D283" s="558" t="s">
        <v>1128</v>
      </c>
      <c r="E283" s="551" t="s">
        <v>6</v>
      </c>
      <c r="F283" s="573"/>
      <c r="G283" s="555"/>
      <c r="H283" s="574"/>
      <c r="I283" s="555"/>
      <c r="J283" s="555"/>
      <c r="K283" s="554"/>
      <c r="L283" s="554"/>
      <c r="M283" s="555">
        <f>M284</f>
        <v>9091.69</v>
      </c>
      <c r="N283" s="556"/>
    </row>
    <row r="284" spans="1:14" ht="22.75" customHeight="1" outlineLevel="1" x14ac:dyDescent="0.3">
      <c r="A284" s="557" t="s">
        <v>15</v>
      </c>
      <c r="B284" s="551" t="s">
        <v>455</v>
      </c>
      <c r="C284" s="551" t="s">
        <v>62</v>
      </c>
      <c r="D284" s="552" t="s">
        <v>1128</v>
      </c>
      <c r="E284" s="551" t="s">
        <v>16</v>
      </c>
      <c r="F284" s="573"/>
      <c r="G284" s="555"/>
      <c r="H284" s="574"/>
      <c r="I284" s="555"/>
      <c r="J284" s="555"/>
      <c r="K284" s="554"/>
      <c r="L284" s="554"/>
      <c r="M284" s="555">
        <f>M285</f>
        <v>9091.69</v>
      </c>
      <c r="N284" s="556"/>
    </row>
    <row r="285" spans="1:14" ht="22.75" customHeight="1" outlineLevel="1" x14ac:dyDescent="0.3">
      <c r="A285" s="557" t="s">
        <v>17</v>
      </c>
      <c r="B285" s="551" t="s">
        <v>455</v>
      </c>
      <c r="C285" s="551" t="s">
        <v>62</v>
      </c>
      <c r="D285" s="552" t="s">
        <v>1128</v>
      </c>
      <c r="E285" s="551" t="s">
        <v>18</v>
      </c>
      <c r="F285" s="573"/>
      <c r="G285" s="555"/>
      <c r="H285" s="574"/>
      <c r="I285" s="555"/>
      <c r="J285" s="555"/>
      <c r="K285" s="554"/>
      <c r="L285" s="554"/>
      <c r="M285" s="555">
        <f>ROUND(M282*1/99,2)</f>
        <v>9091.69</v>
      </c>
      <c r="N285" s="556"/>
    </row>
    <row r="286" spans="1:14" s="224" customFormat="1" ht="46.9" customHeight="1" outlineLevel="1" x14ac:dyDescent="0.3">
      <c r="A286" s="233" t="s">
        <v>463</v>
      </c>
      <c r="B286" s="397" t="s">
        <v>455</v>
      </c>
      <c r="C286" s="397" t="s">
        <v>62</v>
      </c>
      <c r="D286" s="397" t="s">
        <v>464</v>
      </c>
      <c r="E286" s="397" t="s">
        <v>6</v>
      </c>
      <c r="F286" s="471">
        <f>F287</f>
        <v>30302162.460000001</v>
      </c>
      <c r="G286" s="462">
        <f>G287</f>
        <v>11102296.719999999</v>
      </c>
      <c r="H286" s="460">
        <v>7730697.9199999999</v>
      </c>
      <c r="I286" s="462">
        <f>I287</f>
        <v>2984900</v>
      </c>
      <c r="J286" s="462">
        <f>J287</f>
        <v>13999900</v>
      </c>
      <c r="K286" s="462">
        <f t="shared" si="101"/>
        <v>126.09913383759755</v>
      </c>
      <c r="L286" s="462">
        <f t="shared" si="102"/>
        <v>2897603.2800000012</v>
      </c>
      <c r="M286" s="462">
        <f>M287</f>
        <v>11252808.310000001</v>
      </c>
      <c r="N286" s="178">
        <f t="shared" si="100"/>
        <v>-2747091.6899999995</v>
      </c>
    </row>
    <row r="287" spans="1:14" ht="34" outlineLevel="1" x14ac:dyDescent="0.3">
      <c r="A287" s="189" t="s">
        <v>465</v>
      </c>
      <c r="B287" s="392" t="s">
        <v>455</v>
      </c>
      <c r="C287" s="392" t="s">
        <v>62</v>
      </c>
      <c r="D287" s="392" t="s">
        <v>466</v>
      </c>
      <c r="E287" s="392" t="s">
        <v>6</v>
      </c>
      <c r="F287" s="471">
        <f>F288+F291+F294+F300+F297</f>
        <v>30302162.460000001</v>
      </c>
      <c r="G287" s="462">
        <f>G288+G291+G294+G297</f>
        <v>11102296.719999999</v>
      </c>
      <c r="H287" s="460">
        <v>7730697.9199999999</v>
      </c>
      <c r="I287" s="462">
        <f>I288+I291+I294+I297</f>
        <v>2984900</v>
      </c>
      <c r="J287" s="462">
        <f>J288+J291+J294+J297</f>
        <v>13999900</v>
      </c>
      <c r="K287" s="462">
        <f t="shared" si="101"/>
        <v>126.09913383759755</v>
      </c>
      <c r="L287" s="462">
        <f t="shared" si="102"/>
        <v>2897603.2800000012</v>
      </c>
      <c r="M287" s="462">
        <f>M288+M291+M294+M297</f>
        <v>11252808.310000001</v>
      </c>
      <c r="N287" s="178">
        <f t="shared" si="100"/>
        <v>-2747091.6899999995</v>
      </c>
    </row>
    <row r="288" spans="1:14" ht="56.25" customHeight="1" outlineLevel="1" x14ac:dyDescent="0.3">
      <c r="A288" s="189" t="s">
        <v>467</v>
      </c>
      <c r="B288" s="392" t="s">
        <v>455</v>
      </c>
      <c r="C288" s="392" t="s">
        <v>62</v>
      </c>
      <c r="D288" s="392" t="s">
        <v>468</v>
      </c>
      <c r="E288" s="392" t="s">
        <v>6</v>
      </c>
      <c r="F288" s="471">
        <f>F289</f>
        <v>2288115.27</v>
      </c>
      <c r="G288" s="462">
        <f t="shared" ref="G288:J289" si="111">G289</f>
        <v>2170900</v>
      </c>
      <c r="H288" s="460">
        <v>1105799.46</v>
      </c>
      <c r="I288" s="462">
        <f t="shared" si="111"/>
        <v>2159900</v>
      </c>
      <c r="J288" s="462">
        <f t="shared" si="111"/>
        <v>2329900</v>
      </c>
      <c r="K288" s="462">
        <f t="shared" si="101"/>
        <v>107.32415127366531</v>
      </c>
      <c r="L288" s="462">
        <f t="shared" si="102"/>
        <v>159000</v>
      </c>
      <c r="M288" s="462">
        <f t="shared" ref="M288:M289" si="112">M289</f>
        <v>2320808.31</v>
      </c>
      <c r="N288" s="178">
        <f t="shared" si="100"/>
        <v>-9091.6899999999441</v>
      </c>
    </row>
    <row r="289" spans="1:14" ht="34" outlineLevel="1" x14ac:dyDescent="0.3">
      <c r="A289" s="189" t="s">
        <v>15</v>
      </c>
      <c r="B289" s="392" t="s">
        <v>455</v>
      </c>
      <c r="C289" s="392" t="s">
        <v>62</v>
      </c>
      <c r="D289" s="392" t="s">
        <v>468</v>
      </c>
      <c r="E289" s="392" t="s">
        <v>16</v>
      </c>
      <c r="F289" s="471">
        <f>F290</f>
        <v>2288115.27</v>
      </c>
      <c r="G289" s="462">
        <f t="shared" si="111"/>
        <v>2170900</v>
      </c>
      <c r="H289" s="460">
        <v>1105799.46</v>
      </c>
      <c r="I289" s="462">
        <f t="shared" si="111"/>
        <v>2159900</v>
      </c>
      <c r="J289" s="462">
        <f t="shared" si="111"/>
        <v>2329900</v>
      </c>
      <c r="K289" s="462">
        <f t="shared" si="101"/>
        <v>107.32415127366531</v>
      </c>
      <c r="L289" s="462">
        <f t="shared" si="102"/>
        <v>159000</v>
      </c>
      <c r="M289" s="462">
        <f t="shared" si="112"/>
        <v>2320808.31</v>
      </c>
      <c r="N289" s="178">
        <f t="shared" si="100"/>
        <v>-9091.6899999999441</v>
      </c>
    </row>
    <row r="290" spans="1:14" ht="50.95" outlineLevel="1" x14ac:dyDescent="0.3">
      <c r="A290" s="189" t="s">
        <v>17</v>
      </c>
      <c r="B290" s="392" t="s">
        <v>455</v>
      </c>
      <c r="C290" s="392" t="s">
        <v>62</v>
      </c>
      <c r="D290" s="392" t="s">
        <v>468</v>
      </c>
      <c r="E290" s="392" t="s">
        <v>18</v>
      </c>
      <c r="F290" s="475">
        <v>2288115.27</v>
      </c>
      <c r="G290" s="449">
        <f>'потребность 2023 (5)'!K291</f>
        <v>2170900</v>
      </c>
      <c r="H290" s="460">
        <v>1105799.46</v>
      </c>
      <c r="I290" s="449">
        <v>2159900</v>
      </c>
      <c r="J290" s="449">
        <v>2329900</v>
      </c>
      <c r="K290" s="462">
        <f t="shared" si="101"/>
        <v>107.32415127366531</v>
      </c>
      <c r="L290" s="462">
        <f t="shared" si="102"/>
        <v>159000</v>
      </c>
      <c r="M290" s="449">
        <f>2329900-9091.69</f>
        <v>2320808.31</v>
      </c>
      <c r="N290" s="178">
        <f t="shared" si="100"/>
        <v>-9091.6899999999441</v>
      </c>
    </row>
    <row r="291" spans="1:14" ht="74.900000000000006" customHeight="1" outlineLevel="1" x14ac:dyDescent="0.3">
      <c r="A291" s="189" t="s">
        <v>469</v>
      </c>
      <c r="B291" s="392" t="s">
        <v>455</v>
      </c>
      <c r="C291" s="392" t="s">
        <v>62</v>
      </c>
      <c r="D291" s="392" t="s">
        <v>470</v>
      </c>
      <c r="E291" s="392" t="s">
        <v>6</v>
      </c>
      <c r="F291" s="471">
        <f>F292</f>
        <v>5083362.62</v>
      </c>
      <c r="G291" s="462">
        <f t="shared" ref="G291:J292" si="113">G292</f>
        <v>4948000</v>
      </c>
      <c r="H291" s="460">
        <v>4034746.67</v>
      </c>
      <c r="I291" s="462">
        <f t="shared" si="113"/>
        <v>0</v>
      </c>
      <c r="J291" s="462">
        <f t="shared" si="113"/>
        <v>4675000</v>
      </c>
      <c r="K291" s="462">
        <f t="shared" si="101"/>
        <v>94.482619240097009</v>
      </c>
      <c r="L291" s="462">
        <f t="shared" si="102"/>
        <v>-273000</v>
      </c>
      <c r="M291" s="462">
        <f t="shared" ref="M291:M292" si="114">M292</f>
        <v>4937000</v>
      </c>
      <c r="N291" s="178">
        <f t="shared" si="100"/>
        <v>262000</v>
      </c>
    </row>
    <row r="292" spans="1:14" ht="50.95" customHeight="1" outlineLevel="1" x14ac:dyDescent="0.3">
      <c r="A292" s="189" t="s">
        <v>15</v>
      </c>
      <c r="B292" s="392" t="s">
        <v>455</v>
      </c>
      <c r="C292" s="392" t="s">
        <v>62</v>
      </c>
      <c r="D292" s="392" t="s">
        <v>470</v>
      </c>
      <c r="E292" s="392" t="s">
        <v>16</v>
      </c>
      <c r="F292" s="471">
        <f>F293</f>
        <v>5083362.62</v>
      </c>
      <c r="G292" s="462">
        <f t="shared" si="113"/>
        <v>4948000</v>
      </c>
      <c r="H292" s="460">
        <v>4034746.67</v>
      </c>
      <c r="I292" s="462">
        <f t="shared" si="113"/>
        <v>0</v>
      </c>
      <c r="J292" s="462">
        <f t="shared" si="113"/>
        <v>4675000</v>
      </c>
      <c r="K292" s="462">
        <f t="shared" si="101"/>
        <v>94.482619240097009</v>
      </c>
      <c r="L292" s="462">
        <f t="shared" si="102"/>
        <v>-273000</v>
      </c>
      <c r="M292" s="462">
        <f t="shared" si="114"/>
        <v>4937000</v>
      </c>
      <c r="N292" s="178">
        <f t="shared" si="100"/>
        <v>262000</v>
      </c>
    </row>
    <row r="293" spans="1:14" ht="50.95" outlineLevel="1" x14ac:dyDescent="0.3">
      <c r="A293" s="189" t="s">
        <v>17</v>
      </c>
      <c r="B293" s="392" t="s">
        <v>455</v>
      </c>
      <c r="C293" s="392" t="s">
        <v>62</v>
      </c>
      <c r="D293" s="392" t="s">
        <v>470</v>
      </c>
      <c r="E293" s="392" t="s">
        <v>18</v>
      </c>
      <c r="F293" s="475">
        <v>5083362.62</v>
      </c>
      <c r="G293" s="449">
        <f>'потребность 2023 (5)'!K294+1600000</f>
        <v>4948000</v>
      </c>
      <c r="H293" s="460">
        <v>4034746.67</v>
      </c>
      <c r="I293" s="449">
        <v>0</v>
      </c>
      <c r="J293" s="449">
        <v>4675000</v>
      </c>
      <c r="K293" s="462">
        <f t="shared" si="101"/>
        <v>94.482619240097009</v>
      </c>
      <c r="L293" s="462">
        <f t="shared" si="102"/>
        <v>-273000</v>
      </c>
      <c r="M293" s="449">
        <v>4937000</v>
      </c>
      <c r="N293" s="178">
        <f t="shared" si="100"/>
        <v>262000</v>
      </c>
    </row>
    <row r="294" spans="1:14" ht="34" outlineLevel="1" x14ac:dyDescent="0.3">
      <c r="A294" s="189" t="s">
        <v>471</v>
      </c>
      <c r="B294" s="392" t="s">
        <v>455</v>
      </c>
      <c r="C294" s="392" t="s">
        <v>62</v>
      </c>
      <c r="D294" s="392" t="s">
        <v>472</v>
      </c>
      <c r="E294" s="392" t="s">
        <v>6</v>
      </c>
      <c r="F294" s="471">
        <f>F295</f>
        <v>21375289.370000001</v>
      </c>
      <c r="G294" s="462">
        <f t="shared" ref="G294:J295" si="115">G295</f>
        <v>3983396.7199999997</v>
      </c>
      <c r="H294" s="460">
        <v>2568527.14</v>
      </c>
      <c r="I294" s="462">
        <f t="shared" si="115"/>
        <v>825000</v>
      </c>
      <c r="J294" s="462">
        <f t="shared" si="115"/>
        <v>6995000</v>
      </c>
      <c r="K294" s="462">
        <f t="shared" si="101"/>
        <v>175.6039001809491</v>
      </c>
      <c r="L294" s="462">
        <f t="shared" si="102"/>
        <v>3011603.2800000003</v>
      </c>
      <c r="M294" s="462">
        <f t="shared" ref="M294:M295" si="116">M295</f>
        <v>3995000</v>
      </c>
      <c r="N294" s="178">
        <f t="shared" si="100"/>
        <v>-3000000</v>
      </c>
    </row>
    <row r="295" spans="1:14" ht="34" outlineLevel="1" x14ac:dyDescent="0.3">
      <c r="A295" s="189" t="s">
        <v>15</v>
      </c>
      <c r="B295" s="392" t="s">
        <v>455</v>
      </c>
      <c r="C295" s="392" t="s">
        <v>62</v>
      </c>
      <c r="D295" s="392" t="s">
        <v>472</v>
      </c>
      <c r="E295" s="392" t="s">
        <v>16</v>
      </c>
      <c r="F295" s="471">
        <f>F296</f>
        <v>21375289.370000001</v>
      </c>
      <c r="G295" s="462">
        <f t="shared" si="115"/>
        <v>3983396.7199999997</v>
      </c>
      <c r="H295" s="460">
        <v>2568527.14</v>
      </c>
      <c r="I295" s="462">
        <f t="shared" si="115"/>
        <v>825000</v>
      </c>
      <c r="J295" s="462">
        <f t="shared" si="115"/>
        <v>6995000</v>
      </c>
      <c r="K295" s="462">
        <f t="shared" si="101"/>
        <v>175.6039001809491</v>
      </c>
      <c r="L295" s="462">
        <f t="shared" si="102"/>
        <v>3011603.2800000003</v>
      </c>
      <c r="M295" s="462">
        <f t="shared" si="116"/>
        <v>3995000</v>
      </c>
      <c r="N295" s="178">
        <f t="shared" si="100"/>
        <v>-3000000</v>
      </c>
    </row>
    <row r="296" spans="1:14" ht="40.75" customHeight="1" outlineLevel="1" x14ac:dyDescent="0.3">
      <c r="A296" s="189" t="s">
        <v>17</v>
      </c>
      <c r="B296" s="392" t="s">
        <v>455</v>
      </c>
      <c r="C296" s="392" t="s">
        <v>62</v>
      </c>
      <c r="D296" s="392" t="s">
        <v>472</v>
      </c>
      <c r="E296" s="392" t="s">
        <v>18</v>
      </c>
      <c r="F296" s="475">
        <v>21375289.370000001</v>
      </c>
      <c r="G296" s="449">
        <f>'потребность 2023 (5)'!K297+348396.72</f>
        <v>3983396.7199999997</v>
      </c>
      <c r="H296" s="460">
        <v>2568527.14</v>
      </c>
      <c r="I296" s="449">
        <v>825000</v>
      </c>
      <c r="J296" s="449">
        <v>6995000</v>
      </c>
      <c r="K296" s="462">
        <f t="shared" si="101"/>
        <v>175.6039001809491</v>
      </c>
      <c r="L296" s="462">
        <f t="shared" si="102"/>
        <v>3011603.2800000003</v>
      </c>
      <c r="M296" s="449">
        <f>6995000-3000000</f>
        <v>3995000</v>
      </c>
      <c r="N296" s="178">
        <f t="shared" si="100"/>
        <v>-3000000</v>
      </c>
    </row>
    <row r="297" spans="1:14" ht="55.2" customHeight="1" outlineLevel="1" x14ac:dyDescent="0.3">
      <c r="A297" s="235" t="s">
        <v>1082</v>
      </c>
      <c r="B297" s="392" t="s">
        <v>455</v>
      </c>
      <c r="C297" s="392" t="s">
        <v>62</v>
      </c>
      <c r="D297" s="560">
        <v>1895894030</v>
      </c>
      <c r="E297" s="392" t="s">
        <v>6</v>
      </c>
      <c r="F297" s="462" t="s">
        <v>838</v>
      </c>
      <c r="G297" s="449">
        <f t="shared" ref="G297:J298" si="117">G298</f>
        <v>0</v>
      </c>
      <c r="H297" s="460"/>
      <c r="I297" s="449">
        <f t="shared" si="117"/>
        <v>0</v>
      </c>
      <c r="J297" s="449">
        <f t="shared" si="117"/>
        <v>0</v>
      </c>
      <c r="K297" s="462" t="e">
        <f t="shared" si="101"/>
        <v>#DIV/0!</v>
      </c>
      <c r="L297" s="462">
        <f t="shared" si="102"/>
        <v>0</v>
      </c>
      <c r="M297" s="449">
        <f t="shared" ref="M297:M298" si="118">M298</f>
        <v>0</v>
      </c>
      <c r="N297" s="178">
        <f t="shared" si="100"/>
        <v>0</v>
      </c>
    </row>
    <row r="298" spans="1:14" ht="38.25" customHeight="1" outlineLevel="1" x14ac:dyDescent="0.3">
      <c r="A298" s="189" t="s">
        <v>15</v>
      </c>
      <c r="B298" s="392" t="s">
        <v>455</v>
      </c>
      <c r="C298" s="392" t="s">
        <v>62</v>
      </c>
      <c r="D298" s="560">
        <v>1895894030</v>
      </c>
      <c r="E298" s="392" t="s">
        <v>16</v>
      </c>
      <c r="F298" s="462" t="s">
        <v>838</v>
      </c>
      <c r="G298" s="449">
        <f t="shared" si="117"/>
        <v>0</v>
      </c>
      <c r="H298" s="460"/>
      <c r="I298" s="449">
        <f t="shared" si="117"/>
        <v>0</v>
      </c>
      <c r="J298" s="449">
        <f t="shared" si="117"/>
        <v>0</v>
      </c>
      <c r="K298" s="462" t="e">
        <f t="shared" si="101"/>
        <v>#DIV/0!</v>
      </c>
      <c r="L298" s="462">
        <f t="shared" si="102"/>
        <v>0</v>
      </c>
      <c r="M298" s="449">
        <f t="shared" si="118"/>
        <v>0</v>
      </c>
      <c r="N298" s="178">
        <f t="shared" si="100"/>
        <v>0</v>
      </c>
    </row>
    <row r="299" spans="1:14" ht="39.25" customHeight="1" outlineLevel="1" x14ac:dyDescent="0.3">
      <c r="A299" s="189" t="s">
        <v>17</v>
      </c>
      <c r="B299" s="392" t="s">
        <v>455</v>
      </c>
      <c r="C299" s="392" t="s">
        <v>62</v>
      </c>
      <c r="D299" s="560">
        <v>1895894030</v>
      </c>
      <c r="E299" s="392" t="s">
        <v>18</v>
      </c>
      <c r="F299" s="462" t="s">
        <v>838</v>
      </c>
      <c r="G299" s="449">
        <f>8991616-8991616</f>
        <v>0</v>
      </c>
      <c r="H299" s="460"/>
      <c r="I299" s="449">
        <v>0</v>
      </c>
      <c r="J299" s="449"/>
      <c r="K299" s="462" t="e">
        <f t="shared" si="101"/>
        <v>#DIV/0!</v>
      </c>
      <c r="L299" s="462">
        <f t="shared" si="102"/>
        <v>0</v>
      </c>
      <c r="M299" s="449"/>
      <c r="N299" s="178">
        <f t="shared" si="100"/>
        <v>0</v>
      </c>
    </row>
    <row r="300" spans="1:14" s="224" customFormat="1" ht="67.95" outlineLevel="1" x14ac:dyDescent="0.3">
      <c r="A300" s="233" t="s">
        <v>473</v>
      </c>
      <c r="B300" s="397" t="s">
        <v>455</v>
      </c>
      <c r="C300" s="397" t="s">
        <v>62</v>
      </c>
      <c r="D300" s="397" t="s">
        <v>474</v>
      </c>
      <c r="E300" s="397" t="s">
        <v>6</v>
      </c>
      <c r="F300" s="471">
        <f>F301+F309</f>
        <v>1555395.1999999993</v>
      </c>
      <c r="G300" s="462">
        <f>G301+G309</f>
        <v>964413.7200000002</v>
      </c>
      <c r="H300" s="460">
        <v>12517842.359999999</v>
      </c>
      <c r="I300" s="462">
        <f>I301+I309</f>
        <v>437456.14</v>
      </c>
      <c r="J300" s="462">
        <f>J301+J309</f>
        <v>11503737.750000002</v>
      </c>
      <c r="K300" s="462">
        <f t="shared" si="101"/>
        <v>1192.8218679842091</v>
      </c>
      <c r="L300" s="462">
        <f t="shared" si="102"/>
        <v>10539324.030000001</v>
      </c>
      <c r="M300" s="462">
        <f>M301+M309</f>
        <v>11465716.370000001</v>
      </c>
      <c r="N300" s="178">
        <f t="shared" si="100"/>
        <v>-38021.38000000082</v>
      </c>
    </row>
    <row r="301" spans="1:14" s="224" customFormat="1" ht="67.95" outlineLevel="1" x14ac:dyDescent="0.3">
      <c r="A301" s="233" t="s">
        <v>501</v>
      </c>
      <c r="B301" s="397" t="s">
        <v>455</v>
      </c>
      <c r="C301" s="397" t="s">
        <v>62</v>
      </c>
      <c r="D301" s="397" t="s">
        <v>502</v>
      </c>
      <c r="E301" s="397" t="s">
        <v>6</v>
      </c>
      <c r="F301" s="471">
        <f>F302+F306</f>
        <v>33081.949999999255</v>
      </c>
      <c r="G301" s="462">
        <f>G302+G306</f>
        <v>32902.160000000149</v>
      </c>
      <c r="H301" s="460"/>
      <c r="I301" s="462">
        <f>I302+I306</f>
        <v>38021.379999999997</v>
      </c>
      <c r="J301" s="462">
        <f>J302+J306</f>
        <v>38021.379999999997</v>
      </c>
      <c r="K301" s="462">
        <f t="shared" si="101"/>
        <v>115.55891771239281</v>
      </c>
      <c r="L301" s="462">
        <f t="shared" si="102"/>
        <v>5119.2199999998484</v>
      </c>
      <c r="M301" s="462">
        <f>M302+M306</f>
        <v>0</v>
      </c>
      <c r="N301" s="178">
        <f t="shared" si="100"/>
        <v>-38021.379999999997</v>
      </c>
    </row>
    <row r="302" spans="1:14" ht="34" outlineLevel="1" x14ac:dyDescent="0.3">
      <c r="A302" s="189" t="s">
        <v>931</v>
      </c>
      <c r="B302" s="392" t="s">
        <v>455</v>
      </c>
      <c r="C302" s="392" t="s">
        <v>62</v>
      </c>
      <c r="D302" s="392" t="s">
        <v>503</v>
      </c>
      <c r="E302" s="392" t="s">
        <v>6</v>
      </c>
      <c r="F302" s="471">
        <f t="shared" ref="F302:J304" si="119">F303</f>
        <v>33081.949999999255</v>
      </c>
      <c r="G302" s="462">
        <f t="shared" si="119"/>
        <v>32902.160000000149</v>
      </c>
      <c r="H302" s="460"/>
      <c r="I302" s="462">
        <f t="shared" si="119"/>
        <v>38021.379999999997</v>
      </c>
      <c r="J302" s="462">
        <f t="shared" si="119"/>
        <v>38021.379999999997</v>
      </c>
      <c r="K302" s="462">
        <f t="shared" si="101"/>
        <v>115.55891771239281</v>
      </c>
      <c r="L302" s="462">
        <f t="shared" si="102"/>
        <v>5119.2199999998484</v>
      </c>
      <c r="M302" s="462">
        <f t="shared" ref="M302:M304" si="120">M303</f>
        <v>0</v>
      </c>
      <c r="N302" s="178">
        <f t="shared" si="100"/>
        <v>-38021.379999999997</v>
      </c>
    </row>
    <row r="303" spans="1:14" ht="34" outlineLevel="1" x14ac:dyDescent="0.3">
      <c r="A303" s="189" t="s">
        <v>499</v>
      </c>
      <c r="B303" s="392" t="s">
        <v>455</v>
      </c>
      <c r="C303" s="392" t="s">
        <v>62</v>
      </c>
      <c r="D303" s="392" t="s">
        <v>504</v>
      </c>
      <c r="E303" s="392" t="s">
        <v>6</v>
      </c>
      <c r="F303" s="471">
        <f t="shared" si="119"/>
        <v>33081.949999999255</v>
      </c>
      <c r="G303" s="462">
        <f t="shared" si="119"/>
        <v>32902.160000000149</v>
      </c>
      <c r="H303" s="460"/>
      <c r="I303" s="462">
        <f t="shared" si="119"/>
        <v>38021.379999999997</v>
      </c>
      <c r="J303" s="462">
        <f t="shared" si="119"/>
        <v>38021.379999999997</v>
      </c>
      <c r="K303" s="462">
        <f t="shared" si="101"/>
        <v>115.55891771239281</v>
      </c>
      <c r="L303" s="462">
        <f t="shared" si="102"/>
        <v>5119.2199999998484</v>
      </c>
      <c r="M303" s="462">
        <f t="shared" si="120"/>
        <v>0</v>
      </c>
      <c r="N303" s="178">
        <f t="shared" si="100"/>
        <v>-38021.379999999997</v>
      </c>
    </row>
    <row r="304" spans="1:14" ht="34" outlineLevel="1" x14ac:dyDescent="0.3">
      <c r="A304" s="189" t="s">
        <v>15</v>
      </c>
      <c r="B304" s="392" t="s">
        <v>455</v>
      </c>
      <c r="C304" s="392" t="s">
        <v>62</v>
      </c>
      <c r="D304" s="392" t="s">
        <v>504</v>
      </c>
      <c r="E304" s="392" t="s">
        <v>16</v>
      </c>
      <c r="F304" s="471">
        <f t="shared" si="119"/>
        <v>33081.949999999255</v>
      </c>
      <c r="G304" s="462">
        <f t="shared" si="119"/>
        <v>32902.160000000149</v>
      </c>
      <c r="H304" s="460"/>
      <c r="I304" s="462">
        <f t="shared" si="119"/>
        <v>38021.379999999997</v>
      </c>
      <c r="J304" s="462">
        <f t="shared" si="119"/>
        <v>38021.379999999997</v>
      </c>
      <c r="K304" s="462">
        <f t="shared" si="101"/>
        <v>115.55891771239281</v>
      </c>
      <c r="L304" s="462">
        <f t="shared" si="102"/>
        <v>5119.2199999998484</v>
      </c>
      <c r="M304" s="462">
        <f t="shared" si="120"/>
        <v>0</v>
      </c>
      <c r="N304" s="178">
        <f t="shared" si="100"/>
        <v>-38021.379999999997</v>
      </c>
    </row>
    <row r="305" spans="1:14" ht="50.95" outlineLevel="1" x14ac:dyDescent="0.3">
      <c r="A305" s="189" t="s">
        <v>17</v>
      </c>
      <c r="B305" s="392" t="s">
        <v>455</v>
      </c>
      <c r="C305" s="392" t="s">
        <v>62</v>
      </c>
      <c r="D305" s="392" t="s">
        <v>504</v>
      </c>
      <c r="E305" s="392" t="s">
        <v>18</v>
      </c>
      <c r="F305" s="475">
        <f>6616389.06-6583307.11</f>
        <v>33081.949999999255</v>
      </c>
      <c r="G305" s="462">
        <f>'потребность 2023 (5)'!K309-1951.03-6547529.41</f>
        <v>32902.160000000149</v>
      </c>
      <c r="H305" s="460"/>
      <c r="I305" s="462">
        <f>38021.38</f>
        <v>38021.379999999997</v>
      </c>
      <c r="J305" s="449">
        <f>38021.38</f>
        <v>38021.379999999997</v>
      </c>
      <c r="K305" s="462">
        <f t="shared" si="101"/>
        <v>115.55891771239281</v>
      </c>
      <c r="L305" s="462">
        <f t="shared" si="102"/>
        <v>5119.2199999998484</v>
      </c>
      <c r="M305" s="449">
        <f>38021.38-38021.38</f>
        <v>0</v>
      </c>
      <c r="N305" s="178">
        <f t="shared" si="100"/>
        <v>-38021.379999999997</v>
      </c>
    </row>
    <row r="306" spans="1:14" ht="50.95" outlineLevel="1" x14ac:dyDescent="0.3">
      <c r="A306" s="189" t="s">
        <v>614</v>
      </c>
      <c r="B306" s="392" t="s">
        <v>455</v>
      </c>
      <c r="C306" s="392" t="s">
        <v>62</v>
      </c>
      <c r="D306" s="392" t="s">
        <v>655</v>
      </c>
      <c r="E306" s="392" t="s">
        <v>6</v>
      </c>
      <c r="F306" s="462" t="s">
        <v>838</v>
      </c>
      <c r="G306" s="462">
        <f t="shared" ref="G306:J307" si="121">G307</f>
        <v>0</v>
      </c>
      <c r="H306" s="460"/>
      <c r="I306" s="462">
        <f t="shared" si="121"/>
        <v>0</v>
      </c>
      <c r="J306" s="462">
        <f t="shared" si="121"/>
        <v>0</v>
      </c>
      <c r="K306" s="462" t="e">
        <f t="shared" si="101"/>
        <v>#DIV/0!</v>
      </c>
      <c r="L306" s="462">
        <f t="shared" si="102"/>
        <v>0</v>
      </c>
      <c r="M306" s="462">
        <f t="shared" ref="M306:M307" si="122">M307</f>
        <v>0</v>
      </c>
      <c r="N306" s="178">
        <f t="shared" si="100"/>
        <v>0</v>
      </c>
    </row>
    <row r="307" spans="1:14" ht="34" outlineLevel="1" x14ac:dyDescent="0.3">
      <c r="A307" s="189" t="s">
        <v>15</v>
      </c>
      <c r="B307" s="392" t="s">
        <v>455</v>
      </c>
      <c r="C307" s="392" t="s">
        <v>62</v>
      </c>
      <c r="D307" s="392" t="s">
        <v>655</v>
      </c>
      <c r="E307" s="392" t="s">
        <v>16</v>
      </c>
      <c r="F307" s="462" t="s">
        <v>838</v>
      </c>
      <c r="G307" s="462">
        <f t="shared" si="121"/>
        <v>0</v>
      </c>
      <c r="H307" s="462"/>
      <c r="I307" s="462">
        <f t="shared" si="121"/>
        <v>0</v>
      </c>
      <c r="J307" s="462">
        <f t="shared" si="121"/>
        <v>0</v>
      </c>
      <c r="K307" s="462" t="e">
        <f t="shared" si="101"/>
        <v>#DIV/0!</v>
      </c>
      <c r="L307" s="462">
        <f t="shared" si="102"/>
        <v>0</v>
      </c>
      <c r="M307" s="462">
        <f t="shared" si="122"/>
        <v>0</v>
      </c>
      <c r="N307" s="178">
        <f t="shared" si="100"/>
        <v>0</v>
      </c>
    </row>
    <row r="308" spans="1:14" ht="50.95" outlineLevel="1" x14ac:dyDescent="0.3">
      <c r="A308" s="189" t="s">
        <v>17</v>
      </c>
      <c r="B308" s="392" t="s">
        <v>455</v>
      </c>
      <c r="C308" s="392" t="s">
        <v>62</v>
      </c>
      <c r="D308" s="392" t="s">
        <v>655</v>
      </c>
      <c r="E308" s="392" t="s">
        <v>18</v>
      </c>
      <c r="F308" s="462" t="s">
        <v>838</v>
      </c>
      <c r="G308" s="462">
        <v>0</v>
      </c>
      <c r="H308" s="462"/>
      <c r="I308" s="462">
        <v>0</v>
      </c>
      <c r="J308" s="449">
        <v>0</v>
      </c>
      <c r="K308" s="462" t="e">
        <f t="shared" si="101"/>
        <v>#DIV/0!</v>
      </c>
      <c r="L308" s="462">
        <f t="shared" si="102"/>
        <v>0</v>
      </c>
      <c r="M308" s="449">
        <v>0</v>
      </c>
      <c r="N308" s="178">
        <f t="shared" si="100"/>
        <v>0</v>
      </c>
    </row>
    <row r="309" spans="1:14" s="224" customFormat="1" ht="50.95" outlineLevel="1" x14ac:dyDescent="0.3">
      <c r="A309" s="233" t="s">
        <v>505</v>
      </c>
      <c r="B309" s="392" t="s">
        <v>455</v>
      </c>
      <c r="C309" s="392" t="s">
        <v>62</v>
      </c>
      <c r="D309" s="397" t="s">
        <v>507</v>
      </c>
      <c r="E309" s="397" t="s">
        <v>6</v>
      </c>
      <c r="F309" s="471">
        <f t="shared" ref="F309:J315" si="123">F310</f>
        <v>1522313.25</v>
      </c>
      <c r="G309" s="462">
        <f t="shared" si="123"/>
        <v>931511.56</v>
      </c>
      <c r="H309" s="460">
        <f>H310</f>
        <v>931511.56</v>
      </c>
      <c r="I309" s="462">
        <f t="shared" si="123"/>
        <v>399434.76</v>
      </c>
      <c r="J309" s="462">
        <f t="shared" si="123"/>
        <v>11465716.370000001</v>
      </c>
      <c r="K309" s="462">
        <f t="shared" si="101"/>
        <v>1230.872150421837</v>
      </c>
      <c r="L309" s="462">
        <f t="shared" si="102"/>
        <v>10534204.810000001</v>
      </c>
      <c r="M309" s="462">
        <f t="shared" ref="M309:M315" si="124">M310</f>
        <v>11465716.370000001</v>
      </c>
      <c r="N309" s="178">
        <f t="shared" si="100"/>
        <v>0</v>
      </c>
    </row>
    <row r="310" spans="1:14" s="224" customFormat="1" ht="30.6" customHeight="1" outlineLevel="1" x14ac:dyDescent="0.3">
      <c r="A310" s="233" t="s">
        <v>506</v>
      </c>
      <c r="B310" s="392" t="s">
        <v>455</v>
      </c>
      <c r="C310" s="392" t="s">
        <v>62</v>
      </c>
      <c r="D310" s="397" t="s">
        <v>508</v>
      </c>
      <c r="E310" s="397" t="s">
        <v>6</v>
      </c>
      <c r="F310" s="473">
        <f>F311+F314+F317</f>
        <v>1522313.25</v>
      </c>
      <c r="G310" s="465">
        <f>G311+G314+G317</f>
        <v>931511.56</v>
      </c>
      <c r="H310" s="460">
        <f>H317+H314</f>
        <v>931511.56</v>
      </c>
      <c r="I310" s="465">
        <f>I311+I314+I317</f>
        <v>399434.76</v>
      </c>
      <c r="J310" s="465">
        <f>J311+J314+J317</f>
        <v>11465716.370000001</v>
      </c>
      <c r="K310" s="462">
        <f t="shared" si="101"/>
        <v>1230.872150421837</v>
      </c>
      <c r="L310" s="462">
        <f t="shared" si="102"/>
        <v>10534204.810000001</v>
      </c>
      <c r="M310" s="465">
        <f>M311+M314+M317</f>
        <v>11465716.370000001</v>
      </c>
      <c r="N310" s="178">
        <f t="shared" si="100"/>
        <v>0</v>
      </c>
    </row>
    <row r="311" spans="1:14" s="224" customFormat="1" ht="89.7" customHeight="1" outlineLevel="1" x14ac:dyDescent="0.3">
      <c r="A311" s="202" t="s">
        <v>951</v>
      </c>
      <c r="B311" s="392" t="s">
        <v>455</v>
      </c>
      <c r="C311" s="392" t="s">
        <v>62</v>
      </c>
      <c r="D311" s="392" t="s">
        <v>531</v>
      </c>
      <c r="E311" s="392" t="s">
        <v>6</v>
      </c>
      <c r="F311" s="471">
        <f>F312</f>
        <v>0</v>
      </c>
      <c r="G311" s="462">
        <f t="shared" ref="G311:J312" si="125">G312</f>
        <v>0</v>
      </c>
      <c r="H311" s="460"/>
      <c r="I311" s="462">
        <f t="shared" si="125"/>
        <v>0</v>
      </c>
      <c r="J311" s="462">
        <f t="shared" si="125"/>
        <v>11351059.210000001</v>
      </c>
      <c r="K311" s="462" t="e">
        <f t="shared" si="101"/>
        <v>#DIV/0!</v>
      </c>
      <c r="L311" s="462">
        <f t="shared" si="102"/>
        <v>11351059.210000001</v>
      </c>
      <c r="M311" s="462">
        <f t="shared" ref="M311:M312" si="126">M312</f>
        <v>11351059.210000001</v>
      </c>
      <c r="N311" s="178">
        <f t="shared" si="100"/>
        <v>0</v>
      </c>
    </row>
    <row r="312" spans="1:14" s="224" customFormat="1" ht="44.15" customHeight="1" outlineLevel="1" x14ac:dyDescent="0.3">
      <c r="A312" s="189" t="s">
        <v>15</v>
      </c>
      <c r="B312" s="392" t="s">
        <v>455</v>
      </c>
      <c r="C312" s="392" t="s">
        <v>62</v>
      </c>
      <c r="D312" s="392" t="s">
        <v>531</v>
      </c>
      <c r="E312" s="392" t="s">
        <v>16</v>
      </c>
      <c r="F312" s="471">
        <f>F313</f>
        <v>0</v>
      </c>
      <c r="G312" s="462">
        <f t="shared" si="125"/>
        <v>0</v>
      </c>
      <c r="H312" s="460"/>
      <c r="I312" s="462">
        <f t="shared" si="125"/>
        <v>0</v>
      </c>
      <c r="J312" s="462">
        <f t="shared" si="125"/>
        <v>11351059.210000001</v>
      </c>
      <c r="K312" s="462" t="e">
        <f t="shared" si="101"/>
        <v>#DIV/0!</v>
      </c>
      <c r="L312" s="462">
        <f t="shared" si="102"/>
        <v>11351059.210000001</v>
      </c>
      <c r="M312" s="462">
        <f t="shared" si="126"/>
        <v>11351059.210000001</v>
      </c>
      <c r="N312" s="178">
        <f t="shared" si="100"/>
        <v>0</v>
      </c>
    </row>
    <row r="313" spans="1:14" s="224" customFormat="1" ht="23.8" customHeight="1" outlineLevel="1" x14ac:dyDescent="0.3">
      <c r="A313" s="189" t="s">
        <v>17</v>
      </c>
      <c r="B313" s="392" t="s">
        <v>455</v>
      </c>
      <c r="C313" s="392" t="s">
        <v>62</v>
      </c>
      <c r="D313" s="392" t="s">
        <v>531</v>
      </c>
      <c r="E313" s="392" t="s">
        <v>18</v>
      </c>
      <c r="F313" s="475">
        <v>0</v>
      </c>
      <c r="G313" s="462">
        <v>0</v>
      </c>
      <c r="H313" s="460"/>
      <c r="I313" s="462">
        <f>12915057.33-12915057.33</f>
        <v>0</v>
      </c>
      <c r="J313" s="467">
        <v>11351059.210000001</v>
      </c>
      <c r="K313" s="462" t="e">
        <f t="shared" si="101"/>
        <v>#DIV/0!</v>
      </c>
      <c r="L313" s="462">
        <f t="shared" si="102"/>
        <v>11351059.210000001</v>
      </c>
      <c r="M313" s="467">
        <v>11351059.210000001</v>
      </c>
      <c r="N313" s="178">
        <f t="shared" si="100"/>
        <v>0</v>
      </c>
    </row>
    <row r="314" spans="1:14" ht="40.75" customHeight="1" outlineLevel="1" x14ac:dyDescent="0.3">
      <c r="A314" s="189" t="s">
        <v>510</v>
      </c>
      <c r="B314" s="392" t="s">
        <v>455</v>
      </c>
      <c r="C314" s="392" t="s">
        <v>62</v>
      </c>
      <c r="D314" s="392" t="s">
        <v>509</v>
      </c>
      <c r="E314" s="392" t="s">
        <v>6</v>
      </c>
      <c r="F314" s="471">
        <f t="shared" si="123"/>
        <v>212028.24</v>
      </c>
      <c r="G314" s="462">
        <f t="shared" si="123"/>
        <v>179475.78999999998</v>
      </c>
      <c r="H314" s="460">
        <v>179475.79</v>
      </c>
      <c r="I314" s="462">
        <f t="shared" si="123"/>
        <v>399434.76</v>
      </c>
      <c r="J314" s="462">
        <f t="shared" si="123"/>
        <v>114657.16</v>
      </c>
      <c r="K314" s="462">
        <f t="shared" si="101"/>
        <v>63.884471549059626</v>
      </c>
      <c r="L314" s="462">
        <f t="shared" si="102"/>
        <v>-64818.629999999976</v>
      </c>
      <c r="M314" s="462">
        <f t="shared" si="124"/>
        <v>114657.16</v>
      </c>
      <c r="N314" s="178">
        <f t="shared" si="100"/>
        <v>0</v>
      </c>
    </row>
    <row r="315" spans="1:14" ht="34" outlineLevel="1" x14ac:dyDescent="0.3">
      <c r="A315" s="189" t="s">
        <v>15</v>
      </c>
      <c r="B315" s="392" t="s">
        <v>455</v>
      </c>
      <c r="C315" s="392" t="s">
        <v>62</v>
      </c>
      <c r="D315" s="392" t="s">
        <v>509</v>
      </c>
      <c r="E315" s="392" t="s">
        <v>16</v>
      </c>
      <c r="F315" s="471">
        <f t="shared" si="123"/>
        <v>212028.24</v>
      </c>
      <c r="G315" s="462">
        <f t="shared" si="123"/>
        <v>179475.78999999998</v>
      </c>
      <c r="H315" s="460">
        <v>179475.79</v>
      </c>
      <c r="I315" s="462">
        <f t="shared" si="123"/>
        <v>399434.76</v>
      </c>
      <c r="J315" s="462">
        <f t="shared" si="123"/>
        <v>114657.16</v>
      </c>
      <c r="K315" s="462">
        <f t="shared" si="101"/>
        <v>63.884471549059626</v>
      </c>
      <c r="L315" s="462">
        <f t="shared" si="102"/>
        <v>-64818.629999999976</v>
      </c>
      <c r="M315" s="462">
        <f t="shared" si="124"/>
        <v>114657.16</v>
      </c>
      <c r="N315" s="178">
        <f t="shared" si="100"/>
        <v>0</v>
      </c>
    </row>
    <row r="316" spans="1:14" ht="50.95" outlineLevel="1" x14ac:dyDescent="0.3">
      <c r="A316" s="189" t="s">
        <v>17</v>
      </c>
      <c r="B316" s="392" t="s">
        <v>455</v>
      </c>
      <c r="C316" s="392" t="s">
        <v>62</v>
      </c>
      <c r="D316" s="392" t="s">
        <v>509</v>
      </c>
      <c r="E316" s="392" t="s">
        <v>18</v>
      </c>
      <c r="F316" s="475">
        <v>212028.24</v>
      </c>
      <c r="G316" s="449">
        <f>'потребность 2023 (5)'!K320</f>
        <v>179475.78999999998</v>
      </c>
      <c r="H316" s="460">
        <v>179475.79</v>
      </c>
      <c r="I316" s="449">
        <v>399434.76</v>
      </c>
      <c r="J316" s="449">
        <f>ROUND(J313/99*1,2)</f>
        <v>114657.16</v>
      </c>
      <c r="K316" s="462">
        <f t="shared" si="101"/>
        <v>63.884471549059626</v>
      </c>
      <c r="L316" s="462">
        <f t="shared" si="102"/>
        <v>-64818.629999999976</v>
      </c>
      <c r="M316" s="449">
        <f>ROUND(M313/99*1,2)</f>
        <v>114657.16</v>
      </c>
      <c r="N316" s="178">
        <f t="shared" si="100"/>
        <v>0</v>
      </c>
    </row>
    <row r="317" spans="1:14" ht="50.95" outlineLevel="1" x14ac:dyDescent="0.3">
      <c r="A317" s="189" t="s">
        <v>614</v>
      </c>
      <c r="B317" s="392" t="s">
        <v>455</v>
      </c>
      <c r="C317" s="392" t="s">
        <v>62</v>
      </c>
      <c r="D317" s="392" t="s">
        <v>613</v>
      </c>
      <c r="E317" s="392" t="s">
        <v>6</v>
      </c>
      <c r="F317" s="471">
        <f>F318</f>
        <v>1310285.01</v>
      </c>
      <c r="G317" s="462">
        <f t="shared" ref="G317:J318" si="127">G318</f>
        <v>752035.77</v>
      </c>
      <c r="H317" s="460">
        <v>752035.77</v>
      </c>
      <c r="I317" s="462">
        <f t="shared" si="127"/>
        <v>0</v>
      </c>
      <c r="J317" s="462">
        <f t="shared" si="127"/>
        <v>0</v>
      </c>
      <c r="K317" s="462">
        <f t="shared" si="101"/>
        <v>0</v>
      </c>
      <c r="L317" s="462">
        <f t="shared" si="102"/>
        <v>-752035.77</v>
      </c>
      <c r="M317" s="462">
        <f t="shared" ref="M317:M318" si="128">M318</f>
        <v>0</v>
      </c>
      <c r="N317" s="178">
        <f t="shared" si="100"/>
        <v>0</v>
      </c>
    </row>
    <row r="318" spans="1:14" ht="34" outlineLevel="1" x14ac:dyDescent="0.3">
      <c r="A318" s="189" t="s">
        <v>15</v>
      </c>
      <c r="B318" s="392" t="s">
        <v>455</v>
      </c>
      <c r="C318" s="392" t="s">
        <v>62</v>
      </c>
      <c r="D318" s="392" t="s">
        <v>613</v>
      </c>
      <c r="E318" s="392" t="s">
        <v>16</v>
      </c>
      <c r="F318" s="471">
        <f>F319</f>
        <v>1310285.01</v>
      </c>
      <c r="G318" s="462">
        <f t="shared" si="127"/>
        <v>752035.77</v>
      </c>
      <c r="H318" s="460">
        <v>752035.77</v>
      </c>
      <c r="I318" s="462">
        <f t="shared" si="127"/>
        <v>0</v>
      </c>
      <c r="J318" s="462">
        <f t="shared" si="127"/>
        <v>0</v>
      </c>
      <c r="K318" s="462">
        <f t="shared" si="101"/>
        <v>0</v>
      </c>
      <c r="L318" s="462">
        <f t="shared" si="102"/>
        <v>-752035.77</v>
      </c>
      <c r="M318" s="462">
        <f t="shared" si="128"/>
        <v>0</v>
      </c>
      <c r="N318" s="178">
        <f t="shared" si="100"/>
        <v>0</v>
      </c>
    </row>
    <row r="319" spans="1:14" ht="38.25" customHeight="1" outlineLevel="1" x14ac:dyDescent="0.3">
      <c r="A319" s="189" t="s">
        <v>17</v>
      </c>
      <c r="B319" s="392" t="s">
        <v>455</v>
      </c>
      <c r="C319" s="392" t="s">
        <v>62</v>
      </c>
      <c r="D319" s="392" t="s">
        <v>613</v>
      </c>
      <c r="E319" s="392" t="s">
        <v>18</v>
      </c>
      <c r="F319" s="475">
        <v>1310285.01</v>
      </c>
      <c r="G319" s="449">
        <f>1951.03+1254838.52-504753.78</f>
        <v>752035.77</v>
      </c>
      <c r="H319" s="460">
        <v>752035.77</v>
      </c>
      <c r="I319" s="449">
        <v>0</v>
      </c>
      <c r="J319" s="449">
        <v>0</v>
      </c>
      <c r="K319" s="462">
        <f t="shared" si="101"/>
        <v>0</v>
      </c>
      <c r="L319" s="462">
        <f t="shared" si="102"/>
        <v>-752035.77</v>
      </c>
      <c r="M319" s="449">
        <v>0</v>
      </c>
      <c r="N319" s="178">
        <f t="shared" si="100"/>
        <v>0</v>
      </c>
    </row>
    <row r="320" spans="1:14" ht="34" outlineLevel="1" x14ac:dyDescent="0.3">
      <c r="A320" s="189" t="s">
        <v>284</v>
      </c>
      <c r="B320" s="392" t="s">
        <v>455</v>
      </c>
      <c r="C320" s="392" t="s">
        <v>285</v>
      </c>
      <c r="D320" s="392" t="s">
        <v>126</v>
      </c>
      <c r="E320" s="392" t="s">
        <v>6</v>
      </c>
      <c r="F320" s="476">
        <f>F321</f>
        <v>225083.49</v>
      </c>
      <c r="G320" s="449">
        <f t="shared" ref="G320:J321" si="129">G321</f>
        <v>300000</v>
      </c>
      <c r="H320" s="460">
        <f>H326</f>
        <v>85355.26</v>
      </c>
      <c r="I320" s="449">
        <f t="shared" si="129"/>
        <v>291829.84000000003</v>
      </c>
      <c r="J320" s="449">
        <f t="shared" si="129"/>
        <v>7458921.1500000004</v>
      </c>
      <c r="K320" s="462">
        <f t="shared" si="101"/>
        <v>2486.3070500000003</v>
      </c>
      <c r="L320" s="462">
        <f t="shared" si="102"/>
        <v>7158921.1500000004</v>
      </c>
      <c r="M320" s="449">
        <f t="shared" ref="M320:M321" si="130">M321</f>
        <v>7458921.1500000004</v>
      </c>
      <c r="N320" s="178">
        <f t="shared" si="100"/>
        <v>0</v>
      </c>
    </row>
    <row r="321" spans="1:14" ht="67.95" outlineLevel="1" x14ac:dyDescent="0.3">
      <c r="A321" s="233" t="s">
        <v>1021</v>
      </c>
      <c r="B321" s="397" t="s">
        <v>455</v>
      </c>
      <c r="C321" s="397" t="s">
        <v>285</v>
      </c>
      <c r="D321" s="397" t="s">
        <v>134</v>
      </c>
      <c r="E321" s="397" t="s">
        <v>6</v>
      </c>
      <c r="F321" s="477">
        <f>F322</f>
        <v>225083.49</v>
      </c>
      <c r="G321" s="467">
        <f t="shared" si="129"/>
        <v>300000</v>
      </c>
      <c r="H321" s="460"/>
      <c r="I321" s="467">
        <f t="shared" si="129"/>
        <v>291829.84000000003</v>
      </c>
      <c r="J321" s="467">
        <f t="shared" si="129"/>
        <v>7458921.1500000004</v>
      </c>
      <c r="K321" s="462">
        <f t="shared" si="101"/>
        <v>2486.3070500000003</v>
      </c>
      <c r="L321" s="462">
        <f t="shared" si="102"/>
        <v>7158921.1500000004</v>
      </c>
      <c r="M321" s="467">
        <f t="shared" si="130"/>
        <v>7458921.1500000004</v>
      </c>
      <c r="N321" s="178">
        <f t="shared" si="100"/>
        <v>0</v>
      </c>
    </row>
    <row r="322" spans="1:14" ht="30.6" customHeight="1" outlineLevel="1" x14ac:dyDescent="0.3">
      <c r="A322" s="189" t="s">
        <v>738</v>
      </c>
      <c r="B322" s="392" t="s">
        <v>455</v>
      </c>
      <c r="C322" s="392" t="s">
        <v>285</v>
      </c>
      <c r="D322" s="392" t="s">
        <v>335</v>
      </c>
      <c r="E322" s="392" t="s">
        <v>6</v>
      </c>
      <c r="F322" s="476">
        <f>F323+F326</f>
        <v>225083.49</v>
      </c>
      <c r="G322" s="449">
        <f>G323+G326</f>
        <v>300000</v>
      </c>
      <c r="H322" s="460"/>
      <c r="I322" s="449">
        <f>I323+I326</f>
        <v>291829.84000000003</v>
      </c>
      <c r="J322" s="449">
        <f>J323+J326</f>
        <v>7458921.1500000004</v>
      </c>
      <c r="K322" s="462">
        <f t="shared" si="101"/>
        <v>2486.3070500000003</v>
      </c>
      <c r="L322" s="462">
        <f t="shared" si="102"/>
        <v>7158921.1500000004</v>
      </c>
      <c r="M322" s="449">
        <f>M323+M326</f>
        <v>7458921.1500000004</v>
      </c>
      <c r="N322" s="178">
        <f t="shared" si="100"/>
        <v>0</v>
      </c>
    </row>
    <row r="323" spans="1:14" ht="44.15" customHeight="1" outlineLevel="1" x14ac:dyDescent="0.3">
      <c r="A323" s="185" t="s">
        <v>952</v>
      </c>
      <c r="B323" s="392" t="s">
        <v>455</v>
      </c>
      <c r="C323" s="392" t="s">
        <v>285</v>
      </c>
      <c r="D323" s="392" t="s">
        <v>532</v>
      </c>
      <c r="E323" s="392" t="s">
        <v>6</v>
      </c>
      <c r="F323" s="476">
        <f>F324</f>
        <v>0</v>
      </c>
      <c r="G323" s="449">
        <f t="shared" ref="G323:J324" si="131">G324</f>
        <v>0</v>
      </c>
      <c r="H323" s="460"/>
      <c r="I323" s="449">
        <f t="shared" si="131"/>
        <v>0</v>
      </c>
      <c r="J323" s="449">
        <f t="shared" si="131"/>
        <v>7384331.9400000004</v>
      </c>
      <c r="K323" s="462" t="e">
        <f t="shared" si="101"/>
        <v>#DIV/0!</v>
      </c>
      <c r="L323" s="462">
        <f t="shared" si="102"/>
        <v>7384331.9400000004</v>
      </c>
      <c r="M323" s="449">
        <f t="shared" ref="M323:M324" si="132">M324</f>
        <v>7384331.9400000004</v>
      </c>
      <c r="N323" s="178">
        <f t="shared" si="100"/>
        <v>0</v>
      </c>
    </row>
    <row r="324" spans="1:14" ht="35.5" customHeight="1" outlineLevel="1" x14ac:dyDescent="0.3">
      <c r="A324" s="189" t="s">
        <v>19</v>
      </c>
      <c r="B324" s="392" t="s">
        <v>455</v>
      </c>
      <c r="C324" s="392" t="s">
        <v>285</v>
      </c>
      <c r="D324" s="392" t="s">
        <v>532</v>
      </c>
      <c r="E324" s="392" t="s">
        <v>20</v>
      </c>
      <c r="F324" s="476">
        <f>F325</f>
        <v>0</v>
      </c>
      <c r="G324" s="449">
        <f t="shared" si="131"/>
        <v>0</v>
      </c>
      <c r="H324" s="460"/>
      <c r="I324" s="449">
        <f t="shared" si="131"/>
        <v>0</v>
      </c>
      <c r="J324" s="449">
        <f t="shared" si="131"/>
        <v>7384331.9400000004</v>
      </c>
      <c r="K324" s="462" t="e">
        <f t="shared" si="101"/>
        <v>#DIV/0!</v>
      </c>
      <c r="L324" s="462">
        <f t="shared" si="102"/>
        <v>7384331.9400000004</v>
      </c>
      <c r="M324" s="449">
        <f t="shared" si="132"/>
        <v>7384331.9400000004</v>
      </c>
      <c r="N324" s="178">
        <f t="shared" si="100"/>
        <v>0</v>
      </c>
    </row>
    <row r="325" spans="1:14" ht="41.45" customHeight="1" outlineLevel="1" x14ac:dyDescent="0.3">
      <c r="A325" s="189" t="s">
        <v>963</v>
      </c>
      <c r="B325" s="392" t="s">
        <v>455</v>
      </c>
      <c r="C325" s="392" t="s">
        <v>285</v>
      </c>
      <c r="D325" s="392" t="s">
        <v>532</v>
      </c>
      <c r="E325" s="392" t="s">
        <v>48</v>
      </c>
      <c r="F325" s="475">
        <f>7277699.21-7277699.21</f>
        <v>0</v>
      </c>
      <c r="G325" s="449">
        <f>'потребность 2023 (5)'!K329+342936.86-3102756.78</f>
        <v>0</v>
      </c>
      <c r="H325" s="460"/>
      <c r="I325" s="449">
        <v>0</v>
      </c>
      <c r="J325" s="449">
        <v>7384331.9400000004</v>
      </c>
      <c r="K325" s="462" t="e">
        <f t="shared" si="101"/>
        <v>#DIV/0!</v>
      </c>
      <c r="L325" s="462">
        <f t="shared" si="102"/>
        <v>7384331.9400000004</v>
      </c>
      <c r="M325" s="449">
        <v>7384331.9400000004</v>
      </c>
      <c r="N325" s="178">
        <f t="shared" si="100"/>
        <v>0</v>
      </c>
    </row>
    <row r="326" spans="1:14" s="224" customFormat="1" ht="53.7" customHeight="1" outlineLevel="1" x14ac:dyDescent="0.3">
      <c r="A326" s="189" t="s">
        <v>295</v>
      </c>
      <c r="B326" s="392" t="s">
        <v>455</v>
      </c>
      <c r="C326" s="392" t="s">
        <v>285</v>
      </c>
      <c r="D326" s="392" t="s">
        <v>341</v>
      </c>
      <c r="E326" s="392" t="s">
        <v>6</v>
      </c>
      <c r="F326" s="476">
        <f>F327</f>
        <v>225083.49</v>
      </c>
      <c r="G326" s="449">
        <f t="shared" ref="G326:J327" si="133">G327</f>
        <v>300000</v>
      </c>
      <c r="H326" s="460">
        <v>85355.26</v>
      </c>
      <c r="I326" s="449">
        <f t="shared" si="133"/>
        <v>291829.84000000003</v>
      </c>
      <c r="J326" s="449">
        <f t="shared" si="133"/>
        <v>74589.210000000006</v>
      </c>
      <c r="K326" s="462">
        <f t="shared" si="101"/>
        <v>24.86307</v>
      </c>
      <c r="L326" s="462">
        <f t="shared" si="102"/>
        <v>-225410.78999999998</v>
      </c>
      <c r="M326" s="449">
        <f t="shared" ref="M326:M327" si="134">M327</f>
        <v>74589.210000000006</v>
      </c>
      <c r="N326" s="178">
        <f t="shared" si="100"/>
        <v>0</v>
      </c>
    </row>
    <row r="327" spans="1:14" outlineLevel="2" x14ac:dyDescent="0.3">
      <c r="A327" s="189" t="s">
        <v>19</v>
      </c>
      <c r="B327" s="392" t="s">
        <v>455</v>
      </c>
      <c r="C327" s="392" t="s">
        <v>285</v>
      </c>
      <c r="D327" s="392" t="s">
        <v>341</v>
      </c>
      <c r="E327" s="392" t="s">
        <v>20</v>
      </c>
      <c r="F327" s="476">
        <f>F328</f>
        <v>225083.49</v>
      </c>
      <c r="G327" s="449">
        <f t="shared" si="133"/>
        <v>300000</v>
      </c>
      <c r="H327" s="460">
        <v>85355.26</v>
      </c>
      <c r="I327" s="449">
        <f t="shared" si="133"/>
        <v>291829.84000000003</v>
      </c>
      <c r="J327" s="449">
        <f t="shared" si="133"/>
        <v>74589.210000000006</v>
      </c>
      <c r="K327" s="462">
        <f t="shared" si="101"/>
        <v>24.86307</v>
      </c>
      <c r="L327" s="462">
        <f t="shared" si="102"/>
        <v>-225410.78999999998</v>
      </c>
      <c r="M327" s="449">
        <f t="shared" si="134"/>
        <v>74589.210000000006</v>
      </c>
      <c r="N327" s="178">
        <f t="shared" si="100"/>
        <v>0</v>
      </c>
    </row>
    <row r="328" spans="1:14" s="224" customFormat="1" ht="59.3" customHeight="1" outlineLevel="3" x14ac:dyDescent="0.3">
      <c r="A328" s="189" t="s">
        <v>963</v>
      </c>
      <c r="B328" s="392" t="s">
        <v>455</v>
      </c>
      <c r="C328" s="392" t="s">
        <v>285</v>
      </c>
      <c r="D328" s="392" t="s">
        <v>341</v>
      </c>
      <c r="E328" s="392" t="s">
        <v>48</v>
      </c>
      <c r="F328" s="475">
        <v>225083.49</v>
      </c>
      <c r="G328" s="449">
        <f>'потребность 2023 (5)'!K332</f>
        <v>300000</v>
      </c>
      <c r="H328" s="460">
        <v>85355.26</v>
      </c>
      <c r="I328" s="449">
        <v>291829.84000000003</v>
      </c>
      <c r="J328" s="467">
        <f>ROUND(J325/99*1,2)</f>
        <v>74589.210000000006</v>
      </c>
      <c r="K328" s="462">
        <f t="shared" si="101"/>
        <v>24.86307</v>
      </c>
      <c r="L328" s="462">
        <f t="shared" si="102"/>
        <v>-225410.78999999998</v>
      </c>
      <c r="M328" s="467">
        <f>ROUND(M325/99*1,2)</f>
        <v>74589.210000000006</v>
      </c>
      <c r="N328" s="178">
        <f t="shared" si="100"/>
        <v>0</v>
      </c>
    </row>
    <row r="329" spans="1:14" ht="27" customHeight="1" outlineLevel="3" x14ac:dyDescent="0.3">
      <c r="A329" s="233" t="s">
        <v>64</v>
      </c>
      <c r="B329" s="392" t="s">
        <v>455</v>
      </c>
      <c r="C329" s="397" t="s">
        <v>65</v>
      </c>
      <c r="D329" s="397" t="s">
        <v>126</v>
      </c>
      <c r="E329" s="397" t="s">
        <v>6</v>
      </c>
      <c r="F329" s="473">
        <f>F330</f>
        <v>554892.4</v>
      </c>
      <c r="G329" s="465">
        <f>G330</f>
        <v>515000</v>
      </c>
      <c r="H329" s="460">
        <v>9253</v>
      </c>
      <c r="I329" s="465">
        <f>I330</f>
        <v>515000</v>
      </c>
      <c r="J329" s="465">
        <f>J330</f>
        <v>515000</v>
      </c>
      <c r="K329" s="462">
        <f t="shared" si="101"/>
        <v>100</v>
      </c>
      <c r="L329" s="462">
        <f t="shared" si="102"/>
        <v>0</v>
      </c>
      <c r="M329" s="465">
        <f>M330</f>
        <v>755000</v>
      </c>
      <c r="N329" s="178">
        <f t="shared" si="100"/>
        <v>240000</v>
      </c>
    </row>
    <row r="330" spans="1:14" ht="23.3" customHeight="1" outlineLevel="3" x14ac:dyDescent="0.3">
      <c r="A330" s="189" t="s">
        <v>66</v>
      </c>
      <c r="B330" s="392" t="s">
        <v>455</v>
      </c>
      <c r="C330" s="392" t="s">
        <v>67</v>
      </c>
      <c r="D330" s="392" t="s">
        <v>126</v>
      </c>
      <c r="E330" s="392" t="s">
        <v>6</v>
      </c>
      <c r="F330" s="471">
        <f>F331+F340</f>
        <v>554892.4</v>
      </c>
      <c r="G330" s="462">
        <f>G331+G340</f>
        <v>515000</v>
      </c>
      <c r="H330" s="460">
        <v>9253</v>
      </c>
      <c r="I330" s="462">
        <f>I331+I340</f>
        <v>515000</v>
      </c>
      <c r="J330" s="462">
        <f>J331+J340</f>
        <v>515000</v>
      </c>
      <c r="K330" s="462">
        <f t="shared" si="101"/>
        <v>100</v>
      </c>
      <c r="L330" s="462">
        <f t="shared" si="102"/>
        <v>0</v>
      </c>
      <c r="M330" s="462">
        <f>M331+M340</f>
        <v>755000</v>
      </c>
      <c r="N330" s="178">
        <f t="shared" si="100"/>
        <v>240000</v>
      </c>
    </row>
    <row r="331" spans="1:14" ht="43.5" customHeight="1" outlineLevel="3" x14ac:dyDescent="0.3">
      <c r="A331" s="233" t="s">
        <v>1019</v>
      </c>
      <c r="B331" s="397" t="s">
        <v>455</v>
      </c>
      <c r="C331" s="397" t="s">
        <v>67</v>
      </c>
      <c r="D331" s="397" t="s">
        <v>135</v>
      </c>
      <c r="E331" s="397" t="s">
        <v>6</v>
      </c>
      <c r="F331" s="473">
        <f>F332+F336</f>
        <v>469992.4</v>
      </c>
      <c r="G331" s="465">
        <f>G332+G336</f>
        <v>470000</v>
      </c>
      <c r="H331" s="460">
        <v>9253</v>
      </c>
      <c r="I331" s="465">
        <f>I332+I336</f>
        <v>470000</v>
      </c>
      <c r="J331" s="465">
        <f>J332+J336</f>
        <v>470000</v>
      </c>
      <c r="K331" s="462">
        <f t="shared" si="101"/>
        <v>100</v>
      </c>
      <c r="L331" s="462">
        <f t="shared" si="102"/>
        <v>0</v>
      </c>
      <c r="M331" s="465">
        <f>M332+M336</f>
        <v>470000</v>
      </c>
      <c r="N331" s="178">
        <f t="shared" si="100"/>
        <v>0</v>
      </c>
    </row>
    <row r="332" spans="1:14" ht="62.5" customHeight="1" outlineLevel="3" x14ac:dyDescent="0.3">
      <c r="A332" s="189" t="s">
        <v>736</v>
      </c>
      <c r="B332" s="392" t="s">
        <v>455</v>
      </c>
      <c r="C332" s="392" t="s">
        <v>67</v>
      </c>
      <c r="D332" s="392" t="s">
        <v>371</v>
      </c>
      <c r="E332" s="392" t="s">
        <v>6</v>
      </c>
      <c r="F332" s="471">
        <f t="shared" ref="F332:J334" si="135">F333</f>
        <v>439994.4</v>
      </c>
      <c r="G332" s="462">
        <f t="shared" si="135"/>
        <v>440000</v>
      </c>
      <c r="H332" s="460">
        <v>0</v>
      </c>
      <c r="I332" s="462">
        <f t="shared" si="135"/>
        <v>440000</v>
      </c>
      <c r="J332" s="462">
        <f t="shared" si="135"/>
        <v>440000</v>
      </c>
      <c r="K332" s="462">
        <f t="shared" si="101"/>
        <v>100</v>
      </c>
      <c r="L332" s="462">
        <f t="shared" si="102"/>
        <v>0</v>
      </c>
      <c r="M332" s="462">
        <f t="shared" ref="M332:M334" si="136">M333</f>
        <v>440000</v>
      </c>
      <c r="N332" s="178">
        <f t="shared" ref="N332:N378" si="137">M332-J332</f>
        <v>0</v>
      </c>
    </row>
    <row r="333" spans="1:14" ht="35.5" customHeight="1" outlineLevel="7" x14ac:dyDescent="0.3">
      <c r="A333" s="189" t="s">
        <v>240</v>
      </c>
      <c r="B333" s="392" t="s">
        <v>455</v>
      </c>
      <c r="C333" s="392" t="s">
        <v>67</v>
      </c>
      <c r="D333" s="392" t="s">
        <v>344</v>
      </c>
      <c r="E333" s="392" t="s">
        <v>6</v>
      </c>
      <c r="F333" s="471">
        <f t="shared" si="135"/>
        <v>439994.4</v>
      </c>
      <c r="G333" s="462">
        <f t="shared" si="135"/>
        <v>440000</v>
      </c>
      <c r="H333" s="460">
        <v>0</v>
      </c>
      <c r="I333" s="462">
        <f t="shared" si="135"/>
        <v>440000</v>
      </c>
      <c r="J333" s="462">
        <f t="shared" si="135"/>
        <v>440000</v>
      </c>
      <c r="K333" s="462">
        <f t="shared" ref="K333:K378" si="138">J333/G333*100</f>
        <v>100</v>
      </c>
      <c r="L333" s="462">
        <f t="shared" ref="L333:L378" si="139">J333-G333</f>
        <v>0</v>
      </c>
      <c r="M333" s="462">
        <f t="shared" si="136"/>
        <v>440000</v>
      </c>
      <c r="N333" s="178">
        <f t="shared" si="137"/>
        <v>0</v>
      </c>
    </row>
    <row r="334" spans="1:14" ht="25.5" customHeight="1" outlineLevel="5" x14ac:dyDescent="0.3">
      <c r="A334" s="189" t="s">
        <v>15</v>
      </c>
      <c r="B334" s="392" t="s">
        <v>455</v>
      </c>
      <c r="C334" s="392" t="s">
        <v>67</v>
      </c>
      <c r="D334" s="392" t="s">
        <v>344</v>
      </c>
      <c r="E334" s="392" t="s">
        <v>16</v>
      </c>
      <c r="F334" s="471">
        <f t="shared" si="135"/>
        <v>439994.4</v>
      </c>
      <c r="G334" s="462">
        <f t="shared" si="135"/>
        <v>440000</v>
      </c>
      <c r="H334" s="460">
        <v>0</v>
      </c>
      <c r="I334" s="462">
        <f t="shared" si="135"/>
        <v>440000</v>
      </c>
      <c r="J334" s="462">
        <f t="shared" si="135"/>
        <v>440000</v>
      </c>
      <c r="K334" s="462">
        <f t="shared" si="138"/>
        <v>100</v>
      </c>
      <c r="L334" s="462">
        <f t="shared" si="139"/>
        <v>0</v>
      </c>
      <c r="M334" s="462">
        <f t="shared" si="136"/>
        <v>440000</v>
      </c>
      <c r="N334" s="178">
        <f t="shared" si="137"/>
        <v>0</v>
      </c>
    </row>
    <row r="335" spans="1:14" ht="50.95" outlineLevel="6" x14ac:dyDescent="0.3">
      <c r="A335" s="189" t="s">
        <v>17</v>
      </c>
      <c r="B335" s="392" t="s">
        <v>455</v>
      </c>
      <c r="C335" s="392" t="s">
        <v>67</v>
      </c>
      <c r="D335" s="392" t="s">
        <v>344</v>
      </c>
      <c r="E335" s="392" t="s">
        <v>18</v>
      </c>
      <c r="F335" s="475">
        <v>439994.4</v>
      </c>
      <c r="G335" s="462">
        <f>'потребность 2023 (5)'!K339</f>
        <v>440000</v>
      </c>
      <c r="H335" s="460">
        <v>0</v>
      </c>
      <c r="I335" s="462">
        <v>440000</v>
      </c>
      <c r="J335" s="449">
        <v>440000</v>
      </c>
      <c r="K335" s="462">
        <f t="shared" si="138"/>
        <v>100</v>
      </c>
      <c r="L335" s="462">
        <f t="shared" si="139"/>
        <v>0</v>
      </c>
      <c r="M335" s="449">
        <v>440000</v>
      </c>
      <c r="N335" s="178">
        <f t="shared" si="137"/>
        <v>0</v>
      </c>
    </row>
    <row r="336" spans="1:14" ht="44.5" customHeight="1" outlineLevel="7" x14ac:dyDescent="0.3">
      <c r="A336" s="189" t="s">
        <v>345</v>
      </c>
      <c r="B336" s="392" t="s">
        <v>455</v>
      </c>
      <c r="C336" s="392" t="s">
        <v>67</v>
      </c>
      <c r="D336" s="392" t="s">
        <v>242</v>
      </c>
      <c r="E336" s="392" t="s">
        <v>6</v>
      </c>
      <c r="F336" s="476">
        <f t="shared" ref="F336:J338" si="140">F337</f>
        <v>29998</v>
      </c>
      <c r="G336" s="449">
        <f t="shared" si="140"/>
        <v>30000</v>
      </c>
      <c r="H336" s="460">
        <v>9253</v>
      </c>
      <c r="I336" s="449">
        <f t="shared" si="140"/>
        <v>30000</v>
      </c>
      <c r="J336" s="449">
        <f t="shared" si="140"/>
        <v>30000</v>
      </c>
      <c r="K336" s="462">
        <f t="shared" si="138"/>
        <v>100</v>
      </c>
      <c r="L336" s="462">
        <f t="shared" si="139"/>
        <v>0</v>
      </c>
      <c r="M336" s="449">
        <f t="shared" ref="M336:M338" si="141">M337</f>
        <v>30000</v>
      </c>
      <c r="N336" s="178">
        <f t="shared" si="137"/>
        <v>0</v>
      </c>
    </row>
    <row r="337" spans="1:14" s="224" customFormat="1" ht="27" customHeight="1" outlineLevel="3" x14ac:dyDescent="0.3">
      <c r="A337" s="189" t="s">
        <v>68</v>
      </c>
      <c r="B337" s="392" t="s">
        <v>455</v>
      </c>
      <c r="C337" s="392" t="s">
        <v>67</v>
      </c>
      <c r="D337" s="392" t="s">
        <v>241</v>
      </c>
      <c r="E337" s="392" t="s">
        <v>6</v>
      </c>
      <c r="F337" s="471">
        <f t="shared" si="140"/>
        <v>29998</v>
      </c>
      <c r="G337" s="462">
        <f t="shared" si="140"/>
        <v>30000</v>
      </c>
      <c r="H337" s="460">
        <v>9253</v>
      </c>
      <c r="I337" s="462">
        <f t="shared" si="140"/>
        <v>30000</v>
      </c>
      <c r="J337" s="462">
        <f t="shared" si="140"/>
        <v>30000</v>
      </c>
      <c r="K337" s="462">
        <f t="shared" si="138"/>
        <v>100</v>
      </c>
      <c r="L337" s="462">
        <f t="shared" si="139"/>
        <v>0</v>
      </c>
      <c r="M337" s="462">
        <f t="shared" si="141"/>
        <v>30000</v>
      </c>
      <c r="N337" s="178">
        <f t="shared" si="137"/>
        <v>0</v>
      </c>
    </row>
    <row r="338" spans="1:14" ht="34" outlineLevel="5" x14ac:dyDescent="0.3">
      <c r="A338" s="189" t="s">
        <v>15</v>
      </c>
      <c r="B338" s="392" t="s">
        <v>455</v>
      </c>
      <c r="C338" s="392" t="s">
        <v>67</v>
      </c>
      <c r="D338" s="392" t="s">
        <v>241</v>
      </c>
      <c r="E338" s="392" t="s">
        <v>16</v>
      </c>
      <c r="F338" s="471">
        <f t="shared" si="140"/>
        <v>29998</v>
      </c>
      <c r="G338" s="462">
        <f t="shared" si="140"/>
        <v>30000</v>
      </c>
      <c r="H338" s="460">
        <v>9253</v>
      </c>
      <c r="I338" s="462">
        <f t="shared" si="140"/>
        <v>30000</v>
      </c>
      <c r="J338" s="462">
        <f t="shared" si="140"/>
        <v>30000</v>
      </c>
      <c r="K338" s="462">
        <f t="shared" si="138"/>
        <v>100</v>
      </c>
      <c r="L338" s="462">
        <f t="shared" si="139"/>
        <v>0</v>
      </c>
      <c r="M338" s="462">
        <f t="shared" si="141"/>
        <v>30000</v>
      </c>
      <c r="N338" s="178">
        <f t="shared" si="137"/>
        <v>0</v>
      </c>
    </row>
    <row r="339" spans="1:14" ht="50.95" outlineLevel="5" x14ac:dyDescent="0.3">
      <c r="A339" s="189" t="s">
        <v>17</v>
      </c>
      <c r="B339" s="392" t="s">
        <v>455</v>
      </c>
      <c r="C339" s="392" t="s">
        <v>67</v>
      </c>
      <c r="D339" s="392" t="s">
        <v>241</v>
      </c>
      <c r="E339" s="392" t="s">
        <v>18</v>
      </c>
      <c r="F339" s="475">
        <v>29998</v>
      </c>
      <c r="G339" s="462">
        <f>'потребность 2023 (5)'!K343</f>
        <v>30000</v>
      </c>
      <c r="H339" s="460">
        <v>9253</v>
      </c>
      <c r="I339" s="462">
        <v>30000</v>
      </c>
      <c r="J339" s="449">
        <v>30000</v>
      </c>
      <c r="K339" s="462">
        <f t="shared" si="138"/>
        <v>100</v>
      </c>
      <c r="L339" s="462">
        <f t="shared" si="139"/>
        <v>0</v>
      </c>
      <c r="M339" s="449">
        <v>30000</v>
      </c>
      <c r="N339" s="178">
        <f t="shared" si="137"/>
        <v>0</v>
      </c>
    </row>
    <row r="340" spans="1:14" ht="84.9" outlineLevel="6" x14ac:dyDescent="0.3">
      <c r="A340" s="233" t="s">
        <v>1034</v>
      </c>
      <c r="B340" s="397" t="s">
        <v>455</v>
      </c>
      <c r="C340" s="397" t="s">
        <v>67</v>
      </c>
      <c r="D340" s="397" t="s">
        <v>346</v>
      </c>
      <c r="E340" s="397" t="s">
        <v>6</v>
      </c>
      <c r="F340" s="473">
        <f>F341</f>
        <v>84900</v>
      </c>
      <c r="G340" s="465">
        <f>G341</f>
        <v>45000</v>
      </c>
      <c r="H340" s="460">
        <v>0</v>
      </c>
      <c r="I340" s="465">
        <f>I341</f>
        <v>45000</v>
      </c>
      <c r="J340" s="465">
        <f>J341</f>
        <v>45000</v>
      </c>
      <c r="K340" s="462">
        <f t="shared" si="138"/>
        <v>100</v>
      </c>
      <c r="L340" s="462">
        <f t="shared" si="139"/>
        <v>0</v>
      </c>
      <c r="M340" s="465">
        <f>M341</f>
        <v>285000</v>
      </c>
      <c r="N340" s="178">
        <f t="shared" si="137"/>
        <v>240000</v>
      </c>
    </row>
    <row r="341" spans="1:14" ht="41.3" customHeight="1" outlineLevel="7" x14ac:dyDescent="0.3">
      <c r="A341" s="189" t="s">
        <v>347</v>
      </c>
      <c r="B341" s="392" t="s">
        <v>455</v>
      </c>
      <c r="C341" s="392" t="s">
        <v>67</v>
      </c>
      <c r="D341" s="392" t="s">
        <v>348</v>
      </c>
      <c r="E341" s="392" t="s">
        <v>6</v>
      </c>
      <c r="F341" s="471">
        <f>F343</f>
        <v>84900</v>
      </c>
      <c r="G341" s="462">
        <f>G343</f>
        <v>45000</v>
      </c>
      <c r="H341" s="460">
        <v>0</v>
      </c>
      <c r="I341" s="462">
        <f>I343</f>
        <v>45000</v>
      </c>
      <c r="J341" s="462">
        <f>J343</f>
        <v>45000</v>
      </c>
      <c r="K341" s="462">
        <f t="shared" si="138"/>
        <v>100</v>
      </c>
      <c r="L341" s="462">
        <f t="shared" si="139"/>
        <v>0</v>
      </c>
      <c r="M341" s="462">
        <f>M343</f>
        <v>285000</v>
      </c>
      <c r="N341" s="178">
        <f t="shared" si="137"/>
        <v>240000</v>
      </c>
    </row>
    <row r="342" spans="1:14" s="224" customFormat="1" ht="34" outlineLevel="1" x14ac:dyDescent="0.3">
      <c r="A342" s="189" t="s">
        <v>349</v>
      </c>
      <c r="B342" s="392" t="s">
        <v>455</v>
      </c>
      <c r="C342" s="392" t="s">
        <v>67</v>
      </c>
      <c r="D342" s="392" t="s">
        <v>350</v>
      </c>
      <c r="E342" s="392" t="s">
        <v>6</v>
      </c>
      <c r="F342" s="471">
        <f>F343</f>
        <v>84900</v>
      </c>
      <c r="G342" s="462">
        <f t="shared" ref="G342:J343" si="142">G343</f>
        <v>45000</v>
      </c>
      <c r="H342" s="460">
        <v>0</v>
      </c>
      <c r="I342" s="462">
        <f t="shared" si="142"/>
        <v>45000</v>
      </c>
      <c r="J342" s="462">
        <f t="shared" si="142"/>
        <v>45000</v>
      </c>
      <c r="K342" s="462">
        <f t="shared" si="138"/>
        <v>100</v>
      </c>
      <c r="L342" s="462">
        <f t="shared" si="139"/>
        <v>0</v>
      </c>
      <c r="M342" s="462">
        <f t="shared" ref="M342:M343" si="143">M343</f>
        <v>285000</v>
      </c>
      <c r="N342" s="178">
        <f t="shared" si="137"/>
        <v>240000</v>
      </c>
    </row>
    <row r="343" spans="1:14" ht="34" outlineLevel="2" x14ac:dyDescent="0.3">
      <c r="A343" s="189" t="s">
        <v>15</v>
      </c>
      <c r="B343" s="392" t="s">
        <v>455</v>
      </c>
      <c r="C343" s="392" t="s">
        <v>67</v>
      </c>
      <c r="D343" s="392" t="s">
        <v>350</v>
      </c>
      <c r="E343" s="392" t="s">
        <v>16</v>
      </c>
      <c r="F343" s="471">
        <f>F344</f>
        <v>84900</v>
      </c>
      <c r="G343" s="462">
        <f t="shared" si="142"/>
        <v>45000</v>
      </c>
      <c r="H343" s="460">
        <v>0</v>
      </c>
      <c r="I343" s="462">
        <f t="shared" si="142"/>
        <v>45000</v>
      </c>
      <c r="J343" s="462">
        <f t="shared" si="142"/>
        <v>45000</v>
      </c>
      <c r="K343" s="462">
        <f t="shared" si="138"/>
        <v>100</v>
      </c>
      <c r="L343" s="462">
        <f t="shared" si="139"/>
        <v>0</v>
      </c>
      <c r="M343" s="462">
        <f t="shared" si="143"/>
        <v>285000</v>
      </c>
      <c r="N343" s="178">
        <f t="shared" si="137"/>
        <v>240000</v>
      </c>
    </row>
    <row r="344" spans="1:14" s="224" customFormat="1" ht="50.95" outlineLevel="3" x14ac:dyDescent="0.3">
      <c r="A344" s="189" t="s">
        <v>17</v>
      </c>
      <c r="B344" s="392" t="s">
        <v>455</v>
      </c>
      <c r="C344" s="392" t="s">
        <v>67</v>
      </c>
      <c r="D344" s="392" t="s">
        <v>350</v>
      </c>
      <c r="E344" s="392" t="s">
        <v>18</v>
      </c>
      <c r="F344" s="475">
        <v>84900</v>
      </c>
      <c r="G344" s="449">
        <f>'потребность 2023 (5)'!K348</f>
        <v>45000</v>
      </c>
      <c r="H344" s="460">
        <v>0</v>
      </c>
      <c r="I344" s="449">
        <v>45000</v>
      </c>
      <c r="J344" s="467">
        <v>45000</v>
      </c>
      <c r="K344" s="462">
        <f t="shared" si="138"/>
        <v>100</v>
      </c>
      <c r="L344" s="462">
        <f t="shared" si="139"/>
        <v>0</v>
      </c>
      <c r="M344" s="467">
        <f>45000+240000</f>
        <v>285000</v>
      </c>
      <c r="N344" s="178">
        <f t="shared" si="137"/>
        <v>240000</v>
      </c>
    </row>
    <row r="345" spans="1:14" outlineLevel="3" x14ac:dyDescent="0.3">
      <c r="A345" s="233" t="s">
        <v>69</v>
      </c>
      <c r="B345" s="397" t="s">
        <v>455</v>
      </c>
      <c r="C345" s="397" t="s">
        <v>70</v>
      </c>
      <c r="D345" s="397" t="s">
        <v>126</v>
      </c>
      <c r="E345" s="397" t="s">
        <v>6</v>
      </c>
      <c r="F345" s="473">
        <f t="shared" ref="F345:J350" si="144">F346</f>
        <v>19831560.850000001</v>
      </c>
      <c r="G345" s="465" t="e">
        <f t="shared" si="144"/>
        <v>#REF!</v>
      </c>
      <c r="H345" s="460">
        <v>22332738.170000002</v>
      </c>
      <c r="I345" s="465" t="e">
        <f t="shared" si="144"/>
        <v>#REF!</v>
      </c>
      <c r="J345" s="465">
        <f t="shared" si="144"/>
        <v>23773667.030000001</v>
      </c>
      <c r="K345" s="462" t="e">
        <f t="shared" si="138"/>
        <v>#REF!</v>
      </c>
      <c r="L345" s="462" t="e">
        <f t="shared" si="139"/>
        <v>#REF!</v>
      </c>
      <c r="M345" s="465">
        <f t="shared" ref="M345:M350" si="145">M346</f>
        <v>23376667.030000001</v>
      </c>
      <c r="N345" s="178">
        <f t="shared" si="137"/>
        <v>-397000</v>
      </c>
    </row>
    <row r="346" spans="1:14" outlineLevel="5" x14ac:dyDescent="0.3">
      <c r="A346" s="189" t="s">
        <v>251</v>
      </c>
      <c r="B346" s="392" t="s">
        <v>455</v>
      </c>
      <c r="C346" s="392" t="s">
        <v>250</v>
      </c>
      <c r="D346" s="392" t="s">
        <v>126</v>
      </c>
      <c r="E346" s="392" t="s">
        <v>6</v>
      </c>
      <c r="F346" s="471">
        <f t="shared" si="144"/>
        <v>19831560.850000001</v>
      </c>
      <c r="G346" s="462" t="e">
        <f t="shared" si="144"/>
        <v>#REF!</v>
      </c>
      <c r="H346" s="460">
        <v>22332738.170000002</v>
      </c>
      <c r="I346" s="462" t="e">
        <f t="shared" si="144"/>
        <v>#REF!</v>
      </c>
      <c r="J346" s="462">
        <f t="shared" si="144"/>
        <v>23773667.030000001</v>
      </c>
      <c r="K346" s="462" t="e">
        <f t="shared" si="138"/>
        <v>#REF!</v>
      </c>
      <c r="L346" s="462" t="e">
        <f t="shared" si="139"/>
        <v>#REF!</v>
      </c>
      <c r="M346" s="462">
        <f t="shared" si="145"/>
        <v>23376667.030000001</v>
      </c>
      <c r="N346" s="178">
        <f t="shared" si="137"/>
        <v>-397000</v>
      </c>
    </row>
    <row r="347" spans="1:14" ht="50.95" outlineLevel="6" x14ac:dyDescent="0.3">
      <c r="A347" s="233" t="s">
        <v>1035</v>
      </c>
      <c r="B347" s="397" t="s">
        <v>455</v>
      </c>
      <c r="C347" s="397" t="s">
        <v>250</v>
      </c>
      <c r="D347" s="397" t="s">
        <v>136</v>
      </c>
      <c r="E347" s="397" t="s">
        <v>6</v>
      </c>
      <c r="F347" s="473">
        <f>F348</f>
        <v>19831560.850000001</v>
      </c>
      <c r="G347" s="465" t="e">
        <f>G348+#REF!</f>
        <v>#REF!</v>
      </c>
      <c r="H347" s="460">
        <v>22332738.170000002</v>
      </c>
      <c r="I347" s="465" t="e">
        <f>I348+#REF!</f>
        <v>#REF!</v>
      </c>
      <c r="J347" s="465">
        <f>J348</f>
        <v>23773667.030000001</v>
      </c>
      <c r="K347" s="462" t="e">
        <f t="shared" si="138"/>
        <v>#REF!</v>
      </c>
      <c r="L347" s="462" t="e">
        <f t="shared" si="139"/>
        <v>#REF!</v>
      </c>
      <c r="M347" s="465">
        <f>M348</f>
        <v>23376667.030000001</v>
      </c>
      <c r="N347" s="178">
        <f t="shared" si="137"/>
        <v>-397000</v>
      </c>
    </row>
    <row r="348" spans="1:14" ht="50.95" outlineLevel="7" x14ac:dyDescent="0.3">
      <c r="A348" s="188" t="s">
        <v>351</v>
      </c>
      <c r="B348" s="392" t="s">
        <v>455</v>
      </c>
      <c r="C348" s="392" t="s">
        <v>250</v>
      </c>
      <c r="D348" s="392" t="s">
        <v>225</v>
      </c>
      <c r="E348" s="392" t="s">
        <v>6</v>
      </c>
      <c r="F348" s="471">
        <f>F349+F352</f>
        <v>19831560.850000001</v>
      </c>
      <c r="G348" s="462">
        <f>G349+G352</f>
        <v>21888161.349999998</v>
      </c>
      <c r="H348" s="460">
        <v>15837013.15</v>
      </c>
      <c r="I348" s="462">
        <f>I349+I352</f>
        <v>20237835.43</v>
      </c>
      <c r="J348" s="462">
        <f>J349+J352</f>
        <v>23773667.030000001</v>
      </c>
      <c r="K348" s="462">
        <f t="shared" si="138"/>
        <v>108.61427165968878</v>
      </c>
      <c r="L348" s="462">
        <f t="shared" si="139"/>
        <v>1885505.6800000034</v>
      </c>
      <c r="M348" s="462">
        <f>M349+M352</f>
        <v>23376667.030000001</v>
      </c>
      <c r="N348" s="178">
        <f t="shared" si="137"/>
        <v>-397000</v>
      </c>
    </row>
    <row r="349" spans="1:14" ht="67.95" outlineLevel="7" x14ac:dyDescent="0.3">
      <c r="A349" s="189" t="s">
        <v>73</v>
      </c>
      <c r="B349" s="392" t="s">
        <v>455</v>
      </c>
      <c r="C349" s="392" t="s">
        <v>250</v>
      </c>
      <c r="D349" s="392" t="s">
        <v>137</v>
      </c>
      <c r="E349" s="392" t="s">
        <v>6</v>
      </c>
      <c r="F349" s="471">
        <f t="shared" si="144"/>
        <v>18639560.850000001</v>
      </c>
      <c r="G349" s="462">
        <f t="shared" si="144"/>
        <v>20985466.739999998</v>
      </c>
      <c r="H349" s="460">
        <v>15691220.609999999</v>
      </c>
      <c r="I349" s="462">
        <f t="shared" si="144"/>
        <v>20237835.43</v>
      </c>
      <c r="J349" s="462">
        <f t="shared" si="144"/>
        <v>23773667.030000001</v>
      </c>
      <c r="K349" s="462">
        <f t="shared" si="138"/>
        <v>113.28633918198953</v>
      </c>
      <c r="L349" s="462">
        <f t="shared" si="139"/>
        <v>2788200.2900000028</v>
      </c>
      <c r="M349" s="462">
        <f t="shared" si="145"/>
        <v>23376667.030000001</v>
      </c>
      <c r="N349" s="178">
        <f t="shared" si="137"/>
        <v>-397000</v>
      </c>
    </row>
    <row r="350" spans="1:14" ht="50.95" outlineLevel="7" x14ac:dyDescent="0.3">
      <c r="A350" s="189" t="s">
        <v>37</v>
      </c>
      <c r="B350" s="392" t="s">
        <v>455</v>
      </c>
      <c r="C350" s="392" t="s">
        <v>250</v>
      </c>
      <c r="D350" s="392" t="s">
        <v>137</v>
      </c>
      <c r="E350" s="392" t="s">
        <v>38</v>
      </c>
      <c r="F350" s="471">
        <f t="shared" si="144"/>
        <v>18639560.850000001</v>
      </c>
      <c r="G350" s="462">
        <f t="shared" si="144"/>
        <v>20985466.739999998</v>
      </c>
      <c r="H350" s="460">
        <v>15691220.609999999</v>
      </c>
      <c r="I350" s="462">
        <f t="shared" si="144"/>
        <v>20237835.43</v>
      </c>
      <c r="J350" s="462">
        <f t="shared" si="144"/>
        <v>23773667.030000001</v>
      </c>
      <c r="K350" s="462">
        <f t="shared" si="138"/>
        <v>113.28633918198953</v>
      </c>
      <c r="L350" s="462">
        <f t="shared" si="139"/>
        <v>2788200.2900000028</v>
      </c>
      <c r="M350" s="462">
        <f t="shared" si="145"/>
        <v>23376667.030000001</v>
      </c>
      <c r="N350" s="178">
        <f t="shared" si="137"/>
        <v>-397000</v>
      </c>
    </row>
    <row r="351" spans="1:14" outlineLevel="7" x14ac:dyDescent="0.3">
      <c r="A351" s="188" t="s">
        <v>74</v>
      </c>
      <c r="B351" s="392" t="s">
        <v>455</v>
      </c>
      <c r="C351" s="392" t="s">
        <v>250</v>
      </c>
      <c r="D351" s="392" t="s">
        <v>137</v>
      </c>
      <c r="E351" s="392" t="s">
        <v>75</v>
      </c>
      <c r="F351" s="475">
        <v>18639560.850000001</v>
      </c>
      <c r="G351" s="462">
        <f>'потребность 2023 (5)'!K355+1158445.27</f>
        <v>20985466.739999998</v>
      </c>
      <c r="H351" s="460">
        <v>15691220.609999999</v>
      </c>
      <c r="I351" s="462">
        <v>20237835.43</v>
      </c>
      <c r="J351" s="449">
        <v>23773667.030000001</v>
      </c>
      <c r="K351" s="462">
        <f t="shared" si="138"/>
        <v>113.28633918198953</v>
      </c>
      <c r="L351" s="462">
        <f t="shared" si="139"/>
        <v>2788200.2900000028</v>
      </c>
      <c r="M351" s="449">
        <f>23773667.03-397000</f>
        <v>23376667.030000001</v>
      </c>
      <c r="N351" s="178">
        <f t="shared" si="137"/>
        <v>-397000</v>
      </c>
    </row>
    <row r="352" spans="1:14" ht="90.35" customHeight="1" outlineLevel="2" x14ac:dyDescent="0.3">
      <c r="A352" s="189" t="s">
        <v>1048</v>
      </c>
      <c r="B352" s="392" t="s">
        <v>455</v>
      </c>
      <c r="C352" s="392" t="s">
        <v>250</v>
      </c>
      <c r="D352" s="245" t="s">
        <v>884</v>
      </c>
      <c r="E352" s="392" t="s">
        <v>6</v>
      </c>
      <c r="F352" s="471">
        <f>F353</f>
        <v>1192000</v>
      </c>
      <c r="G352" s="462">
        <f t="shared" ref="G352:J353" si="146">G353</f>
        <v>902694.61</v>
      </c>
      <c r="H352" s="460">
        <v>145792.54</v>
      </c>
      <c r="I352" s="462">
        <f t="shared" si="146"/>
        <v>0</v>
      </c>
      <c r="J352" s="462">
        <f t="shared" si="146"/>
        <v>0</v>
      </c>
      <c r="K352" s="462">
        <f t="shared" si="138"/>
        <v>0</v>
      </c>
      <c r="L352" s="462">
        <f t="shared" si="139"/>
        <v>-902694.61</v>
      </c>
      <c r="M352" s="462">
        <f t="shared" ref="M352:M353" si="147">M353</f>
        <v>0</v>
      </c>
      <c r="N352" s="178">
        <f t="shared" si="137"/>
        <v>0</v>
      </c>
    </row>
    <row r="353" spans="1:14" ht="54.35" customHeight="1" outlineLevel="2" x14ac:dyDescent="0.3">
      <c r="A353" s="189" t="s">
        <v>37</v>
      </c>
      <c r="B353" s="392" t="s">
        <v>455</v>
      </c>
      <c r="C353" s="392" t="s">
        <v>250</v>
      </c>
      <c r="D353" s="245" t="s">
        <v>884</v>
      </c>
      <c r="E353" s="392" t="s">
        <v>38</v>
      </c>
      <c r="F353" s="471">
        <f>F354</f>
        <v>1192000</v>
      </c>
      <c r="G353" s="462">
        <f t="shared" si="146"/>
        <v>902694.61</v>
      </c>
      <c r="H353" s="460">
        <v>145792.54</v>
      </c>
      <c r="I353" s="462">
        <f t="shared" si="146"/>
        <v>0</v>
      </c>
      <c r="J353" s="462">
        <f t="shared" si="146"/>
        <v>0</v>
      </c>
      <c r="K353" s="462">
        <f t="shared" si="138"/>
        <v>0</v>
      </c>
      <c r="L353" s="462">
        <f t="shared" si="139"/>
        <v>-902694.61</v>
      </c>
      <c r="M353" s="462">
        <f t="shared" si="147"/>
        <v>0</v>
      </c>
      <c r="N353" s="178">
        <f t="shared" si="137"/>
        <v>0</v>
      </c>
    </row>
    <row r="354" spans="1:14" ht="29.25" customHeight="1" outlineLevel="2" x14ac:dyDescent="0.3">
      <c r="A354" s="189" t="s">
        <v>74</v>
      </c>
      <c r="B354" s="392" t="s">
        <v>455</v>
      </c>
      <c r="C354" s="392" t="s">
        <v>250</v>
      </c>
      <c r="D354" s="245" t="s">
        <v>884</v>
      </c>
      <c r="E354" s="392" t="s">
        <v>75</v>
      </c>
      <c r="F354" s="475">
        <v>1192000</v>
      </c>
      <c r="G354" s="462">
        <f>117331.46+85363.15+700000</f>
        <v>902694.61</v>
      </c>
      <c r="H354" s="460">
        <v>145792.54</v>
      </c>
      <c r="I354" s="462">
        <v>0</v>
      </c>
      <c r="J354" s="449">
        <v>0</v>
      </c>
      <c r="K354" s="462">
        <f t="shared" si="138"/>
        <v>0</v>
      </c>
      <c r="L354" s="462">
        <f t="shared" si="139"/>
        <v>-902694.61</v>
      </c>
      <c r="M354" s="449">
        <v>0</v>
      </c>
      <c r="N354" s="178">
        <f t="shared" si="137"/>
        <v>0</v>
      </c>
    </row>
    <row r="355" spans="1:14" outlineLevel="7" x14ac:dyDescent="0.3">
      <c r="A355" s="233" t="s">
        <v>79</v>
      </c>
      <c r="B355" s="397" t="s">
        <v>455</v>
      </c>
      <c r="C355" s="397" t="s">
        <v>80</v>
      </c>
      <c r="D355" s="397" t="s">
        <v>126</v>
      </c>
      <c r="E355" s="397" t="s">
        <v>6</v>
      </c>
      <c r="F355" s="473" t="e">
        <f>F356+F377</f>
        <v>#REF!</v>
      </c>
      <c r="G355" s="465" t="e">
        <f t="shared" ref="G355:J356" si="148">G356</f>
        <v>#REF!</v>
      </c>
      <c r="H355" s="460">
        <v>34824779.729999997</v>
      </c>
      <c r="I355" s="465" t="e">
        <f t="shared" si="148"/>
        <v>#REF!</v>
      </c>
      <c r="J355" s="465">
        <f t="shared" si="148"/>
        <v>40937820.030000001</v>
      </c>
      <c r="K355" s="462" t="e">
        <f t="shared" si="138"/>
        <v>#REF!</v>
      </c>
      <c r="L355" s="462" t="e">
        <f t="shared" si="139"/>
        <v>#REF!</v>
      </c>
      <c r="M355" s="465">
        <f t="shared" ref="M355:M356" si="149">M356</f>
        <v>49218144.909999996</v>
      </c>
      <c r="N355" s="178">
        <f t="shared" si="137"/>
        <v>8280324.8799999952</v>
      </c>
    </row>
    <row r="356" spans="1:14" outlineLevel="7" x14ac:dyDescent="0.3">
      <c r="A356" s="189" t="s">
        <v>81</v>
      </c>
      <c r="B356" s="392" t="s">
        <v>455</v>
      </c>
      <c r="C356" s="392" t="s">
        <v>82</v>
      </c>
      <c r="D356" s="392" t="s">
        <v>126</v>
      </c>
      <c r="E356" s="392" t="s">
        <v>6</v>
      </c>
      <c r="F356" s="471" t="e">
        <f>F357</f>
        <v>#REF!</v>
      </c>
      <c r="G356" s="462" t="e">
        <f t="shared" si="148"/>
        <v>#REF!</v>
      </c>
      <c r="H356" s="460">
        <v>34824779.729999997</v>
      </c>
      <c r="I356" s="462" t="e">
        <f t="shared" si="148"/>
        <v>#REF!</v>
      </c>
      <c r="J356" s="462">
        <f t="shared" si="148"/>
        <v>40937820.030000001</v>
      </c>
      <c r="K356" s="462" t="e">
        <f t="shared" si="138"/>
        <v>#REF!</v>
      </c>
      <c r="L356" s="462" t="e">
        <f t="shared" si="139"/>
        <v>#REF!</v>
      </c>
      <c r="M356" s="462">
        <f t="shared" si="149"/>
        <v>49218144.909999996</v>
      </c>
      <c r="N356" s="178">
        <f t="shared" si="137"/>
        <v>8280324.8799999952</v>
      </c>
    </row>
    <row r="357" spans="1:14" ht="50.95" outlineLevel="7" x14ac:dyDescent="0.3">
      <c r="A357" s="233" t="s">
        <v>1035</v>
      </c>
      <c r="B357" s="397" t="s">
        <v>455</v>
      </c>
      <c r="C357" s="397" t="s">
        <v>82</v>
      </c>
      <c r="D357" s="397" t="s">
        <v>136</v>
      </c>
      <c r="E357" s="397" t="s">
        <v>6</v>
      </c>
      <c r="F357" s="473" t="e">
        <f>F358+F372+F362</f>
        <v>#REF!</v>
      </c>
      <c r="G357" s="465" t="e">
        <f>G358+G372+G368+#REF!</f>
        <v>#REF!</v>
      </c>
      <c r="H357" s="460">
        <v>34824779.729999997</v>
      </c>
      <c r="I357" s="465" t="e">
        <f>I358+I372+I368+#REF!</f>
        <v>#REF!</v>
      </c>
      <c r="J357" s="465">
        <f>J358+J372+J368</f>
        <v>40937820.030000001</v>
      </c>
      <c r="K357" s="462" t="e">
        <f t="shared" si="138"/>
        <v>#REF!</v>
      </c>
      <c r="L357" s="462" t="e">
        <f t="shared" si="139"/>
        <v>#REF!</v>
      </c>
      <c r="M357" s="465">
        <f>M358+M372+M368</f>
        <v>49218144.909999996</v>
      </c>
      <c r="N357" s="178">
        <f t="shared" si="137"/>
        <v>8280324.8799999952</v>
      </c>
    </row>
    <row r="358" spans="1:14" ht="50.95" outlineLevel="7" x14ac:dyDescent="0.3">
      <c r="A358" s="189" t="s">
        <v>353</v>
      </c>
      <c r="B358" s="392" t="s">
        <v>455</v>
      </c>
      <c r="C358" s="392" t="s">
        <v>82</v>
      </c>
      <c r="D358" s="392" t="s">
        <v>224</v>
      </c>
      <c r="E358" s="392" t="s">
        <v>6</v>
      </c>
      <c r="F358" s="471">
        <f>F366+F359</f>
        <v>10017363.720000001</v>
      </c>
      <c r="G358" s="462">
        <f>G359+G362+G365</f>
        <v>10607846.629999999</v>
      </c>
      <c r="H358" s="460">
        <v>7255591.8200000003</v>
      </c>
      <c r="I358" s="462">
        <f>I359+I362+I365</f>
        <v>10536274.74</v>
      </c>
      <c r="J358" s="462">
        <f>J359+J362+J365</f>
        <v>11974028.559999999</v>
      </c>
      <c r="K358" s="462">
        <f t="shared" si="138"/>
        <v>112.87897513654003</v>
      </c>
      <c r="L358" s="462">
        <f t="shared" si="139"/>
        <v>1366181.9299999997</v>
      </c>
      <c r="M358" s="462">
        <f>M359+M362+M365</f>
        <v>11974028.559999999</v>
      </c>
      <c r="N358" s="178">
        <f t="shared" si="137"/>
        <v>0</v>
      </c>
    </row>
    <row r="359" spans="1:14" ht="67.95" outlineLevel="7" x14ac:dyDescent="0.3">
      <c r="A359" s="189" t="s">
        <v>1009</v>
      </c>
      <c r="B359" s="392" t="s">
        <v>455</v>
      </c>
      <c r="C359" s="392" t="s">
        <v>82</v>
      </c>
      <c r="D359" s="392" t="s">
        <v>141</v>
      </c>
      <c r="E359" s="392" t="s">
        <v>6</v>
      </c>
      <c r="F359" s="471">
        <f>F360</f>
        <v>10017363.720000001</v>
      </c>
      <c r="G359" s="462">
        <f t="shared" ref="G359:J360" si="150">G360</f>
        <v>10602650.6</v>
      </c>
      <c r="H359" s="460">
        <v>7082390.79</v>
      </c>
      <c r="I359" s="462">
        <f t="shared" si="150"/>
        <v>10531078.710000001</v>
      </c>
      <c r="J359" s="462">
        <f t="shared" si="150"/>
        <v>11804326.539999999</v>
      </c>
      <c r="K359" s="462">
        <f t="shared" si="138"/>
        <v>111.33373139731681</v>
      </c>
      <c r="L359" s="462">
        <f t="shared" si="139"/>
        <v>1201675.9399999995</v>
      </c>
      <c r="M359" s="462">
        <f t="shared" ref="M359:M360" si="151">M360</f>
        <v>11804326.539999999</v>
      </c>
      <c r="N359" s="178">
        <f t="shared" si="137"/>
        <v>0</v>
      </c>
    </row>
    <row r="360" spans="1:14" ht="50.95" outlineLevel="7" x14ac:dyDescent="0.3">
      <c r="A360" s="189" t="s">
        <v>37</v>
      </c>
      <c r="B360" s="392" t="s">
        <v>455</v>
      </c>
      <c r="C360" s="392" t="s">
        <v>82</v>
      </c>
      <c r="D360" s="392" t="s">
        <v>141</v>
      </c>
      <c r="E360" s="392" t="s">
        <v>38</v>
      </c>
      <c r="F360" s="471">
        <f>F361</f>
        <v>10017363.720000001</v>
      </c>
      <c r="G360" s="462">
        <f t="shared" si="150"/>
        <v>10602650.6</v>
      </c>
      <c r="H360" s="460">
        <v>7082390.79</v>
      </c>
      <c r="I360" s="462">
        <f t="shared" si="150"/>
        <v>10531078.710000001</v>
      </c>
      <c r="J360" s="462">
        <f t="shared" si="150"/>
        <v>11804326.539999999</v>
      </c>
      <c r="K360" s="462">
        <f t="shared" si="138"/>
        <v>111.33373139731681</v>
      </c>
      <c r="L360" s="462">
        <f t="shared" si="139"/>
        <v>1201675.9399999995</v>
      </c>
      <c r="M360" s="462">
        <f t="shared" si="151"/>
        <v>11804326.539999999</v>
      </c>
      <c r="N360" s="178">
        <f t="shared" si="137"/>
        <v>0</v>
      </c>
    </row>
    <row r="361" spans="1:14" outlineLevel="7" x14ac:dyDescent="0.3">
      <c r="A361" s="189" t="s">
        <v>74</v>
      </c>
      <c r="B361" s="392" t="s">
        <v>455</v>
      </c>
      <c r="C361" s="392" t="s">
        <v>82</v>
      </c>
      <c r="D361" s="392" t="s">
        <v>141</v>
      </c>
      <c r="E361" s="392" t="s">
        <v>75</v>
      </c>
      <c r="F361" s="475">
        <v>10017363.720000001</v>
      </c>
      <c r="G361" s="449">
        <f>'потребность 2023 (5)'!K376+265521.68</f>
        <v>10602650.6</v>
      </c>
      <c r="H361" s="460">
        <v>7082390.79</v>
      </c>
      <c r="I361" s="449">
        <v>10531078.710000001</v>
      </c>
      <c r="J361" s="449">
        <v>11804326.539999999</v>
      </c>
      <c r="K361" s="462">
        <f t="shared" si="138"/>
        <v>111.33373139731681</v>
      </c>
      <c r="L361" s="462">
        <f t="shared" si="139"/>
        <v>1201675.9399999995</v>
      </c>
      <c r="M361" s="449">
        <f>11804326.54</f>
        <v>11804326.539999999</v>
      </c>
      <c r="N361" s="178">
        <f t="shared" si="137"/>
        <v>0</v>
      </c>
    </row>
    <row r="362" spans="1:14" ht="67.95" customHeight="1" outlineLevel="7" x14ac:dyDescent="0.3">
      <c r="A362" s="189" t="s">
        <v>953</v>
      </c>
      <c r="B362" s="392" t="s">
        <v>455</v>
      </c>
      <c r="C362" s="392" t="s">
        <v>82</v>
      </c>
      <c r="D362" s="392" t="s">
        <v>286</v>
      </c>
      <c r="E362" s="407" t="s">
        <v>6</v>
      </c>
      <c r="F362" s="478">
        <f>F363</f>
        <v>0</v>
      </c>
      <c r="G362" s="449">
        <f t="shared" ref="G362:J363" si="152">G363</f>
        <v>0</v>
      </c>
      <c r="H362" s="460"/>
      <c r="I362" s="449">
        <f t="shared" si="152"/>
        <v>0</v>
      </c>
      <c r="J362" s="449">
        <f t="shared" si="152"/>
        <v>168005</v>
      </c>
      <c r="K362" s="462" t="e">
        <f t="shared" si="138"/>
        <v>#DIV/0!</v>
      </c>
      <c r="L362" s="462">
        <f t="shared" si="139"/>
        <v>168005</v>
      </c>
      <c r="M362" s="449">
        <f t="shared" ref="M362:M363" si="153">M363</f>
        <v>168005</v>
      </c>
      <c r="N362" s="178">
        <f t="shared" si="137"/>
        <v>0</v>
      </c>
    </row>
    <row r="363" spans="1:14" ht="50.95" outlineLevel="7" x14ac:dyDescent="0.3">
      <c r="A363" s="189" t="s">
        <v>37</v>
      </c>
      <c r="B363" s="392" t="s">
        <v>455</v>
      </c>
      <c r="C363" s="392" t="s">
        <v>82</v>
      </c>
      <c r="D363" s="392" t="s">
        <v>286</v>
      </c>
      <c r="E363" s="407" t="s">
        <v>38</v>
      </c>
      <c r="F363" s="478">
        <f>F364</f>
        <v>0</v>
      </c>
      <c r="G363" s="449">
        <f t="shared" si="152"/>
        <v>0</v>
      </c>
      <c r="H363" s="460"/>
      <c r="I363" s="449">
        <f t="shared" si="152"/>
        <v>0</v>
      </c>
      <c r="J363" s="449">
        <f t="shared" si="152"/>
        <v>168005</v>
      </c>
      <c r="K363" s="462" t="e">
        <f t="shared" si="138"/>
        <v>#DIV/0!</v>
      </c>
      <c r="L363" s="462">
        <f t="shared" si="139"/>
        <v>168005</v>
      </c>
      <c r="M363" s="449">
        <f t="shared" si="153"/>
        <v>168005</v>
      </c>
      <c r="N363" s="178">
        <f t="shared" si="137"/>
        <v>0</v>
      </c>
    </row>
    <row r="364" spans="1:14" outlineLevel="7" x14ac:dyDescent="0.3">
      <c r="A364" s="189" t="s">
        <v>74</v>
      </c>
      <c r="B364" s="392" t="s">
        <v>455</v>
      </c>
      <c r="C364" s="392" t="s">
        <v>82</v>
      </c>
      <c r="D364" s="392" t="s">
        <v>286</v>
      </c>
      <c r="E364" s="407" t="s">
        <v>75</v>
      </c>
      <c r="F364" s="479">
        <v>0</v>
      </c>
      <c r="G364" s="449">
        <v>0</v>
      </c>
      <c r="H364" s="460"/>
      <c r="I364" s="449">
        <v>0</v>
      </c>
      <c r="J364" s="449">
        <v>168005</v>
      </c>
      <c r="K364" s="462" t="e">
        <f t="shared" si="138"/>
        <v>#DIV/0!</v>
      </c>
      <c r="L364" s="462">
        <f t="shared" si="139"/>
        <v>168005</v>
      </c>
      <c r="M364" s="449">
        <v>168005</v>
      </c>
      <c r="N364" s="178">
        <f t="shared" si="137"/>
        <v>0</v>
      </c>
    </row>
    <row r="365" spans="1:14" ht="76.75" customHeight="1" outlineLevel="7" x14ac:dyDescent="0.3">
      <c r="A365" s="189" t="s">
        <v>296</v>
      </c>
      <c r="B365" s="392" t="s">
        <v>455</v>
      </c>
      <c r="C365" s="392" t="s">
        <v>82</v>
      </c>
      <c r="D365" s="392" t="s">
        <v>297</v>
      </c>
      <c r="E365" s="407" t="s">
        <v>6</v>
      </c>
      <c r="F365" s="497"/>
      <c r="G365" s="449">
        <f t="shared" ref="G365:J366" si="154">G366</f>
        <v>5196.03</v>
      </c>
      <c r="H365" s="460">
        <v>5196.03</v>
      </c>
      <c r="I365" s="449">
        <f t="shared" si="154"/>
        <v>5196.03</v>
      </c>
      <c r="J365" s="449">
        <f t="shared" si="154"/>
        <v>1697.02</v>
      </c>
      <c r="K365" s="462">
        <f t="shared" si="138"/>
        <v>32.659934603918764</v>
      </c>
      <c r="L365" s="462">
        <f t="shared" si="139"/>
        <v>-3499.0099999999998</v>
      </c>
      <c r="M365" s="449">
        <f t="shared" ref="M365:M366" si="155">M366</f>
        <v>1697.02</v>
      </c>
      <c r="N365" s="178">
        <f t="shared" si="137"/>
        <v>0</v>
      </c>
    </row>
    <row r="366" spans="1:14" ht="50.95" outlineLevel="7" x14ac:dyDescent="0.3">
      <c r="A366" s="189" t="s">
        <v>37</v>
      </c>
      <c r="B366" s="392" t="s">
        <v>455</v>
      </c>
      <c r="C366" s="392" t="s">
        <v>82</v>
      </c>
      <c r="D366" s="392" t="s">
        <v>297</v>
      </c>
      <c r="E366" s="407" t="s">
        <v>38</v>
      </c>
      <c r="F366" s="497"/>
      <c r="G366" s="449">
        <f t="shared" si="154"/>
        <v>5196.03</v>
      </c>
      <c r="H366" s="460">
        <v>5196.03</v>
      </c>
      <c r="I366" s="449">
        <f t="shared" si="154"/>
        <v>5196.03</v>
      </c>
      <c r="J366" s="449">
        <f t="shared" si="154"/>
        <v>1697.02</v>
      </c>
      <c r="K366" s="462">
        <f t="shared" si="138"/>
        <v>32.659934603918764</v>
      </c>
      <c r="L366" s="462">
        <f t="shared" si="139"/>
        <v>-3499.0099999999998</v>
      </c>
      <c r="M366" s="449">
        <f t="shared" si="155"/>
        <v>1697.02</v>
      </c>
      <c r="N366" s="178">
        <f t="shared" si="137"/>
        <v>0</v>
      </c>
    </row>
    <row r="367" spans="1:14" outlineLevel="7" x14ac:dyDescent="0.3">
      <c r="A367" s="189" t="s">
        <v>74</v>
      </c>
      <c r="B367" s="392" t="s">
        <v>455</v>
      </c>
      <c r="C367" s="392" t="s">
        <v>82</v>
      </c>
      <c r="D367" s="392" t="s">
        <v>297</v>
      </c>
      <c r="E367" s="407" t="s">
        <v>75</v>
      </c>
      <c r="F367" s="479"/>
      <c r="G367" s="449">
        <f>'потребность 2023 (5)'!K382</f>
        <v>5196.03</v>
      </c>
      <c r="H367" s="460">
        <v>5196.03</v>
      </c>
      <c r="I367" s="449">
        <v>5196.03</v>
      </c>
      <c r="J367" s="449">
        <f>ROUND(J364/99*1,2)</f>
        <v>1697.02</v>
      </c>
      <c r="K367" s="462">
        <f t="shared" si="138"/>
        <v>32.659934603918764</v>
      </c>
      <c r="L367" s="462">
        <f t="shared" si="139"/>
        <v>-3499.0099999999998</v>
      </c>
      <c r="M367" s="449">
        <f>ROUND(M364/99*1,2)</f>
        <v>1697.02</v>
      </c>
      <c r="N367" s="178">
        <f t="shared" si="137"/>
        <v>0</v>
      </c>
    </row>
    <row r="368" spans="1:14" ht="34" outlineLevel="7" x14ac:dyDescent="0.3">
      <c r="A368" s="189" t="s">
        <v>612</v>
      </c>
      <c r="B368" s="392" t="s">
        <v>455</v>
      </c>
      <c r="C368" s="392" t="s">
        <v>82</v>
      </c>
      <c r="D368" s="392" t="s">
        <v>611</v>
      </c>
      <c r="E368" s="392" t="s">
        <v>6</v>
      </c>
      <c r="F368" s="471">
        <f>F369+F375</f>
        <v>24036980.25</v>
      </c>
      <c r="G368" s="462">
        <f t="shared" ref="G368:J370" si="156">G369</f>
        <v>26347135.780000001</v>
      </c>
      <c r="H368" s="460">
        <v>19080629.98</v>
      </c>
      <c r="I368" s="462">
        <f t="shared" si="156"/>
        <v>27395001.719999999</v>
      </c>
      <c r="J368" s="462">
        <f t="shared" si="156"/>
        <v>28331291.469999999</v>
      </c>
      <c r="K368" s="462">
        <f t="shared" si="138"/>
        <v>107.53082121171653</v>
      </c>
      <c r="L368" s="462">
        <f t="shared" si="139"/>
        <v>1984155.6899999976</v>
      </c>
      <c r="M368" s="462">
        <f t="shared" ref="M368:M370" si="157">M369</f>
        <v>26266116.849999998</v>
      </c>
      <c r="N368" s="178">
        <f t="shared" si="137"/>
        <v>-2065174.620000001</v>
      </c>
    </row>
    <row r="369" spans="1:14" ht="36.700000000000003" customHeight="1" outlineLevel="3" x14ac:dyDescent="0.3">
      <c r="A369" s="189" t="s">
        <v>1009</v>
      </c>
      <c r="B369" s="392" t="s">
        <v>455</v>
      </c>
      <c r="C369" s="392" t="s">
        <v>82</v>
      </c>
      <c r="D369" s="392" t="s">
        <v>610</v>
      </c>
      <c r="E369" s="392" t="s">
        <v>6</v>
      </c>
      <c r="F369" s="471">
        <f>F370</f>
        <v>23553480.32</v>
      </c>
      <c r="G369" s="462">
        <f t="shared" si="156"/>
        <v>26347135.780000001</v>
      </c>
      <c r="H369" s="460">
        <v>19080629.98</v>
      </c>
      <c r="I369" s="462">
        <f t="shared" si="156"/>
        <v>27395001.719999999</v>
      </c>
      <c r="J369" s="462">
        <f t="shared" si="156"/>
        <v>28331291.469999999</v>
      </c>
      <c r="K369" s="462">
        <f t="shared" si="138"/>
        <v>107.53082121171653</v>
      </c>
      <c r="L369" s="462">
        <f t="shared" si="139"/>
        <v>1984155.6899999976</v>
      </c>
      <c r="M369" s="462">
        <f t="shared" si="157"/>
        <v>26266116.849999998</v>
      </c>
      <c r="N369" s="178">
        <f t="shared" si="137"/>
        <v>-2065174.620000001</v>
      </c>
    </row>
    <row r="370" spans="1:14" ht="50.95" outlineLevel="3" x14ac:dyDescent="0.3">
      <c r="A370" s="189" t="s">
        <v>37</v>
      </c>
      <c r="B370" s="392" t="s">
        <v>455</v>
      </c>
      <c r="C370" s="392" t="s">
        <v>82</v>
      </c>
      <c r="D370" s="392" t="s">
        <v>610</v>
      </c>
      <c r="E370" s="392" t="s">
        <v>38</v>
      </c>
      <c r="F370" s="471">
        <f>F371</f>
        <v>23553480.32</v>
      </c>
      <c r="G370" s="462">
        <f t="shared" si="156"/>
        <v>26347135.780000001</v>
      </c>
      <c r="H370" s="460">
        <v>19080629.98</v>
      </c>
      <c r="I370" s="462">
        <f t="shared" si="156"/>
        <v>27395001.719999999</v>
      </c>
      <c r="J370" s="462">
        <f t="shared" si="156"/>
        <v>28331291.469999999</v>
      </c>
      <c r="K370" s="462">
        <f t="shared" si="138"/>
        <v>107.53082121171653</v>
      </c>
      <c r="L370" s="462">
        <f t="shared" si="139"/>
        <v>1984155.6899999976</v>
      </c>
      <c r="M370" s="462">
        <f t="shared" si="157"/>
        <v>26266116.849999998</v>
      </c>
      <c r="N370" s="178">
        <f t="shared" si="137"/>
        <v>-2065174.620000001</v>
      </c>
    </row>
    <row r="371" spans="1:14" ht="21.25" customHeight="1" outlineLevel="3" x14ac:dyDescent="0.3">
      <c r="A371" s="189" t="s">
        <v>74</v>
      </c>
      <c r="B371" s="392" t="s">
        <v>455</v>
      </c>
      <c r="C371" s="392" t="s">
        <v>82</v>
      </c>
      <c r="D371" s="392" t="s">
        <v>610</v>
      </c>
      <c r="E371" s="392" t="s">
        <v>75</v>
      </c>
      <c r="F371" s="475">
        <v>23553480.32</v>
      </c>
      <c r="G371" s="449">
        <f>26247135.78+100000</f>
        <v>26347135.780000001</v>
      </c>
      <c r="H371" s="460">
        <v>19080629.98</v>
      </c>
      <c r="I371" s="449">
        <v>27395001.719999999</v>
      </c>
      <c r="J371" s="449">
        <v>28331291.469999999</v>
      </c>
      <c r="K371" s="462">
        <f t="shared" si="138"/>
        <v>107.53082121171653</v>
      </c>
      <c r="L371" s="462">
        <f t="shared" si="139"/>
        <v>1984155.6899999976</v>
      </c>
      <c r="M371" s="449">
        <f>28331291.47-2065174.62</f>
        <v>26266116.849999998</v>
      </c>
      <c r="N371" s="178">
        <f t="shared" si="137"/>
        <v>-2065174.620000001</v>
      </c>
    </row>
    <row r="372" spans="1:14" ht="37.4" customHeight="1" outlineLevel="7" x14ac:dyDescent="0.3">
      <c r="A372" s="189" t="s">
        <v>208</v>
      </c>
      <c r="B372" s="392" t="s">
        <v>455</v>
      </c>
      <c r="C372" s="392" t="s">
        <v>82</v>
      </c>
      <c r="D372" s="392" t="s">
        <v>226</v>
      </c>
      <c r="E372" s="392" t="s">
        <v>6</v>
      </c>
      <c r="F372" s="476" t="e">
        <f>F373+#REF!</f>
        <v>#REF!</v>
      </c>
      <c r="G372" s="449" t="e">
        <f>G373+#REF!+#REF!+G376+#REF!+#REF!+#REF!</f>
        <v>#REF!</v>
      </c>
      <c r="H372" s="449"/>
      <c r="I372" s="449" t="e">
        <f>I373+#REF!+#REF!+I376+#REF!+#REF!+#REF!</f>
        <v>#REF!</v>
      </c>
      <c r="J372" s="449">
        <f>J373+J376</f>
        <v>632500</v>
      </c>
      <c r="K372" s="462" t="e">
        <f t="shared" si="138"/>
        <v>#REF!</v>
      </c>
      <c r="L372" s="462" t="e">
        <f t="shared" si="139"/>
        <v>#REF!</v>
      </c>
      <c r="M372" s="449">
        <f>M373+M376+M379+M382</f>
        <v>10977999.5</v>
      </c>
      <c r="N372" s="178">
        <f t="shared" si="137"/>
        <v>10345499.5</v>
      </c>
    </row>
    <row r="373" spans="1:14" ht="34" outlineLevel="7" x14ac:dyDescent="0.3">
      <c r="A373" s="189" t="s">
        <v>83</v>
      </c>
      <c r="B373" s="392" t="s">
        <v>455</v>
      </c>
      <c r="C373" s="392" t="s">
        <v>82</v>
      </c>
      <c r="D373" s="392" t="s">
        <v>140</v>
      </c>
      <c r="E373" s="392" t="s">
        <v>6</v>
      </c>
      <c r="F373" s="471" t="e">
        <f>F374</f>
        <v>#REF!</v>
      </c>
      <c r="G373" s="462">
        <f t="shared" ref="G373:J374" si="158">G374</f>
        <v>763605.61</v>
      </c>
      <c r="H373" s="462"/>
      <c r="I373" s="462">
        <f t="shared" si="158"/>
        <v>632500</v>
      </c>
      <c r="J373" s="462">
        <f t="shared" si="158"/>
        <v>632500</v>
      </c>
      <c r="K373" s="462">
        <f t="shared" si="138"/>
        <v>82.830716762282563</v>
      </c>
      <c r="L373" s="462">
        <f t="shared" si="139"/>
        <v>-131105.60999999999</v>
      </c>
      <c r="M373" s="462">
        <f t="shared" ref="M373:M374" si="159">M374</f>
        <v>632500</v>
      </c>
      <c r="N373" s="178">
        <f t="shared" si="137"/>
        <v>0</v>
      </c>
    </row>
    <row r="374" spans="1:14" s="224" customFormat="1" ht="50.95" outlineLevel="1" x14ac:dyDescent="0.3">
      <c r="A374" s="189" t="s">
        <v>37</v>
      </c>
      <c r="B374" s="392" t="s">
        <v>455</v>
      </c>
      <c r="C374" s="392" t="s">
        <v>82</v>
      </c>
      <c r="D374" s="392" t="s">
        <v>140</v>
      </c>
      <c r="E374" s="392" t="s">
        <v>38</v>
      </c>
      <c r="F374" s="471" t="e">
        <f>F375+#REF!</f>
        <v>#REF!</v>
      </c>
      <c r="G374" s="462">
        <f t="shared" si="158"/>
        <v>763605.61</v>
      </c>
      <c r="H374" s="462"/>
      <c r="I374" s="462">
        <f t="shared" si="158"/>
        <v>632500</v>
      </c>
      <c r="J374" s="462">
        <f t="shared" si="158"/>
        <v>632500</v>
      </c>
      <c r="K374" s="462">
        <f t="shared" si="138"/>
        <v>82.830716762282563</v>
      </c>
      <c r="L374" s="462">
        <f t="shared" si="139"/>
        <v>-131105.60999999999</v>
      </c>
      <c r="M374" s="462">
        <f t="shared" si="159"/>
        <v>632500</v>
      </c>
      <c r="N374" s="178">
        <f t="shared" si="137"/>
        <v>0</v>
      </c>
    </row>
    <row r="375" spans="1:14" outlineLevel="2" x14ac:dyDescent="0.3">
      <c r="A375" s="189" t="s">
        <v>74</v>
      </c>
      <c r="B375" s="392" t="s">
        <v>455</v>
      </c>
      <c r="C375" s="392" t="s">
        <v>82</v>
      </c>
      <c r="D375" s="392" t="s">
        <v>140</v>
      </c>
      <c r="E375" s="392" t="s">
        <v>75</v>
      </c>
      <c r="F375" s="475">
        <v>483499.93</v>
      </c>
      <c r="G375" s="462">
        <f>'потребность 2023 (5)'!K396+381105.61-250000</f>
        <v>763605.61</v>
      </c>
      <c r="H375" s="462"/>
      <c r="I375" s="462">
        <v>632500</v>
      </c>
      <c r="J375" s="449">
        <v>632500</v>
      </c>
      <c r="K375" s="462">
        <f t="shared" si="138"/>
        <v>82.830716762282563</v>
      </c>
      <c r="L375" s="462">
        <f t="shared" si="139"/>
        <v>-131105.60999999999</v>
      </c>
      <c r="M375" s="449">
        <v>632500</v>
      </c>
      <c r="N375" s="178">
        <f t="shared" si="137"/>
        <v>0</v>
      </c>
    </row>
    <row r="376" spans="1:14" ht="84.9" outlineLevel="4" x14ac:dyDescent="0.3">
      <c r="A376" s="189" t="s">
        <v>1048</v>
      </c>
      <c r="B376" s="392" t="s">
        <v>455</v>
      </c>
      <c r="C376" s="392" t="s">
        <v>82</v>
      </c>
      <c r="D376" s="392" t="s">
        <v>823</v>
      </c>
      <c r="E376" s="392" t="s">
        <v>6</v>
      </c>
      <c r="F376" s="498">
        <f>F377</f>
        <v>2250115.02</v>
      </c>
      <c r="G376" s="462">
        <f t="shared" ref="G376:J377" si="160">G377</f>
        <v>2155186.87</v>
      </c>
      <c r="H376" s="462"/>
      <c r="I376" s="462">
        <f t="shared" si="160"/>
        <v>0</v>
      </c>
      <c r="J376" s="462">
        <f t="shared" si="160"/>
        <v>0</v>
      </c>
      <c r="K376" s="462">
        <f t="shared" si="138"/>
        <v>0</v>
      </c>
      <c r="L376" s="462">
        <f t="shared" si="139"/>
        <v>-2155186.87</v>
      </c>
      <c r="M376" s="462">
        <f t="shared" ref="M376:M377" si="161">M377</f>
        <v>0</v>
      </c>
      <c r="N376" s="178">
        <f t="shared" si="137"/>
        <v>0</v>
      </c>
    </row>
    <row r="377" spans="1:14" ht="50.95" outlineLevel="4" x14ac:dyDescent="0.3">
      <c r="A377" s="189" t="s">
        <v>37</v>
      </c>
      <c r="B377" s="392" t="s">
        <v>455</v>
      </c>
      <c r="C377" s="392" t="s">
        <v>82</v>
      </c>
      <c r="D377" s="392" t="s">
        <v>823</v>
      </c>
      <c r="E377" s="392" t="s">
        <v>38</v>
      </c>
      <c r="F377" s="498">
        <f>F378</f>
        <v>2250115.02</v>
      </c>
      <c r="G377" s="462">
        <f t="shared" si="160"/>
        <v>2155186.87</v>
      </c>
      <c r="H377" s="462"/>
      <c r="I377" s="462">
        <f t="shared" si="160"/>
        <v>0</v>
      </c>
      <c r="J377" s="462">
        <f t="shared" si="160"/>
        <v>0</v>
      </c>
      <c r="K377" s="462">
        <f t="shared" si="138"/>
        <v>0</v>
      </c>
      <c r="L377" s="462">
        <f t="shared" si="139"/>
        <v>-2155186.87</v>
      </c>
      <c r="M377" s="462">
        <f t="shared" si="161"/>
        <v>0</v>
      </c>
      <c r="N377" s="178">
        <f t="shared" si="137"/>
        <v>0</v>
      </c>
    </row>
    <row r="378" spans="1:14" outlineLevel="4" x14ac:dyDescent="0.3">
      <c r="A378" s="189" t="s">
        <v>74</v>
      </c>
      <c r="B378" s="392" t="s">
        <v>455</v>
      </c>
      <c r="C378" s="392" t="s">
        <v>82</v>
      </c>
      <c r="D378" s="392" t="s">
        <v>823</v>
      </c>
      <c r="E378" s="392" t="s">
        <v>75</v>
      </c>
      <c r="F378" s="499">
        <f>319894.8+1930220.22</f>
        <v>2250115.02</v>
      </c>
      <c r="G378" s="462">
        <f>895180.8-600+180606.07+1080000</f>
        <v>2155186.87</v>
      </c>
      <c r="H378" s="462"/>
      <c r="I378" s="462"/>
      <c r="J378" s="449">
        <v>0</v>
      </c>
      <c r="K378" s="462">
        <f t="shared" si="138"/>
        <v>0</v>
      </c>
      <c r="L378" s="462">
        <f t="shared" si="139"/>
        <v>-2155186.87</v>
      </c>
      <c r="M378" s="449">
        <v>0</v>
      </c>
      <c r="N378" s="178">
        <f t="shared" si="137"/>
        <v>0</v>
      </c>
    </row>
    <row r="379" spans="1:14" ht="38.049999999999997" customHeight="1" outlineLevel="4" x14ac:dyDescent="0.3">
      <c r="A379" s="550" t="s">
        <v>1118</v>
      </c>
      <c r="B379" s="551" t="s">
        <v>455</v>
      </c>
      <c r="C379" s="551" t="s">
        <v>82</v>
      </c>
      <c r="D379" s="552" t="s">
        <v>1119</v>
      </c>
      <c r="E379" s="551" t="s">
        <v>6</v>
      </c>
      <c r="F379" s="553"/>
      <c r="G379" s="554"/>
      <c r="H379" s="554"/>
      <c r="I379" s="554"/>
      <c r="J379" s="555"/>
      <c r="K379" s="554"/>
      <c r="L379" s="554"/>
      <c r="M379" s="555">
        <f>M380</f>
        <v>10293772</v>
      </c>
      <c r="N379" s="556"/>
    </row>
    <row r="380" spans="1:14" ht="50.95" outlineLevel="4" x14ac:dyDescent="0.3">
      <c r="A380" s="557" t="s">
        <v>258</v>
      </c>
      <c r="B380" s="551" t="s">
        <v>455</v>
      </c>
      <c r="C380" s="551" t="s">
        <v>82</v>
      </c>
      <c r="D380" s="558" t="s">
        <v>1119</v>
      </c>
      <c r="E380" s="551" t="s">
        <v>259</v>
      </c>
      <c r="F380" s="553"/>
      <c r="G380" s="554"/>
      <c r="H380" s="554"/>
      <c r="I380" s="554"/>
      <c r="J380" s="555"/>
      <c r="K380" s="554"/>
      <c r="L380" s="554"/>
      <c r="M380" s="555">
        <f>M381</f>
        <v>10293772</v>
      </c>
      <c r="N380" s="556"/>
    </row>
    <row r="381" spans="1:14" outlineLevel="4" x14ac:dyDescent="0.3">
      <c r="A381" s="557" t="s">
        <v>260</v>
      </c>
      <c r="B381" s="551" t="s">
        <v>455</v>
      </c>
      <c r="C381" s="551" t="s">
        <v>82</v>
      </c>
      <c r="D381" s="558" t="s">
        <v>1119</v>
      </c>
      <c r="E381" s="551" t="s">
        <v>261</v>
      </c>
      <c r="F381" s="553"/>
      <c r="G381" s="554"/>
      <c r="H381" s="554"/>
      <c r="I381" s="554"/>
      <c r="J381" s="555"/>
      <c r="K381" s="554"/>
      <c r="L381" s="554"/>
      <c r="M381" s="555">
        <v>10293772</v>
      </c>
      <c r="N381" s="556"/>
    </row>
    <row r="382" spans="1:14" ht="70.650000000000006" customHeight="1" outlineLevel="4" x14ac:dyDescent="0.3">
      <c r="A382" s="559" t="s">
        <v>1121</v>
      </c>
      <c r="B382" s="551" t="s">
        <v>455</v>
      </c>
      <c r="C382" s="551" t="s">
        <v>82</v>
      </c>
      <c r="D382" s="558" t="s">
        <v>1120</v>
      </c>
      <c r="E382" s="551" t="s">
        <v>6</v>
      </c>
      <c r="F382" s="553"/>
      <c r="G382" s="554"/>
      <c r="H382" s="554"/>
      <c r="I382" s="554"/>
      <c r="J382" s="555"/>
      <c r="K382" s="554"/>
      <c r="L382" s="554"/>
      <c r="M382" s="555">
        <f>M383</f>
        <v>51727.5</v>
      </c>
      <c r="N382" s="556"/>
    </row>
    <row r="383" spans="1:14" ht="50.95" outlineLevel="4" x14ac:dyDescent="0.3">
      <c r="A383" s="557" t="s">
        <v>258</v>
      </c>
      <c r="B383" s="551" t="s">
        <v>455</v>
      </c>
      <c r="C383" s="551" t="s">
        <v>82</v>
      </c>
      <c r="D383" s="558" t="s">
        <v>1120</v>
      </c>
      <c r="E383" s="551" t="s">
        <v>259</v>
      </c>
      <c r="F383" s="553"/>
      <c r="G383" s="554"/>
      <c r="H383" s="554"/>
      <c r="I383" s="554"/>
      <c r="J383" s="555"/>
      <c r="K383" s="554"/>
      <c r="L383" s="554"/>
      <c r="M383" s="555">
        <f>M384</f>
        <v>51727.5</v>
      </c>
      <c r="N383" s="556"/>
    </row>
    <row r="384" spans="1:14" outlineLevel="4" x14ac:dyDescent="0.3">
      <c r="A384" s="557" t="s">
        <v>260</v>
      </c>
      <c r="B384" s="551" t="s">
        <v>455</v>
      </c>
      <c r="C384" s="551" t="s">
        <v>82</v>
      </c>
      <c r="D384" s="552" t="s">
        <v>1120</v>
      </c>
      <c r="E384" s="551" t="s">
        <v>261</v>
      </c>
      <c r="F384" s="553"/>
      <c r="G384" s="554"/>
      <c r="H384" s="554"/>
      <c r="I384" s="554"/>
      <c r="J384" s="555"/>
      <c r="K384" s="554"/>
      <c r="L384" s="554"/>
      <c r="M384" s="555">
        <f>ROUND(M381/99.5*0.5,2)</f>
        <v>51727.5</v>
      </c>
      <c r="N384" s="556"/>
    </row>
    <row r="385" spans="1:14" outlineLevel="7" x14ac:dyDescent="0.3">
      <c r="A385" s="233" t="s">
        <v>85</v>
      </c>
      <c r="B385" s="397" t="s">
        <v>455</v>
      </c>
      <c r="C385" s="397" t="s">
        <v>86</v>
      </c>
      <c r="D385" s="397" t="s">
        <v>126</v>
      </c>
      <c r="E385" s="397" t="s">
        <v>6</v>
      </c>
      <c r="F385" s="473">
        <f>F386+F391+F401</f>
        <v>5715146.5099999998</v>
      </c>
      <c r="G385" s="465">
        <f>G386+G391+G409+G424</f>
        <v>8630645.6699999999</v>
      </c>
      <c r="H385" s="465"/>
      <c r="I385" s="465">
        <f>I386+I391+I409+I424</f>
        <v>6070645.6699999999</v>
      </c>
      <c r="J385" s="465">
        <f>J386+J391+J409+J424</f>
        <v>48917027.569999993</v>
      </c>
      <c r="K385" s="462">
        <f t="shared" ref="K385:K440" si="162">J385/G385*100</f>
        <v>566.78294348283669</v>
      </c>
      <c r="L385" s="462">
        <f t="shared" ref="L385:L440" si="163">J385-G385</f>
        <v>40286381.899999991</v>
      </c>
      <c r="M385" s="465">
        <f>M386+M391+M409+M424</f>
        <v>48917027.569999993</v>
      </c>
      <c r="N385" s="178">
        <f t="shared" ref="N385:N439" si="164">M385-J385</f>
        <v>0</v>
      </c>
    </row>
    <row r="386" spans="1:14" outlineLevel="7" x14ac:dyDescent="0.3">
      <c r="A386" s="189" t="s">
        <v>87</v>
      </c>
      <c r="B386" s="392" t="s">
        <v>455</v>
      </c>
      <c r="C386" s="392" t="s">
        <v>88</v>
      </c>
      <c r="D386" s="392" t="s">
        <v>126</v>
      </c>
      <c r="E386" s="392" t="s">
        <v>6</v>
      </c>
      <c r="F386" s="471">
        <f t="shared" ref="F386:J389" si="165">F387</f>
        <v>5368146.51</v>
      </c>
      <c r="G386" s="462">
        <f t="shared" si="165"/>
        <v>5533145.6699999999</v>
      </c>
      <c r="H386" s="462"/>
      <c r="I386" s="462">
        <f t="shared" si="165"/>
        <v>5533145.6699999999</v>
      </c>
      <c r="J386" s="462">
        <f t="shared" si="165"/>
        <v>6157334.0199999996</v>
      </c>
      <c r="K386" s="462">
        <f t="shared" si="162"/>
        <v>111.2808949416291</v>
      </c>
      <c r="L386" s="462">
        <f t="shared" si="163"/>
        <v>624188.34999999963</v>
      </c>
      <c r="M386" s="462">
        <f t="shared" ref="M386:M389" si="166">M387</f>
        <v>6157334.0199999996</v>
      </c>
      <c r="N386" s="178">
        <f t="shared" si="164"/>
        <v>0</v>
      </c>
    </row>
    <row r="387" spans="1:14" ht="34" outlineLevel="7" x14ac:dyDescent="0.3">
      <c r="A387" s="233" t="s">
        <v>132</v>
      </c>
      <c r="B387" s="397" t="s">
        <v>455</v>
      </c>
      <c r="C387" s="397" t="s">
        <v>88</v>
      </c>
      <c r="D387" s="397" t="s">
        <v>127</v>
      </c>
      <c r="E387" s="397" t="s">
        <v>6</v>
      </c>
      <c r="F387" s="473">
        <f t="shared" si="165"/>
        <v>5368146.51</v>
      </c>
      <c r="G387" s="465">
        <f t="shared" si="165"/>
        <v>5533145.6699999999</v>
      </c>
      <c r="H387" s="465"/>
      <c r="I387" s="465">
        <f t="shared" si="165"/>
        <v>5533145.6699999999</v>
      </c>
      <c r="J387" s="465">
        <f t="shared" si="165"/>
        <v>6157334.0199999996</v>
      </c>
      <c r="K387" s="462">
        <f t="shared" si="162"/>
        <v>111.2808949416291</v>
      </c>
      <c r="L387" s="462">
        <f t="shared" si="163"/>
        <v>624188.34999999963</v>
      </c>
      <c r="M387" s="465">
        <f t="shared" si="166"/>
        <v>6157334.0199999996</v>
      </c>
      <c r="N387" s="178">
        <f t="shared" si="164"/>
        <v>0</v>
      </c>
    </row>
    <row r="388" spans="1:14" s="224" customFormat="1" ht="26.5" customHeight="1" outlineLevel="7" x14ac:dyDescent="0.3">
      <c r="A388" s="189" t="s">
        <v>89</v>
      </c>
      <c r="B388" s="392" t="s">
        <v>455</v>
      </c>
      <c r="C388" s="392" t="s">
        <v>88</v>
      </c>
      <c r="D388" s="392" t="s">
        <v>142</v>
      </c>
      <c r="E388" s="392" t="s">
        <v>6</v>
      </c>
      <c r="F388" s="471">
        <f t="shared" si="165"/>
        <v>5368146.51</v>
      </c>
      <c r="G388" s="462">
        <f t="shared" si="165"/>
        <v>5533145.6699999999</v>
      </c>
      <c r="H388" s="462"/>
      <c r="I388" s="462">
        <f t="shared" si="165"/>
        <v>5533145.6699999999</v>
      </c>
      <c r="J388" s="462">
        <f t="shared" si="165"/>
        <v>6157334.0199999996</v>
      </c>
      <c r="K388" s="462">
        <f t="shared" si="162"/>
        <v>111.2808949416291</v>
      </c>
      <c r="L388" s="462">
        <f t="shared" si="163"/>
        <v>624188.34999999963</v>
      </c>
      <c r="M388" s="462">
        <f t="shared" si="166"/>
        <v>6157334.0199999996</v>
      </c>
      <c r="N388" s="178">
        <f t="shared" si="164"/>
        <v>0</v>
      </c>
    </row>
    <row r="389" spans="1:14" ht="25.5" customHeight="1" outlineLevel="7" x14ac:dyDescent="0.3">
      <c r="A389" s="189" t="s">
        <v>90</v>
      </c>
      <c r="B389" s="392" t="s">
        <v>455</v>
      </c>
      <c r="C389" s="392" t="s">
        <v>88</v>
      </c>
      <c r="D389" s="392" t="s">
        <v>142</v>
      </c>
      <c r="E389" s="392" t="s">
        <v>91</v>
      </c>
      <c r="F389" s="471">
        <f t="shared" si="165"/>
        <v>5368146.51</v>
      </c>
      <c r="G389" s="462">
        <f t="shared" si="165"/>
        <v>5533145.6699999999</v>
      </c>
      <c r="H389" s="462"/>
      <c r="I389" s="462">
        <f t="shared" si="165"/>
        <v>5533145.6699999999</v>
      </c>
      <c r="J389" s="462">
        <f t="shared" si="165"/>
        <v>6157334.0199999996</v>
      </c>
      <c r="K389" s="462">
        <f t="shared" si="162"/>
        <v>111.2808949416291</v>
      </c>
      <c r="L389" s="462">
        <f t="shared" si="163"/>
        <v>624188.34999999963</v>
      </c>
      <c r="M389" s="462">
        <f t="shared" si="166"/>
        <v>6157334.0199999996</v>
      </c>
      <c r="N389" s="178">
        <f t="shared" si="164"/>
        <v>0</v>
      </c>
    </row>
    <row r="390" spans="1:14" ht="34" outlineLevel="7" x14ac:dyDescent="0.3">
      <c r="A390" s="189" t="s">
        <v>92</v>
      </c>
      <c r="B390" s="392" t="s">
        <v>455</v>
      </c>
      <c r="C390" s="392" t="s">
        <v>88</v>
      </c>
      <c r="D390" s="392" t="s">
        <v>142</v>
      </c>
      <c r="E390" s="392" t="s">
        <v>93</v>
      </c>
      <c r="F390" s="475">
        <v>5368146.51</v>
      </c>
      <c r="G390" s="449">
        <f>'потребность 2023 (5)'!K426</f>
        <v>5533145.6699999999</v>
      </c>
      <c r="H390" s="449"/>
      <c r="I390" s="449">
        <v>5533145.6699999999</v>
      </c>
      <c r="J390" s="449">
        <v>6157334.0199999996</v>
      </c>
      <c r="K390" s="462">
        <f t="shared" si="162"/>
        <v>111.2808949416291</v>
      </c>
      <c r="L390" s="462">
        <f t="shared" si="163"/>
        <v>624188.34999999963</v>
      </c>
      <c r="M390" s="449">
        <v>6157334.0199999996</v>
      </c>
      <c r="N390" s="178">
        <f t="shared" si="164"/>
        <v>0</v>
      </c>
    </row>
    <row r="391" spans="1:14" outlineLevel="7" x14ac:dyDescent="0.3">
      <c r="A391" s="189" t="s">
        <v>94</v>
      </c>
      <c r="B391" s="392" t="s">
        <v>455</v>
      </c>
      <c r="C391" s="392" t="s">
        <v>95</v>
      </c>
      <c r="D391" s="392" t="s">
        <v>126</v>
      </c>
      <c r="E391" s="392" t="s">
        <v>6</v>
      </c>
      <c r="F391" s="471">
        <f>F392</f>
        <v>173500</v>
      </c>
      <c r="G391" s="462">
        <f>G392+G402+G397</f>
        <v>2973500</v>
      </c>
      <c r="H391" s="462"/>
      <c r="I391" s="462">
        <f>I392+I402+I397</f>
        <v>423500</v>
      </c>
      <c r="J391" s="462">
        <f>J392+J402+J397</f>
        <v>1122101.6099999999</v>
      </c>
      <c r="K391" s="462">
        <f t="shared" si="162"/>
        <v>37.736728098200764</v>
      </c>
      <c r="L391" s="462">
        <f t="shared" si="163"/>
        <v>-1851398.3900000001</v>
      </c>
      <c r="M391" s="462">
        <f>M392+M402+M397</f>
        <v>1122101.6099999999</v>
      </c>
      <c r="N391" s="178">
        <f t="shared" si="164"/>
        <v>0</v>
      </c>
    </row>
    <row r="392" spans="1:14" ht="50.95" outlineLevel="7" x14ac:dyDescent="0.3">
      <c r="A392" s="233" t="s">
        <v>1016</v>
      </c>
      <c r="B392" s="392" t="s">
        <v>455</v>
      </c>
      <c r="C392" s="397" t="s">
        <v>95</v>
      </c>
      <c r="D392" s="397" t="s">
        <v>129</v>
      </c>
      <c r="E392" s="397" t="s">
        <v>6</v>
      </c>
      <c r="F392" s="477">
        <f>F397</f>
        <v>173500</v>
      </c>
      <c r="G392" s="465">
        <f t="shared" ref="G392:J395" si="167">G393</f>
        <v>150000</v>
      </c>
      <c r="H392" s="465"/>
      <c r="I392" s="465">
        <f t="shared" si="167"/>
        <v>150000</v>
      </c>
      <c r="J392" s="465">
        <f t="shared" si="167"/>
        <v>150000</v>
      </c>
      <c r="K392" s="462">
        <f t="shared" si="162"/>
        <v>100</v>
      </c>
      <c r="L392" s="462">
        <f t="shared" si="163"/>
        <v>0</v>
      </c>
      <c r="M392" s="465">
        <f t="shared" ref="M392:M395" si="168">M393</f>
        <v>150000</v>
      </c>
      <c r="N392" s="178">
        <f t="shared" si="164"/>
        <v>0</v>
      </c>
    </row>
    <row r="393" spans="1:14" ht="34" outlineLevel="7" x14ac:dyDescent="0.3">
      <c r="A393" s="189" t="s">
        <v>355</v>
      </c>
      <c r="B393" s="392" t="s">
        <v>455</v>
      </c>
      <c r="C393" s="392" t="s">
        <v>95</v>
      </c>
      <c r="D393" s="392" t="s">
        <v>404</v>
      </c>
      <c r="E393" s="392" t="s">
        <v>6</v>
      </c>
      <c r="F393" s="449">
        <v>0</v>
      </c>
      <c r="G393" s="462">
        <f t="shared" si="167"/>
        <v>150000</v>
      </c>
      <c r="H393" s="462"/>
      <c r="I393" s="462">
        <f t="shared" si="167"/>
        <v>150000</v>
      </c>
      <c r="J393" s="462">
        <f t="shared" si="167"/>
        <v>150000</v>
      </c>
      <c r="K393" s="462">
        <f t="shared" si="162"/>
        <v>100</v>
      </c>
      <c r="L393" s="462">
        <f t="shared" si="163"/>
        <v>0</v>
      </c>
      <c r="M393" s="462">
        <f t="shared" si="168"/>
        <v>150000</v>
      </c>
      <c r="N393" s="178">
        <f t="shared" si="164"/>
        <v>0</v>
      </c>
    </row>
    <row r="394" spans="1:14" ht="34" outlineLevel="7" x14ac:dyDescent="0.3">
      <c r="A394" s="189" t="s">
        <v>99</v>
      </c>
      <c r="B394" s="392" t="s">
        <v>455</v>
      </c>
      <c r="C394" s="392" t="s">
        <v>95</v>
      </c>
      <c r="D394" s="392" t="s">
        <v>388</v>
      </c>
      <c r="E394" s="392" t="s">
        <v>6</v>
      </c>
      <c r="F394" s="449">
        <v>0</v>
      </c>
      <c r="G394" s="462">
        <f t="shared" si="167"/>
        <v>150000</v>
      </c>
      <c r="H394" s="462"/>
      <c r="I394" s="462">
        <f t="shared" si="167"/>
        <v>150000</v>
      </c>
      <c r="J394" s="462">
        <f t="shared" si="167"/>
        <v>150000</v>
      </c>
      <c r="K394" s="462">
        <f t="shared" si="162"/>
        <v>100</v>
      </c>
      <c r="L394" s="462">
        <f t="shared" si="163"/>
        <v>0</v>
      </c>
      <c r="M394" s="462">
        <f t="shared" si="168"/>
        <v>150000</v>
      </c>
      <c r="N394" s="178">
        <f t="shared" si="164"/>
        <v>0</v>
      </c>
    </row>
    <row r="395" spans="1:14" ht="34" outlineLevel="7" x14ac:dyDescent="0.3">
      <c r="A395" s="189" t="s">
        <v>90</v>
      </c>
      <c r="B395" s="392" t="s">
        <v>455</v>
      </c>
      <c r="C395" s="392" t="s">
        <v>95</v>
      </c>
      <c r="D395" s="392" t="s">
        <v>388</v>
      </c>
      <c r="E395" s="392" t="s">
        <v>91</v>
      </c>
      <c r="F395" s="449">
        <v>0</v>
      </c>
      <c r="G395" s="462">
        <f t="shared" si="167"/>
        <v>150000</v>
      </c>
      <c r="H395" s="462"/>
      <c r="I395" s="462">
        <f t="shared" si="167"/>
        <v>150000</v>
      </c>
      <c r="J395" s="462">
        <f t="shared" si="167"/>
        <v>150000</v>
      </c>
      <c r="K395" s="462">
        <f t="shared" si="162"/>
        <v>100</v>
      </c>
      <c r="L395" s="462">
        <f t="shared" si="163"/>
        <v>0</v>
      </c>
      <c r="M395" s="462">
        <f t="shared" si="168"/>
        <v>150000</v>
      </c>
      <c r="N395" s="178">
        <f t="shared" si="164"/>
        <v>0</v>
      </c>
    </row>
    <row r="396" spans="1:14" ht="34" outlineLevel="7" x14ac:dyDescent="0.3">
      <c r="A396" s="189" t="s">
        <v>97</v>
      </c>
      <c r="B396" s="392" t="s">
        <v>455</v>
      </c>
      <c r="C396" s="392" t="s">
        <v>95</v>
      </c>
      <c r="D396" s="392" t="s">
        <v>388</v>
      </c>
      <c r="E396" s="392" t="s">
        <v>98</v>
      </c>
      <c r="F396" s="449">
        <v>0</v>
      </c>
      <c r="G396" s="449">
        <f>'потребность 2023 (5)'!K432</f>
        <v>150000</v>
      </c>
      <c r="H396" s="449"/>
      <c r="I396" s="449">
        <v>150000</v>
      </c>
      <c r="J396" s="449">
        <v>150000</v>
      </c>
      <c r="K396" s="462">
        <f t="shared" si="162"/>
        <v>100</v>
      </c>
      <c r="L396" s="462">
        <f t="shared" si="163"/>
        <v>0</v>
      </c>
      <c r="M396" s="449">
        <v>150000</v>
      </c>
      <c r="N396" s="178">
        <f t="shared" si="164"/>
        <v>0</v>
      </c>
    </row>
    <row r="397" spans="1:14" ht="50.95" outlineLevel="1" x14ac:dyDescent="0.3">
      <c r="A397" s="233" t="s">
        <v>1036</v>
      </c>
      <c r="B397" s="392" t="s">
        <v>455</v>
      </c>
      <c r="C397" s="397" t="s">
        <v>95</v>
      </c>
      <c r="D397" s="397" t="s">
        <v>356</v>
      </c>
      <c r="E397" s="397" t="s">
        <v>6</v>
      </c>
      <c r="F397" s="476">
        <f>F398</f>
        <v>173500</v>
      </c>
      <c r="G397" s="467">
        <f t="shared" ref="G397:J400" si="169">G398</f>
        <v>173500</v>
      </c>
      <c r="H397" s="467"/>
      <c r="I397" s="467">
        <f t="shared" si="169"/>
        <v>173500</v>
      </c>
      <c r="J397" s="467">
        <f t="shared" si="169"/>
        <v>872101.61</v>
      </c>
      <c r="K397" s="462">
        <f t="shared" si="162"/>
        <v>502.65222478386164</v>
      </c>
      <c r="L397" s="462">
        <f t="shared" si="163"/>
        <v>698601.61</v>
      </c>
      <c r="M397" s="467">
        <f t="shared" ref="M397:M400" si="170">M398</f>
        <v>872101.61</v>
      </c>
      <c r="N397" s="178">
        <f t="shared" si="164"/>
        <v>0</v>
      </c>
    </row>
    <row r="398" spans="1:14" ht="44.5" customHeight="1" outlineLevel="1" x14ac:dyDescent="0.3">
      <c r="A398" s="189" t="s">
        <v>373</v>
      </c>
      <c r="B398" s="392" t="s">
        <v>455</v>
      </c>
      <c r="C398" s="392" t="s">
        <v>95</v>
      </c>
      <c r="D398" s="392" t="s">
        <v>357</v>
      </c>
      <c r="E398" s="392" t="s">
        <v>6</v>
      </c>
      <c r="F398" s="471">
        <f>F399</f>
        <v>173500</v>
      </c>
      <c r="G398" s="449">
        <f t="shared" si="169"/>
        <v>173500</v>
      </c>
      <c r="H398" s="449"/>
      <c r="I398" s="449">
        <f t="shared" si="169"/>
        <v>173500</v>
      </c>
      <c r="J398" s="449">
        <f t="shared" si="169"/>
        <v>872101.61</v>
      </c>
      <c r="K398" s="462">
        <f t="shared" si="162"/>
        <v>502.65222478386164</v>
      </c>
      <c r="L398" s="462">
        <f t="shared" si="163"/>
        <v>698601.61</v>
      </c>
      <c r="M398" s="449">
        <f t="shared" si="170"/>
        <v>872101.61</v>
      </c>
      <c r="N398" s="178">
        <f t="shared" si="164"/>
        <v>0</v>
      </c>
    </row>
    <row r="399" spans="1:14" ht="35.5" customHeight="1" outlineLevel="1" x14ac:dyDescent="0.3">
      <c r="A399" s="189" t="s">
        <v>847</v>
      </c>
      <c r="B399" s="392" t="s">
        <v>455</v>
      </c>
      <c r="C399" s="392" t="s">
        <v>95</v>
      </c>
      <c r="D399" s="392" t="s">
        <v>358</v>
      </c>
      <c r="E399" s="392" t="s">
        <v>6</v>
      </c>
      <c r="F399" s="476">
        <f>F400</f>
        <v>173500</v>
      </c>
      <c r="G399" s="462">
        <f t="shared" si="169"/>
        <v>173500</v>
      </c>
      <c r="H399" s="462"/>
      <c r="I399" s="462">
        <f t="shared" si="169"/>
        <v>173500</v>
      </c>
      <c r="J399" s="462">
        <f t="shared" si="169"/>
        <v>872101.61</v>
      </c>
      <c r="K399" s="462">
        <f t="shared" si="162"/>
        <v>502.65222478386164</v>
      </c>
      <c r="L399" s="462">
        <f t="shared" si="163"/>
        <v>698601.61</v>
      </c>
      <c r="M399" s="462">
        <f t="shared" si="170"/>
        <v>872101.61</v>
      </c>
      <c r="N399" s="178">
        <f t="shared" si="164"/>
        <v>0</v>
      </c>
    </row>
    <row r="400" spans="1:14" ht="34" outlineLevel="1" x14ac:dyDescent="0.3">
      <c r="A400" s="189" t="s">
        <v>90</v>
      </c>
      <c r="B400" s="392" t="s">
        <v>455</v>
      </c>
      <c r="C400" s="392" t="s">
        <v>95</v>
      </c>
      <c r="D400" s="392" t="s">
        <v>358</v>
      </c>
      <c r="E400" s="392" t="s">
        <v>91</v>
      </c>
      <c r="F400" s="475">
        <f>F401</f>
        <v>173500</v>
      </c>
      <c r="G400" s="449">
        <f t="shared" si="169"/>
        <v>173500</v>
      </c>
      <c r="H400" s="449"/>
      <c r="I400" s="449">
        <f t="shared" si="169"/>
        <v>173500</v>
      </c>
      <c r="J400" s="449">
        <f t="shared" si="169"/>
        <v>872101.61</v>
      </c>
      <c r="K400" s="462">
        <f t="shared" si="162"/>
        <v>502.65222478386164</v>
      </c>
      <c r="L400" s="462">
        <f t="shared" si="163"/>
        <v>698601.61</v>
      </c>
      <c r="M400" s="449">
        <f t="shared" si="170"/>
        <v>872101.61</v>
      </c>
      <c r="N400" s="178">
        <f t="shared" si="164"/>
        <v>0</v>
      </c>
    </row>
    <row r="401" spans="1:14" ht="34" outlineLevel="1" x14ac:dyDescent="0.3">
      <c r="A401" s="189" t="s">
        <v>97</v>
      </c>
      <c r="B401" s="392" t="s">
        <v>455</v>
      </c>
      <c r="C401" s="392" t="s">
        <v>95</v>
      </c>
      <c r="D401" s="392" t="s">
        <v>358</v>
      </c>
      <c r="E401" s="392" t="s">
        <v>98</v>
      </c>
      <c r="F401" s="475">
        <v>173500</v>
      </c>
      <c r="G401" s="462">
        <v>173500</v>
      </c>
      <c r="H401" s="462"/>
      <c r="I401" s="462">
        <v>173500</v>
      </c>
      <c r="J401" s="449">
        <f>173500+698601.61</f>
        <v>872101.61</v>
      </c>
      <c r="K401" s="462">
        <f t="shared" si="162"/>
        <v>502.65222478386164</v>
      </c>
      <c r="L401" s="462">
        <f t="shared" si="163"/>
        <v>698601.61</v>
      </c>
      <c r="M401" s="449">
        <f>173500+698601.61</f>
        <v>872101.61</v>
      </c>
      <c r="N401" s="178">
        <f t="shared" si="164"/>
        <v>0</v>
      </c>
    </row>
    <row r="402" spans="1:14" ht="34" outlineLevel="1" x14ac:dyDescent="0.3">
      <c r="A402" s="233" t="s">
        <v>132</v>
      </c>
      <c r="B402" s="397" t="s">
        <v>455</v>
      </c>
      <c r="C402" s="397" t="s">
        <v>95</v>
      </c>
      <c r="D402" s="397" t="s">
        <v>127</v>
      </c>
      <c r="E402" s="397" t="s">
        <v>6</v>
      </c>
      <c r="F402" s="477">
        <f t="shared" ref="F402:J404" si="171">F403</f>
        <v>100000</v>
      </c>
      <c r="G402" s="467">
        <f>G403+G406</f>
        <v>2650000</v>
      </c>
      <c r="H402" s="467"/>
      <c r="I402" s="467">
        <f>I403+I406</f>
        <v>100000</v>
      </c>
      <c r="J402" s="467">
        <f>J403+J406</f>
        <v>100000</v>
      </c>
      <c r="K402" s="462">
        <f t="shared" si="162"/>
        <v>3.7735849056603774</v>
      </c>
      <c r="L402" s="462">
        <f t="shared" si="163"/>
        <v>-2550000</v>
      </c>
      <c r="M402" s="467">
        <f>M403+M406</f>
        <v>100000</v>
      </c>
      <c r="N402" s="178">
        <f t="shared" si="164"/>
        <v>0</v>
      </c>
    </row>
    <row r="403" spans="1:14" ht="34" outlineLevel="1" x14ac:dyDescent="0.3">
      <c r="A403" s="189" t="s">
        <v>883</v>
      </c>
      <c r="B403" s="392" t="s">
        <v>455</v>
      </c>
      <c r="C403" s="392" t="s">
        <v>95</v>
      </c>
      <c r="D403" s="392" t="s">
        <v>493</v>
      </c>
      <c r="E403" s="392" t="s">
        <v>6</v>
      </c>
      <c r="F403" s="476">
        <f t="shared" si="171"/>
        <v>100000</v>
      </c>
      <c r="G403" s="449">
        <f t="shared" si="171"/>
        <v>350000</v>
      </c>
      <c r="H403" s="449"/>
      <c r="I403" s="449">
        <f t="shared" si="171"/>
        <v>100000</v>
      </c>
      <c r="J403" s="449">
        <f t="shared" si="171"/>
        <v>100000</v>
      </c>
      <c r="K403" s="462">
        <f t="shared" si="162"/>
        <v>28.571428571428569</v>
      </c>
      <c r="L403" s="462">
        <f t="shared" si="163"/>
        <v>-250000</v>
      </c>
      <c r="M403" s="449">
        <f t="shared" ref="M403:M404" si="172">M404</f>
        <v>100000</v>
      </c>
      <c r="N403" s="178">
        <f t="shared" si="164"/>
        <v>0</v>
      </c>
    </row>
    <row r="404" spans="1:14" ht="34" outlineLevel="1" x14ac:dyDescent="0.3">
      <c r="A404" s="189" t="s">
        <v>90</v>
      </c>
      <c r="B404" s="392" t="s">
        <v>455</v>
      </c>
      <c r="C404" s="392" t="s">
        <v>95</v>
      </c>
      <c r="D404" s="392" t="s">
        <v>493</v>
      </c>
      <c r="E404" s="392" t="s">
        <v>91</v>
      </c>
      <c r="F404" s="476">
        <f t="shared" si="171"/>
        <v>100000</v>
      </c>
      <c r="G404" s="449">
        <f t="shared" si="171"/>
        <v>350000</v>
      </c>
      <c r="H404" s="449"/>
      <c r="I404" s="449">
        <f t="shared" si="171"/>
        <v>100000</v>
      </c>
      <c r="J404" s="449">
        <f t="shared" si="171"/>
        <v>100000</v>
      </c>
      <c r="K404" s="462">
        <f t="shared" si="162"/>
        <v>28.571428571428569</v>
      </c>
      <c r="L404" s="462">
        <f t="shared" si="163"/>
        <v>-250000</v>
      </c>
      <c r="M404" s="449">
        <f t="shared" si="172"/>
        <v>100000</v>
      </c>
      <c r="N404" s="178">
        <f t="shared" si="164"/>
        <v>0</v>
      </c>
    </row>
    <row r="405" spans="1:14" ht="20.25" customHeight="1" outlineLevel="1" x14ac:dyDescent="0.3">
      <c r="A405" s="189" t="s">
        <v>298</v>
      </c>
      <c r="B405" s="392" t="s">
        <v>455</v>
      </c>
      <c r="C405" s="392" t="s">
        <v>95</v>
      </c>
      <c r="D405" s="392" t="s">
        <v>493</v>
      </c>
      <c r="E405" s="392" t="s">
        <v>299</v>
      </c>
      <c r="F405" s="475">
        <v>100000</v>
      </c>
      <c r="G405" s="462">
        <f>'потребность 2023 (5)'!K441+150000+100000</f>
        <v>350000</v>
      </c>
      <c r="H405" s="462"/>
      <c r="I405" s="462">
        <v>100000</v>
      </c>
      <c r="J405" s="449">
        <v>100000</v>
      </c>
      <c r="K405" s="462">
        <f t="shared" si="162"/>
        <v>28.571428571428569</v>
      </c>
      <c r="L405" s="462">
        <f t="shared" si="163"/>
        <v>-250000</v>
      </c>
      <c r="M405" s="449">
        <v>100000</v>
      </c>
      <c r="N405" s="178">
        <f t="shared" si="164"/>
        <v>0</v>
      </c>
    </row>
    <row r="406" spans="1:14" ht="109.4" customHeight="1" outlineLevel="1" x14ac:dyDescent="0.3">
      <c r="A406" s="480" t="s">
        <v>808</v>
      </c>
      <c r="B406" s="392" t="s">
        <v>455</v>
      </c>
      <c r="C406" s="392" t="s">
        <v>95</v>
      </c>
      <c r="D406" s="392" t="s">
        <v>809</v>
      </c>
      <c r="E406" s="392" t="s">
        <v>6</v>
      </c>
      <c r="F406" s="498">
        <f>F407</f>
        <v>1620502.4</v>
      </c>
      <c r="G406" s="462">
        <f t="shared" ref="G406:J407" si="173">G407</f>
        <v>2300000</v>
      </c>
      <c r="H406" s="462"/>
      <c r="I406" s="462">
        <f t="shared" si="173"/>
        <v>0</v>
      </c>
      <c r="J406" s="462">
        <f t="shared" si="173"/>
        <v>0</v>
      </c>
      <c r="K406" s="462">
        <f t="shared" si="162"/>
        <v>0</v>
      </c>
      <c r="L406" s="462">
        <f t="shared" si="163"/>
        <v>-2300000</v>
      </c>
      <c r="M406" s="462">
        <f t="shared" ref="M406:M407" si="174">M407</f>
        <v>0</v>
      </c>
      <c r="N406" s="178">
        <f t="shared" si="164"/>
        <v>0</v>
      </c>
    </row>
    <row r="407" spans="1:14" ht="20.25" customHeight="1" outlineLevel="1" x14ac:dyDescent="0.3">
      <c r="A407" s="189" t="s">
        <v>90</v>
      </c>
      <c r="B407" s="392" t="s">
        <v>455</v>
      </c>
      <c r="C407" s="392" t="s">
        <v>95</v>
      </c>
      <c r="D407" s="392" t="s">
        <v>809</v>
      </c>
      <c r="E407" s="392" t="s">
        <v>91</v>
      </c>
      <c r="F407" s="498">
        <f>F408</f>
        <v>1620502.4</v>
      </c>
      <c r="G407" s="462">
        <f t="shared" si="173"/>
        <v>2300000</v>
      </c>
      <c r="H407" s="462"/>
      <c r="I407" s="462">
        <f t="shared" si="173"/>
        <v>0</v>
      </c>
      <c r="J407" s="462">
        <f t="shared" si="173"/>
        <v>0</v>
      </c>
      <c r="K407" s="462">
        <f t="shared" si="162"/>
        <v>0</v>
      </c>
      <c r="L407" s="462">
        <f t="shared" si="163"/>
        <v>-2300000</v>
      </c>
      <c r="M407" s="462">
        <f t="shared" si="174"/>
        <v>0</v>
      </c>
      <c r="N407" s="178">
        <f t="shared" si="164"/>
        <v>0</v>
      </c>
    </row>
    <row r="408" spans="1:14" ht="76.099999999999994" customHeight="1" outlineLevel="1" x14ac:dyDescent="0.3">
      <c r="A408" s="189" t="s">
        <v>298</v>
      </c>
      <c r="B408" s="392" t="s">
        <v>455</v>
      </c>
      <c r="C408" s="392" t="s">
        <v>95</v>
      </c>
      <c r="D408" s="392" t="s">
        <v>809</v>
      </c>
      <c r="E408" s="392" t="s">
        <v>299</v>
      </c>
      <c r="F408" s="499">
        <v>1620502.4</v>
      </c>
      <c r="G408" s="462">
        <f>1600000+150000+550000</f>
        <v>2300000</v>
      </c>
      <c r="H408" s="462"/>
      <c r="I408" s="462">
        <v>0</v>
      </c>
      <c r="J408" s="449"/>
      <c r="K408" s="462">
        <f t="shared" si="162"/>
        <v>0</v>
      </c>
      <c r="L408" s="462">
        <f t="shared" si="163"/>
        <v>-2300000</v>
      </c>
      <c r="M408" s="449"/>
      <c r="N408" s="178">
        <f t="shared" si="164"/>
        <v>0</v>
      </c>
    </row>
    <row r="409" spans="1:14" ht="23.8" customHeight="1" outlineLevel="1" x14ac:dyDescent="0.3">
      <c r="A409" s="189" t="s">
        <v>123</v>
      </c>
      <c r="B409" s="392" t="s">
        <v>455</v>
      </c>
      <c r="C409" s="392" t="s">
        <v>124</v>
      </c>
      <c r="D409" s="392" t="s">
        <v>126</v>
      </c>
      <c r="E409" s="392" t="s">
        <v>6</v>
      </c>
      <c r="F409" s="476">
        <f>F410</f>
        <v>0</v>
      </c>
      <c r="G409" s="449">
        <f t="shared" ref="G409:J410" si="175">G410</f>
        <v>0</v>
      </c>
      <c r="H409" s="449"/>
      <c r="I409" s="449">
        <f t="shared" si="175"/>
        <v>0</v>
      </c>
      <c r="J409" s="449">
        <f t="shared" si="175"/>
        <v>41523591.939999998</v>
      </c>
      <c r="K409" s="462" t="e">
        <f t="shared" si="162"/>
        <v>#DIV/0!</v>
      </c>
      <c r="L409" s="462">
        <f t="shared" si="163"/>
        <v>41523591.939999998</v>
      </c>
      <c r="M409" s="449">
        <f t="shared" ref="M409:M410" si="176">M410</f>
        <v>41523591.939999998</v>
      </c>
      <c r="N409" s="178">
        <f t="shared" si="164"/>
        <v>0</v>
      </c>
    </row>
    <row r="410" spans="1:14" ht="31.95" customHeight="1" outlineLevel="1" x14ac:dyDescent="0.3">
      <c r="A410" s="233" t="s">
        <v>132</v>
      </c>
      <c r="B410" s="397" t="s">
        <v>455</v>
      </c>
      <c r="C410" s="397" t="s">
        <v>124</v>
      </c>
      <c r="D410" s="397" t="s">
        <v>127</v>
      </c>
      <c r="E410" s="397" t="s">
        <v>6</v>
      </c>
      <c r="F410" s="477">
        <f>F411</f>
        <v>0</v>
      </c>
      <c r="G410" s="467">
        <f t="shared" si="175"/>
        <v>0</v>
      </c>
      <c r="H410" s="467"/>
      <c r="I410" s="467">
        <f t="shared" si="175"/>
        <v>0</v>
      </c>
      <c r="J410" s="467">
        <f t="shared" si="175"/>
        <v>41523591.939999998</v>
      </c>
      <c r="K410" s="462" t="e">
        <f t="shared" si="162"/>
        <v>#DIV/0!</v>
      </c>
      <c r="L410" s="462">
        <f t="shared" si="163"/>
        <v>41523591.939999998</v>
      </c>
      <c r="M410" s="467">
        <f t="shared" si="176"/>
        <v>41523591.939999998</v>
      </c>
      <c r="N410" s="178">
        <f t="shared" si="164"/>
        <v>0</v>
      </c>
    </row>
    <row r="411" spans="1:14" ht="39.4" customHeight="1" outlineLevel="1" x14ac:dyDescent="0.3">
      <c r="A411" s="189" t="s">
        <v>269</v>
      </c>
      <c r="B411" s="392" t="s">
        <v>455</v>
      </c>
      <c r="C411" s="392" t="s">
        <v>124</v>
      </c>
      <c r="D411" s="392" t="s">
        <v>268</v>
      </c>
      <c r="E411" s="392" t="s">
        <v>6</v>
      </c>
      <c r="F411" s="476">
        <v>0</v>
      </c>
      <c r="G411" s="449">
        <v>0</v>
      </c>
      <c r="H411" s="449"/>
      <c r="I411" s="449">
        <v>0</v>
      </c>
      <c r="J411" s="449">
        <f>J421+J412+J418</f>
        <v>41523591.939999998</v>
      </c>
      <c r="K411" s="462" t="e">
        <f t="shared" si="162"/>
        <v>#DIV/0!</v>
      </c>
      <c r="L411" s="462">
        <f t="shared" si="163"/>
        <v>41523591.939999998</v>
      </c>
      <c r="M411" s="449">
        <f>M421+M412+M418</f>
        <v>41523591.939999998</v>
      </c>
      <c r="N411" s="178">
        <f t="shared" si="164"/>
        <v>0</v>
      </c>
    </row>
    <row r="412" spans="1:14" s="224" customFormat="1" ht="76.099999999999994" customHeight="1" outlineLevel="1" x14ac:dyDescent="0.3">
      <c r="A412" s="189" t="s">
        <v>934</v>
      </c>
      <c r="B412" s="392" t="s">
        <v>455</v>
      </c>
      <c r="C412" s="392" t="s">
        <v>124</v>
      </c>
      <c r="D412" s="392" t="s">
        <v>399</v>
      </c>
      <c r="E412" s="392" t="s">
        <v>6</v>
      </c>
      <c r="F412" s="471">
        <f>F413+F415</f>
        <v>0</v>
      </c>
      <c r="G412" s="462">
        <f>G413+G415</f>
        <v>0</v>
      </c>
      <c r="H412" s="462"/>
      <c r="I412" s="462">
        <f>I413+I415</f>
        <v>37279299.5</v>
      </c>
      <c r="J412" s="462">
        <f>J413+J415</f>
        <v>16624054.49</v>
      </c>
      <c r="K412" s="462" t="e">
        <f t="shared" si="162"/>
        <v>#DIV/0!</v>
      </c>
      <c r="L412" s="462">
        <f t="shared" si="163"/>
        <v>16624054.49</v>
      </c>
      <c r="M412" s="462">
        <f>M413+M415</f>
        <v>16624054.49</v>
      </c>
      <c r="N412" s="178">
        <f t="shared" si="164"/>
        <v>0</v>
      </c>
    </row>
    <row r="413" spans="1:14" ht="53.7" customHeight="1" outlineLevel="1" x14ac:dyDescent="0.3">
      <c r="A413" s="189" t="s">
        <v>15</v>
      </c>
      <c r="B413" s="392" t="s">
        <v>455</v>
      </c>
      <c r="C413" s="392" t="s">
        <v>124</v>
      </c>
      <c r="D413" s="392" t="s">
        <v>399</v>
      </c>
      <c r="E413" s="392" t="s">
        <v>16</v>
      </c>
      <c r="F413" s="471">
        <f>F414</f>
        <v>0</v>
      </c>
      <c r="G413" s="462">
        <f>G414</f>
        <v>0</v>
      </c>
      <c r="H413" s="462"/>
      <c r="I413" s="462">
        <f>I414</f>
        <v>130000</v>
      </c>
      <c r="J413" s="462">
        <f>J414</f>
        <v>130000</v>
      </c>
      <c r="K413" s="462" t="e">
        <f t="shared" si="162"/>
        <v>#DIV/0!</v>
      </c>
      <c r="L413" s="462">
        <f t="shared" si="163"/>
        <v>130000</v>
      </c>
      <c r="M413" s="462">
        <f>M414</f>
        <v>130000</v>
      </c>
      <c r="N413" s="178">
        <f t="shared" si="164"/>
        <v>0</v>
      </c>
    </row>
    <row r="414" spans="1:14" s="224" customFormat="1" ht="39.4" customHeight="1" outlineLevel="1" x14ac:dyDescent="0.3">
      <c r="A414" s="189" t="s">
        <v>17</v>
      </c>
      <c r="B414" s="392" t="s">
        <v>455</v>
      </c>
      <c r="C414" s="392" t="s">
        <v>124</v>
      </c>
      <c r="D414" s="392" t="s">
        <v>399</v>
      </c>
      <c r="E414" s="392" t="s">
        <v>18</v>
      </c>
      <c r="F414" s="475">
        <v>0</v>
      </c>
      <c r="G414" s="462">
        <v>0</v>
      </c>
      <c r="H414" s="462"/>
      <c r="I414" s="462">
        <v>130000</v>
      </c>
      <c r="J414" s="467">
        <v>130000</v>
      </c>
      <c r="K414" s="462" t="e">
        <f t="shared" si="162"/>
        <v>#DIV/0!</v>
      </c>
      <c r="L414" s="462">
        <f t="shared" si="163"/>
        <v>130000</v>
      </c>
      <c r="M414" s="467">
        <v>130000</v>
      </c>
      <c r="N414" s="178">
        <f t="shared" si="164"/>
        <v>0</v>
      </c>
    </row>
    <row r="415" spans="1:14" ht="50.3" customHeight="1" outlineLevel="1" x14ac:dyDescent="0.3">
      <c r="A415" s="189" t="s">
        <v>90</v>
      </c>
      <c r="B415" s="392" t="s">
        <v>455</v>
      </c>
      <c r="C415" s="392" t="s">
        <v>124</v>
      </c>
      <c r="D415" s="392" t="s">
        <v>399</v>
      </c>
      <c r="E415" s="392" t="s">
        <v>91</v>
      </c>
      <c r="F415" s="471">
        <f>F416+F417</f>
        <v>0</v>
      </c>
      <c r="G415" s="462">
        <f>G416+G417</f>
        <v>0</v>
      </c>
      <c r="H415" s="462"/>
      <c r="I415" s="462">
        <f>I416+I417</f>
        <v>37149299.5</v>
      </c>
      <c r="J415" s="462">
        <f>J416+J417</f>
        <v>16494054.49</v>
      </c>
      <c r="K415" s="462" t="e">
        <f t="shared" si="162"/>
        <v>#DIV/0!</v>
      </c>
      <c r="L415" s="462">
        <f t="shared" si="163"/>
        <v>16494054.49</v>
      </c>
      <c r="M415" s="462">
        <f>M416+M417</f>
        <v>16494054.49</v>
      </c>
      <c r="N415" s="178">
        <f t="shared" si="164"/>
        <v>0</v>
      </c>
    </row>
    <row r="416" spans="1:14" ht="52.3" customHeight="1" outlineLevel="1" x14ac:dyDescent="0.3">
      <c r="A416" s="189" t="s">
        <v>92</v>
      </c>
      <c r="B416" s="392" t="s">
        <v>455</v>
      </c>
      <c r="C416" s="392" t="s">
        <v>124</v>
      </c>
      <c r="D416" s="392" t="s">
        <v>399</v>
      </c>
      <c r="E416" s="392" t="s">
        <v>93</v>
      </c>
      <c r="F416" s="475">
        <v>0</v>
      </c>
      <c r="G416" s="462">
        <v>0</v>
      </c>
      <c r="H416" s="462"/>
      <c r="I416" s="462">
        <f>37279299.5-I417-I414</f>
        <v>35149299.5</v>
      </c>
      <c r="J416" s="19">
        <f>16624054.49-J414-J417</f>
        <v>14494054.49</v>
      </c>
      <c r="K416" s="462" t="e">
        <f t="shared" si="162"/>
        <v>#DIV/0!</v>
      </c>
      <c r="L416" s="462">
        <f t="shared" si="163"/>
        <v>14494054.49</v>
      </c>
      <c r="M416" s="19">
        <f>16624054.49-M414-M417</f>
        <v>14494054.49</v>
      </c>
      <c r="N416" s="178">
        <f t="shared" si="164"/>
        <v>0</v>
      </c>
    </row>
    <row r="417" spans="1:14" ht="38.049999999999997" customHeight="1" outlineLevel="1" x14ac:dyDescent="0.3">
      <c r="A417" s="189" t="s">
        <v>97</v>
      </c>
      <c r="B417" s="392" t="s">
        <v>455</v>
      </c>
      <c r="C417" s="392" t="s">
        <v>124</v>
      </c>
      <c r="D417" s="392" t="s">
        <v>399</v>
      </c>
      <c r="E417" s="392" t="s">
        <v>98</v>
      </c>
      <c r="F417" s="475">
        <v>0</v>
      </c>
      <c r="G417" s="462">
        <v>0</v>
      </c>
      <c r="H417" s="462"/>
      <c r="I417" s="462">
        <v>2000000</v>
      </c>
      <c r="J417" s="386">
        <v>2000000</v>
      </c>
      <c r="K417" s="462" t="e">
        <f t="shared" si="162"/>
        <v>#DIV/0!</v>
      </c>
      <c r="L417" s="462">
        <f t="shared" si="163"/>
        <v>2000000</v>
      </c>
      <c r="M417" s="386">
        <v>2000000</v>
      </c>
      <c r="N417" s="178">
        <f t="shared" si="164"/>
        <v>0</v>
      </c>
    </row>
    <row r="418" spans="1:14" ht="31.95" customHeight="1" outlineLevel="1" x14ac:dyDescent="0.3">
      <c r="A418" s="202" t="s">
        <v>1008</v>
      </c>
      <c r="B418" s="392" t="s">
        <v>455</v>
      </c>
      <c r="C418" s="392" t="s">
        <v>124</v>
      </c>
      <c r="D418" s="392" t="s">
        <v>699</v>
      </c>
      <c r="E418" s="392" t="s">
        <v>6</v>
      </c>
      <c r="F418" s="471">
        <f>F419</f>
        <v>0</v>
      </c>
      <c r="G418" s="462">
        <f t="shared" ref="G418:J419" si="177">G419</f>
        <v>0</v>
      </c>
      <c r="H418" s="462"/>
      <c r="I418" s="462">
        <f t="shared" si="177"/>
        <v>13416480</v>
      </c>
      <c r="J418" s="462">
        <f t="shared" si="177"/>
        <v>0</v>
      </c>
      <c r="K418" s="462" t="e">
        <f t="shared" si="162"/>
        <v>#DIV/0!</v>
      </c>
      <c r="L418" s="462">
        <f t="shared" si="163"/>
        <v>0</v>
      </c>
      <c r="M418" s="462">
        <f t="shared" ref="M418:M419" si="178">M419</f>
        <v>0</v>
      </c>
      <c r="N418" s="178">
        <f t="shared" si="164"/>
        <v>0</v>
      </c>
    </row>
    <row r="419" spans="1:14" ht="33.450000000000003" customHeight="1" outlineLevel="1" x14ac:dyDescent="0.3">
      <c r="A419" s="189" t="s">
        <v>258</v>
      </c>
      <c r="B419" s="392" t="s">
        <v>455</v>
      </c>
      <c r="C419" s="392" t="s">
        <v>124</v>
      </c>
      <c r="D419" s="392" t="s">
        <v>699</v>
      </c>
      <c r="E419" s="392" t="s">
        <v>259</v>
      </c>
      <c r="F419" s="471">
        <f>F420</f>
        <v>0</v>
      </c>
      <c r="G419" s="462">
        <f t="shared" si="177"/>
        <v>0</v>
      </c>
      <c r="H419" s="462"/>
      <c r="I419" s="462">
        <f t="shared" si="177"/>
        <v>13416480</v>
      </c>
      <c r="J419" s="462">
        <f t="shared" si="177"/>
        <v>0</v>
      </c>
      <c r="K419" s="462" t="e">
        <f t="shared" si="162"/>
        <v>#DIV/0!</v>
      </c>
      <c r="L419" s="462">
        <f t="shared" si="163"/>
        <v>0</v>
      </c>
      <c r="M419" s="462">
        <f t="shared" si="178"/>
        <v>0</v>
      </c>
      <c r="N419" s="178">
        <f t="shared" si="164"/>
        <v>0</v>
      </c>
    </row>
    <row r="420" spans="1:14" ht="21.75" customHeight="1" outlineLevel="1" x14ac:dyDescent="0.3">
      <c r="A420" s="189" t="s">
        <v>260</v>
      </c>
      <c r="B420" s="392" t="s">
        <v>455</v>
      </c>
      <c r="C420" s="392" t="s">
        <v>124</v>
      </c>
      <c r="D420" s="392" t="s">
        <v>699</v>
      </c>
      <c r="E420" s="392" t="s">
        <v>261</v>
      </c>
      <c r="F420" s="475">
        <v>0</v>
      </c>
      <c r="G420" s="462">
        <v>0</v>
      </c>
      <c r="H420" s="462"/>
      <c r="I420" s="462">
        <v>13416480</v>
      </c>
      <c r="J420" s="449"/>
      <c r="K420" s="462" t="e">
        <f t="shared" si="162"/>
        <v>#DIV/0!</v>
      </c>
      <c r="L420" s="462">
        <f t="shared" si="163"/>
        <v>0</v>
      </c>
      <c r="M420" s="449"/>
      <c r="N420" s="178">
        <f t="shared" si="164"/>
        <v>0</v>
      </c>
    </row>
    <row r="421" spans="1:14" ht="125.15" customHeight="1" outlineLevel="1" x14ac:dyDescent="0.3">
      <c r="A421" s="202" t="s">
        <v>959</v>
      </c>
      <c r="B421" s="392" t="s">
        <v>455</v>
      </c>
      <c r="C421" s="392" t="s">
        <v>124</v>
      </c>
      <c r="D421" s="470" t="s">
        <v>1114</v>
      </c>
      <c r="E421" s="392" t="s">
        <v>6</v>
      </c>
      <c r="F421" s="476">
        <f>F422</f>
        <v>0</v>
      </c>
      <c r="G421" s="449">
        <v>0</v>
      </c>
      <c r="H421" s="449"/>
      <c r="I421" s="449">
        <f t="shared" ref="I421:J422" si="179">I422</f>
        <v>26671240.190000001</v>
      </c>
      <c r="J421" s="449">
        <f t="shared" si="179"/>
        <v>24899537.449999999</v>
      </c>
      <c r="K421" s="462" t="e">
        <f t="shared" si="162"/>
        <v>#DIV/0!</v>
      </c>
      <c r="L421" s="462">
        <f t="shared" si="163"/>
        <v>24899537.449999999</v>
      </c>
      <c r="M421" s="449">
        <f t="shared" ref="M421:M422" si="180">M422</f>
        <v>24899537.449999999</v>
      </c>
      <c r="N421" s="178">
        <f t="shared" si="164"/>
        <v>0</v>
      </c>
    </row>
    <row r="422" spans="1:14" ht="46.9" customHeight="1" outlineLevel="1" x14ac:dyDescent="0.3">
      <c r="A422" s="189" t="s">
        <v>258</v>
      </c>
      <c r="B422" s="392" t="s">
        <v>455</v>
      </c>
      <c r="C422" s="392" t="s">
        <v>124</v>
      </c>
      <c r="D422" s="470" t="s">
        <v>1114</v>
      </c>
      <c r="E422" s="392" t="s">
        <v>259</v>
      </c>
      <c r="F422" s="476">
        <f>F423</f>
        <v>0</v>
      </c>
      <c r="G422" s="449">
        <v>0</v>
      </c>
      <c r="H422" s="449"/>
      <c r="I422" s="449">
        <f t="shared" si="179"/>
        <v>26671240.190000001</v>
      </c>
      <c r="J422" s="449">
        <f t="shared" si="179"/>
        <v>24899537.449999999</v>
      </c>
      <c r="K422" s="462" t="e">
        <f t="shared" si="162"/>
        <v>#DIV/0!</v>
      </c>
      <c r="L422" s="462">
        <f t="shared" si="163"/>
        <v>24899537.449999999</v>
      </c>
      <c r="M422" s="449">
        <f t="shared" si="180"/>
        <v>24899537.449999999</v>
      </c>
      <c r="N422" s="178">
        <f t="shared" si="164"/>
        <v>0</v>
      </c>
    </row>
    <row r="423" spans="1:14" ht="38.049999999999997" customHeight="1" outlineLevel="1" x14ac:dyDescent="0.3">
      <c r="A423" s="189" t="s">
        <v>260</v>
      </c>
      <c r="B423" s="392" t="s">
        <v>455</v>
      </c>
      <c r="C423" s="392" t="s">
        <v>124</v>
      </c>
      <c r="D423" s="470" t="s">
        <v>1114</v>
      </c>
      <c r="E423" s="392" t="s">
        <v>261</v>
      </c>
      <c r="F423" s="475">
        <v>0</v>
      </c>
      <c r="G423" s="386">
        <v>0</v>
      </c>
      <c r="H423" s="462"/>
      <c r="I423" s="462">
        <v>26671240.190000001</v>
      </c>
      <c r="J423" s="386">
        <v>24899537.449999999</v>
      </c>
      <c r="K423" s="462" t="e">
        <f t="shared" si="162"/>
        <v>#DIV/0!</v>
      </c>
      <c r="L423" s="462">
        <f t="shared" si="163"/>
        <v>24899537.449999999</v>
      </c>
      <c r="M423" s="386">
        <v>24899537.449999999</v>
      </c>
      <c r="N423" s="178">
        <f t="shared" si="164"/>
        <v>0</v>
      </c>
    </row>
    <row r="424" spans="1:14" ht="34" outlineLevel="1" x14ac:dyDescent="0.3">
      <c r="A424" s="189" t="s">
        <v>1052</v>
      </c>
      <c r="B424" s="392" t="s">
        <v>455</v>
      </c>
      <c r="C424" s="392" t="s">
        <v>1053</v>
      </c>
      <c r="D424" s="392" t="s">
        <v>126</v>
      </c>
      <c r="E424" s="392" t="s">
        <v>6</v>
      </c>
      <c r="F424" s="462" t="s">
        <v>838</v>
      </c>
      <c r="G424" s="462">
        <f t="shared" ref="G424:J425" si="181">G425</f>
        <v>124000</v>
      </c>
      <c r="H424" s="462"/>
      <c r="I424" s="462">
        <f t="shared" si="181"/>
        <v>114000</v>
      </c>
      <c r="J424" s="462">
        <f t="shared" si="181"/>
        <v>114000</v>
      </c>
      <c r="K424" s="462">
        <f t="shared" si="162"/>
        <v>91.935483870967744</v>
      </c>
      <c r="L424" s="462">
        <f t="shared" si="163"/>
        <v>-10000</v>
      </c>
      <c r="M424" s="462">
        <f t="shared" ref="M424:M425" si="182">M425</f>
        <v>114000</v>
      </c>
      <c r="N424" s="178">
        <f t="shared" si="164"/>
        <v>0</v>
      </c>
    </row>
    <row r="425" spans="1:14" ht="50.95" outlineLevel="1" x14ac:dyDescent="0.3">
      <c r="A425" s="233" t="s">
        <v>1035</v>
      </c>
      <c r="B425" s="392" t="s">
        <v>455</v>
      </c>
      <c r="C425" s="392" t="s">
        <v>1053</v>
      </c>
      <c r="D425" s="392" t="s">
        <v>136</v>
      </c>
      <c r="E425" s="392" t="s">
        <v>6</v>
      </c>
      <c r="F425" s="462" t="s">
        <v>838</v>
      </c>
      <c r="G425" s="462">
        <f t="shared" si="181"/>
        <v>124000</v>
      </c>
      <c r="H425" s="462"/>
      <c r="I425" s="462">
        <f t="shared" si="181"/>
        <v>114000</v>
      </c>
      <c r="J425" s="462">
        <f t="shared" si="181"/>
        <v>114000</v>
      </c>
      <c r="K425" s="462">
        <f t="shared" si="162"/>
        <v>91.935483870967744</v>
      </c>
      <c r="L425" s="462">
        <f t="shared" si="163"/>
        <v>-10000</v>
      </c>
      <c r="M425" s="462">
        <f t="shared" si="182"/>
        <v>114000</v>
      </c>
      <c r="N425" s="178">
        <f t="shared" si="164"/>
        <v>0</v>
      </c>
    </row>
    <row r="426" spans="1:14" ht="34" outlineLevel="1" x14ac:dyDescent="0.3">
      <c r="A426" s="189" t="s">
        <v>208</v>
      </c>
      <c r="B426" s="392" t="s">
        <v>455</v>
      </c>
      <c r="C426" s="392" t="s">
        <v>1053</v>
      </c>
      <c r="D426" s="392" t="s">
        <v>226</v>
      </c>
      <c r="E426" s="392" t="s">
        <v>6</v>
      </c>
      <c r="F426" s="462" t="s">
        <v>838</v>
      </c>
      <c r="G426" s="462">
        <f>G430+G433+G427</f>
        <v>124000</v>
      </c>
      <c r="H426" s="462"/>
      <c r="I426" s="462">
        <f>I430+I433+I427</f>
        <v>114000</v>
      </c>
      <c r="J426" s="462">
        <f>J430+J433+J427</f>
        <v>114000</v>
      </c>
      <c r="K426" s="462">
        <f t="shared" si="162"/>
        <v>91.935483870967744</v>
      </c>
      <c r="L426" s="462">
        <f t="shared" si="163"/>
        <v>-10000</v>
      </c>
      <c r="M426" s="462">
        <f>M430+M433+M427</f>
        <v>114000</v>
      </c>
      <c r="N426" s="178">
        <f t="shared" si="164"/>
        <v>0</v>
      </c>
    </row>
    <row r="427" spans="1:14" ht="135.19999999999999" customHeight="1" outlineLevel="1" x14ac:dyDescent="0.3">
      <c r="A427" s="189" t="s">
        <v>1065</v>
      </c>
      <c r="B427" s="392" t="s">
        <v>455</v>
      </c>
      <c r="C427" s="392" t="s">
        <v>1053</v>
      </c>
      <c r="D427" s="392" t="s">
        <v>1066</v>
      </c>
      <c r="E427" s="392" t="s">
        <v>6</v>
      </c>
      <c r="F427" s="462" t="s">
        <v>838</v>
      </c>
      <c r="G427" s="462">
        <f t="shared" ref="G427:J428" si="183">G428</f>
        <v>0</v>
      </c>
      <c r="H427" s="462"/>
      <c r="I427" s="462">
        <f t="shared" si="183"/>
        <v>0</v>
      </c>
      <c r="J427" s="462">
        <f t="shared" si="183"/>
        <v>0</v>
      </c>
      <c r="K427" s="462" t="e">
        <f t="shared" si="162"/>
        <v>#DIV/0!</v>
      </c>
      <c r="L427" s="462">
        <f t="shared" si="163"/>
        <v>0</v>
      </c>
      <c r="M427" s="462">
        <f t="shared" ref="M427:M428" si="184">M428</f>
        <v>0</v>
      </c>
      <c r="N427" s="178">
        <f t="shared" si="164"/>
        <v>0</v>
      </c>
    </row>
    <row r="428" spans="1:14" ht="50.95" outlineLevel="1" x14ac:dyDescent="0.3">
      <c r="A428" s="189" t="s">
        <v>37</v>
      </c>
      <c r="B428" s="392" t="s">
        <v>455</v>
      </c>
      <c r="C428" s="392" t="s">
        <v>1053</v>
      </c>
      <c r="D428" s="392" t="s">
        <v>1066</v>
      </c>
      <c r="E428" s="392" t="s">
        <v>38</v>
      </c>
      <c r="F428" s="462" t="s">
        <v>838</v>
      </c>
      <c r="G428" s="462">
        <f t="shared" si="183"/>
        <v>0</v>
      </c>
      <c r="H428" s="462"/>
      <c r="I428" s="462">
        <f t="shared" si="183"/>
        <v>0</v>
      </c>
      <c r="J428" s="462">
        <f t="shared" si="183"/>
        <v>0</v>
      </c>
      <c r="K428" s="462" t="e">
        <f t="shared" si="162"/>
        <v>#DIV/0!</v>
      </c>
      <c r="L428" s="462">
        <f t="shared" si="163"/>
        <v>0</v>
      </c>
      <c r="M428" s="462">
        <f t="shared" si="184"/>
        <v>0</v>
      </c>
      <c r="N428" s="178">
        <f t="shared" si="164"/>
        <v>0</v>
      </c>
    </row>
    <row r="429" spans="1:14" ht="84.9" outlineLevel="1" x14ac:dyDescent="0.3">
      <c r="A429" s="189" t="s">
        <v>1055</v>
      </c>
      <c r="B429" s="392" t="s">
        <v>455</v>
      </c>
      <c r="C429" s="392" t="s">
        <v>1053</v>
      </c>
      <c r="D429" s="392" t="s">
        <v>1066</v>
      </c>
      <c r="E429" s="392" t="s">
        <v>248</v>
      </c>
      <c r="F429" s="462" t="s">
        <v>838</v>
      </c>
      <c r="G429" s="462">
        <v>0</v>
      </c>
      <c r="H429" s="462"/>
      <c r="I429" s="462"/>
      <c r="J429" s="449"/>
      <c r="K429" s="462" t="e">
        <f t="shared" si="162"/>
        <v>#DIV/0!</v>
      </c>
      <c r="L429" s="462">
        <f t="shared" si="163"/>
        <v>0</v>
      </c>
      <c r="M429" s="449"/>
      <c r="N429" s="178">
        <f t="shared" si="164"/>
        <v>0</v>
      </c>
    </row>
    <row r="430" spans="1:14" ht="165.75" customHeight="1" outlineLevel="1" x14ac:dyDescent="0.3">
      <c r="A430" s="189" t="s">
        <v>1059</v>
      </c>
      <c r="B430" s="392" t="s">
        <v>455</v>
      </c>
      <c r="C430" s="392" t="s">
        <v>1053</v>
      </c>
      <c r="D430" s="392" t="s">
        <v>1054</v>
      </c>
      <c r="E430" s="392" t="s">
        <v>6</v>
      </c>
      <c r="F430" s="462" t="s">
        <v>838</v>
      </c>
      <c r="G430" s="462">
        <f t="shared" ref="G430:J431" si="185">G431</f>
        <v>10000</v>
      </c>
      <c r="H430" s="462"/>
      <c r="I430" s="462">
        <f t="shared" si="185"/>
        <v>0</v>
      </c>
      <c r="J430" s="462">
        <f t="shared" si="185"/>
        <v>0</v>
      </c>
      <c r="K430" s="462">
        <f t="shared" si="162"/>
        <v>0</v>
      </c>
      <c r="L430" s="462">
        <f t="shared" si="163"/>
        <v>-10000</v>
      </c>
      <c r="M430" s="462">
        <f t="shared" ref="M430:M431" si="186">M431</f>
        <v>0</v>
      </c>
      <c r="N430" s="178">
        <f t="shared" si="164"/>
        <v>0</v>
      </c>
    </row>
    <row r="431" spans="1:14" ht="50.95" outlineLevel="1" x14ac:dyDescent="0.3">
      <c r="A431" s="189" t="s">
        <v>37</v>
      </c>
      <c r="B431" s="392" t="s">
        <v>455</v>
      </c>
      <c r="C431" s="392" t="s">
        <v>1053</v>
      </c>
      <c r="D431" s="392" t="s">
        <v>1054</v>
      </c>
      <c r="E431" s="392" t="s">
        <v>38</v>
      </c>
      <c r="F431" s="462" t="s">
        <v>838</v>
      </c>
      <c r="G431" s="462">
        <f t="shared" si="185"/>
        <v>10000</v>
      </c>
      <c r="H431" s="462"/>
      <c r="I431" s="462">
        <f t="shared" si="185"/>
        <v>0</v>
      </c>
      <c r="J431" s="462">
        <f t="shared" si="185"/>
        <v>0</v>
      </c>
      <c r="K431" s="462">
        <f t="shared" si="162"/>
        <v>0</v>
      </c>
      <c r="L431" s="462">
        <f t="shared" si="163"/>
        <v>-10000</v>
      </c>
      <c r="M431" s="462">
        <f t="shared" si="186"/>
        <v>0</v>
      </c>
      <c r="N431" s="178">
        <f t="shared" si="164"/>
        <v>0</v>
      </c>
    </row>
    <row r="432" spans="1:14" ht="67.95" customHeight="1" outlineLevel="1" x14ac:dyDescent="0.3">
      <c r="A432" s="189" t="s">
        <v>1055</v>
      </c>
      <c r="B432" s="392" t="s">
        <v>455</v>
      </c>
      <c r="C432" s="392" t="s">
        <v>1053</v>
      </c>
      <c r="D432" s="392" t="s">
        <v>1054</v>
      </c>
      <c r="E432" s="392" t="s">
        <v>248</v>
      </c>
      <c r="F432" s="462" t="s">
        <v>838</v>
      </c>
      <c r="G432" s="462">
        <v>10000</v>
      </c>
      <c r="H432" s="462"/>
      <c r="I432" s="462"/>
      <c r="J432" s="449"/>
      <c r="K432" s="462">
        <f t="shared" si="162"/>
        <v>0</v>
      </c>
      <c r="L432" s="462">
        <f t="shared" si="163"/>
        <v>-10000</v>
      </c>
      <c r="M432" s="449"/>
      <c r="N432" s="178">
        <f t="shared" si="164"/>
        <v>0</v>
      </c>
    </row>
    <row r="433" spans="1:14" ht="34" outlineLevel="1" x14ac:dyDescent="0.3">
      <c r="A433" s="189" t="s">
        <v>83</v>
      </c>
      <c r="B433" s="392" t="s">
        <v>455</v>
      </c>
      <c r="C433" s="392" t="s">
        <v>1053</v>
      </c>
      <c r="D433" s="392" t="s">
        <v>140</v>
      </c>
      <c r="E433" s="392" t="s">
        <v>6</v>
      </c>
      <c r="F433" s="462">
        <v>114000</v>
      </c>
      <c r="G433" s="462">
        <f t="shared" ref="G433:J434" si="187">G434</f>
        <v>114000</v>
      </c>
      <c r="H433" s="462"/>
      <c r="I433" s="462">
        <f t="shared" si="187"/>
        <v>114000</v>
      </c>
      <c r="J433" s="462">
        <f t="shared" si="187"/>
        <v>114000</v>
      </c>
      <c r="K433" s="462">
        <f t="shared" si="162"/>
        <v>100</v>
      </c>
      <c r="L433" s="462">
        <f t="shared" si="163"/>
        <v>0</v>
      </c>
      <c r="M433" s="462">
        <f t="shared" ref="M433:M434" si="188">M434</f>
        <v>114000</v>
      </c>
      <c r="N433" s="178">
        <f t="shared" si="164"/>
        <v>0</v>
      </c>
    </row>
    <row r="434" spans="1:14" ht="50.95" outlineLevel="1" x14ac:dyDescent="0.3">
      <c r="A434" s="189" t="s">
        <v>37</v>
      </c>
      <c r="B434" s="392" t="s">
        <v>455</v>
      </c>
      <c r="C434" s="392" t="s">
        <v>1053</v>
      </c>
      <c r="D434" s="392" t="s">
        <v>140</v>
      </c>
      <c r="E434" s="392" t="s">
        <v>38</v>
      </c>
      <c r="F434" s="462">
        <v>114000</v>
      </c>
      <c r="G434" s="462">
        <f t="shared" si="187"/>
        <v>114000</v>
      </c>
      <c r="H434" s="462"/>
      <c r="I434" s="462">
        <f t="shared" si="187"/>
        <v>114000</v>
      </c>
      <c r="J434" s="462">
        <f t="shared" si="187"/>
        <v>114000</v>
      </c>
      <c r="K434" s="462">
        <f t="shared" si="162"/>
        <v>100</v>
      </c>
      <c r="L434" s="462">
        <f t="shared" si="163"/>
        <v>0</v>
      </c>
      <c r="M434" s="462">
        <f t="shared" si="188"/>
        <v>114000</v>
      </c>
      <c r="N434" s="178">
        <f t="shared" si="164"/>
        <v>0</v>
      </c>
    </row>
    <row r="435" spans="1:14" ht="50.95" outlineLevel="1" x14ac:dyDescent="0.3">
      <c r="A435" s="189" t="s">
        <v>354</v>
      </c>
      <c r="B435" s="392" t="s">
        <v>455</v>
      </c>
      <c r="C435" s="392" t="s">
        <v>1053</v>
      </c>
      <c r="D435" s="392" t="s">
        <v>140</v>
      </c>
      <c r="E435" s="392" t="s">
        <v>248</v>
      </c>
      <c r="F435" s="462">
        <v>114000</v>
      </c>
      <c r="G435" s="462">
        <v>114000</v>
      </c>
      <c r="H435" s="462"/>
      <c r="I435" s="462">
        <v>114000</v>
      </c>
      <c r="J435" s="449">
        <v>114000</v>
      </c>
      <c r="K435" s="462">
        <f t="shared" si="162"/>
        <v>100</v>
      </c>
      <c r="L435" s="462">
        <f t="shared" si="163"/>
        <v>0</v>
      </c>
      <c r="M435" s="449">
        <v>114000</v>
      </c>
      <c r="N435" s="178">
        <f t="shared" si="164"/>
        <v>0</v>
      </c>
    </row>
    <row r="436" spans="1:14" outlineLevel="1" x14ac:dyDescent="0.3">
      <c r="A436" s="233" t="s">
        <v>100</v>
      </c>
      <c r="B436" s="397" t="s">
        <v>455</v>
      </c>
      <c r="C436" s="397" t="s">
        <v>101</v>
      </c>
      <c r="D436" s="397" t="s">
        <v>126</v>
      </c>
      <c r="E436" s="397" t="s">
        <v>6</v>
      </c>
      <c r="F436" s="477">
        <f>F437</f>
        <v>7263427.2599999998</v>
      </c>
      <c r="G436" s="467">
        <f>G437</f>
        <v>18170292.07</v>
      </c>
      <c r="H436" s="467"/>
      <c r="I436" s="467">
        <f>I437</f>
        <v>719170.16</v>
      </c>
      <c r="J436" s="467">
        <f>J437</f>
        <v>1577021.75</v>
      </c>
      <c r="K436" s="462">
        <f t="shared" si="162"/>
        <v>8.6791216339540114</v>
      </c>
      <c r="L436" s="462">
        <f t="shared" si="163"/>
        <v>-16593270.32</v>
      </c>
      <c r="M436" s="467">
        <f>M437</f>
        <v>1577021.75</v>
      </c>
      <c r="N436" s="178">
        <f t="shared" si="164"/>
        <v>0</v>
      </c>
    </row>
    <row r="437" spans="1:14" ht="22.75" customHeight="1" outlineLevel="1" x14ac:dyDescent="0.3">
      <c r="A437" s="189" t="s">
        <v>291</v>
      </c>
      <c r="B437" s="392" t="s">
        <v>455</v>
      </c>
      <c r="C437" s="392" t="s">
        <v>290</v>
      </c>
      <c r="D437" s="392" t="s">
        <v>126</v>
      </c>
      <c r="E437" s="392" t="s">
        <v>6</v>
      </c>
      <c r="F437" s="476">
        <f>F438+F461</f>
        <v>7263427.2599999998</v>
      </c>
      <c r="G437" s="449">
        <f>G438+G465</f>
        <v>18170292.07</v>
      </c>
      <c r="H437" s="449"/>
      <c r="I437" s="449">
        <f>I438+I465</f>
        <v>719170.16</v>
      </c>
      <c r="J437" s="449">
        <f>J438+J465</f>
        <v>1577021.75</v>
      </c>
      <c r="K437" s="462">
        <f t="shared" si="162"/>
        <v>8.6791216339540114</v>
      </c>
      <c r="L437" s="462">
        <f t="shared" si="163"/>
        <v>-16593270.32</v>
      </c>
      <c r="M437" s="449">
        <f>M438+M465</f>
        <v>1577021.75</v>
      </c>
      <c r="N437" s="178">
        <f t="shared" si="164"/>
        <v>0</v>
      </c>
    </row>
    <row r="438" spans="1:14" ht="48.75" customHeight="1" outlineLevel="1" x14ac:dyDescent="0.3">
      <c r="A438" s="233" t="s">
        <v>1037</v>
      </c>
      <c r="B438" s="397" t="s">
        <v>455</v>
      </c>
      <c r="C438" s="397" t="s">
        <v>290</v>
      </c>
      <c r="D438" s="397" t="s">
        <v>198</v>
      </c>
      <c r="E438" s="397" t="s">
        <v>6</v>
      </c>
      <c r="F438" s="477">
        <f>F439+F454</f>
        <v>709737.65999999992</v>
      </c>
      <c r="G438" s="467">
        <f>G439</f>
        <v>18020292.07</v>
      </c>
      <c r="H438" s="467"/>
      <c r="I438" s="467">
        <f>I439</f>
        <v>669170.16</v>
      </c>
      <c r="J438" s="467">
        <f>J439</f>
        <v>1527021.75</v>
      </c>
      <c r="K438" s="462">
        <f t="shared" si="162"/>
        <v>8.4739012224012189</v>
      </c>
      <c r="L438" s="462">
        <f t="shared" si="163"/>
        <v>-16493270.32</v>
      </c>
      <c r="M438" s="467">
        <f>M439</f>
        <v>1527021.75</v>
      </c>
      <c r="N438" s="178">
        <f t="shared" si="164"/>
        <v>0</v>
      </c>
    </row>
    <row r="439" spans="1:14" ht="50.95" outlineLevel="1" x14ac:dyDescent="0.3">
      <c r="A439" s="189" t="s">
        <v>1015</v>
      </c>
      <c r="B439" s="392" t="s">
        <v>455</v>
      </c>
      <c r="C439" s="392" t="s">
        <v>290</v>
      </c>
      <c r="D439" s="392" t="s">
        <v>227</v>
      </c>
      <c r="E439" s="392" t="s">
        <v>6</v>
      </c>
      <c r="F439" s="476">
        <f>F440+F445+F448+F451</f>
        <v>709737.65999999992</v>
      </c>
      <c r="G439" s="449">
        <f>G440+G445+G448+G454+G457+G451+G460</f>
        <v>18020292.07</v>
      </c>
      <c r="H439" s="449"/>
      <c r="I439" s="449">
        <f>I440+I445+I448+I454+I457+I451+I460</f>
        <v>669170.16</v>
      </c>
      <c r="J439" s="449">
        <f>J440+J445+J448+J454+J457+J451+J460</f>
        <v>1527021.75</v>
      </c>
      <c r="K439" s="462">
        <f t="shared" si="162"/>
        <v>8.4739012224012189</v>
      </c>
      <c r="L439" s="462">
        <f t="shared" si="163"/>
        <v>-16493270.32</v>
      </c>
      <c r="M439" s="449">
        <f>M440+M445+M448+M454+M457+M451+M460</f>
        <v>1527021.75</v>
      </c>
      <c r="N439" s="178">
        <f t="shared" si="164"/>
        <v>0</v>
      </c>
    </row>
    <row r="440" spans="1:14" ht="20.25" customHeight="1" outlineLevel="1" x14ac:dyDescent="0.3">
      <c r="A440" s="189" t="s">
        <v>102</v>
      </c>
      <c r="B440" s="392" t="s">
        <v>455</v>
      </c>
      <c r="C440" s="392" t="s">
        <v>290</v>
      </c>
      <c r="D440" s="392" t="s">
        <v>199</v>
      </c>
      <c r="E440" s="392" t="s">
        <v>6</v>
      </c>
      <c r="F440" s="476">
        <f>F441+F443</f>
        <v>703842.96</v>
      </c>
      <c r="G440" s="449">
        <f>G441+G443</f>
        <v>661000</v>
      </c>
      <c r="H440" s="449"/>
      <c r="I440" s="449">
        <f>I441+I443</f>
        <v>661000</v>
      </c>
      <c r="J440" s="449">
        <f>J441+J443</f>
        <v>661000</v>
      </c>
      <c r="K440" s="462">
        <f t="shared" si="162"/>
        <v>100</v>
      </c>
      <c r="L440" s="462">
        <f t="shared" si="163"/>
        <v>0</v>
      </c>
      <c r="M440" s="449">
        <f>M441+M443</f>
        <v>661000</v>
      </c>
      <c r="N440" s="178">
        <f t="shared" ref="N440:N503" si="189">M440-J440</f>
        <v>0</v>
      </c>
    </row>
    <row r="441" spans="1:14" ht="21.25" customHeight="1" outlineLevel="1" x14ac:dyDescent="0.3">
      <c r="A441" s="189" t="s">
        <v>15</v>
      </c>
      <c r="B441" s="392" t="s">
        <v>455</v>
      </c>
      <c r="C441" s="392" t="s">
        <v>290</v>
      </c>
      <c r="D441" s="392" t="s">
        <v>199</v>
      </c>
      <c r="E441" s="392" t="s">
        <v>16</v>
      </c>
      <c r="F441" s="476">
        <f>F442</f>
        <v>674142.96</v>
      </c>
      <c r="G441" s="449">
        <f>G442</f>
        <v>631000</v>
      </c>
      <c r="H441" s="449"/>
      <c r="I441" s="449">
        <f>I442</f>
        <v>631000</v>
      </c>
      <c r="J441" s="449">
        <f>J442</f>
        <v>631000</v>
      </c>
      <c r="K441" s="462">
        <f t="shared" ref="K441:K504" si="190">J441/G441*100</f>
        <v>100</v>
      </c>
      <c r="L441" s="462">
        <f t="shared" ref="L441:L504" si="191">J441-G441</f>
        <v>0</v>
      </c>
      <c r="M441" s="449">
        <f>M442</f>
        <v>631000</v>
      </c>
      <c r="N441" s="178">
        <f t="shared" si="189"/>
        <v>0</v>
      </c>
    </row>
    <row r="442" spans="1:14" s="224" customFormat="1" ht="50.95" outlineLevel="1" x14ac:dyDescent="0.3">
      <c r="A442" s="189" t="s">
        <v>17</v>
      </c>
      <c r="B442" s="392" t="s">
        <v>455</v>
      </c>
      <c r="C442" s="392" t="s">
        <v>290</v>
      </c>
      <c r="D442" s="392" t="s">
        <v>199</v>
      </c>
      <c r="E442" s="392" t="s">
        <v>18</v>
      </c>
      <c r="F442" s="475">
        <v>674142.96</v>
      </c>
      <c r="G442" s="449">
        <f>'потребность 2023 (5)'!K463</f>
        <v>631000</v>
      </c>
      <c r="H442" s="449"/>
      <c r="I442" s="449">
        <v>631000</v>
      </c>
      <c r="J442" s="467">
        <v>631000</v>
      </c>
      <c r="K442" s="462">
        <f t="shared" si="190"/>
        <v>100</v>
      </c>
      <c r="L442" s="462">
        <f t="shared" si="191"/>
        <v>0</v>
      </c>
      <c r="M442" s="467">
        <v>631000</v>
      </c>
      <c r="N442" s="178">
        <f t="shared" si="189"/>
        <v>0</v>
      </c>
    </row>
    <row r="443" spans="1:14" ht="24.8" customHeight="1" outlineLevel="2" x14ac:dyDescent="0.3">
      <c r="A443" s="189" t="s">
        <v>265</v>
      </c>
      <c r="B443" s="392" t="s">
        <v>455</v>
      </c>
      <c r="C443" s="392" t="s">
        <v>290</v>
      </c>
      <c r="D443" s="392" t="s">
        <v>199</v>
      </c>
      <c r="E443" s="392" t="s">
        <v>20</v>
      </c>
      <c r="F443" s="476">
        <f>F444</f>
        <v>29700</v>
      </c>
      <c r="G443" s="449">
        <f>G444</f>
        <v>30000</v>
      </c>
      <c r="H443" s="449"/>
      <c r="I443" s="449">
        <f>I444</f>
        <v>30000</v>
      </c>
      <c r="J443" s="449">
        <f>J444</f>
        <v>30000</v>
      </c>
      <c r="K443" s="462">
        <f t="shared" si="190"/>
        <v>100</v>
      </c>
      <c r="L443" s="462">
        <f t="shared" si="191"/>
        <v>0</v>
      </c>
      <c r="M443" s="449">
        <f>M444</f>
        <v>30000</v>
      </c>
      <c r="N443" s="178">
        <f t="shared" si="189"/>
        <v>0</v>
      </c>
    </row>
    <row r="444" spans="1:14" s="224" customFormat="1" ht="36.700000000000003" customHeight="1" outlineLevel="3" x14ac:dyDescent="0.3">
      <c r="A444" s="189" t="s">
        <v>266</v>
      </c>
      <c r="B444" s="392" t="s">
        <v>455</v>
      </c>
      <c r="C444" s="392" t="s">
        <v>290</v>
      </c>
      <c r="D444" s="392" t="s">
        <v>199</v>
      </c>
      <c r="E444" s="392" t="s">
        <v>22</v>
      </c>
      <c r="F444" s="475">
        <v>29700</v>
      </c>
      <c r="G444" s="449">
        <f>'потребность 2023 (5)'!K465</f>
        <v>30000</v>
      </c>
      <c r="H444" s="449"/>
      <c r="I444" s="449">
        <v>30000</v>
      </c>
      <c r="J444" s="467">
        <v>30000</v>
      </c>
      <c r="K444" s="462">
        <f t="shared" si="190"/>
        <v>100</v>
      </c>
      <c r="L444" s="462">
        <f t="shared" si="191"/>
        <v>0</v>
      </c>
      <c r="M444" s="467">
        <v>30000</v>
      </c>
      <c r="N444" s="178">
        <f t="shared" si="189"/>
        <v>0</v>
      </c>
    </row>
    <row r="445" spans="1:14" s="224" customFormat="1" ht="48.9" customHeight="1" outlineLevel="3" x14ac:dyDescent="0.3">
      <c r="A445" s="189" t="s">
        <v>955</v>
      </c>
      <c r="B445" s="392" t="s">
        <v>455</v>
      </c>
      <c r="C445" s="392" t="s">
        <v>290</v>
      </c>
      <c r="D445" s="392" t="s">
        <v>860</v>
      </c>
      <c r="E445" s="298" t="s">
        <v>6</v>
      </c>
      <c r="F445" s="476"/>
      <c r="G445" s="449"/>
      <c r="H445" s="449"/>
      <c r="I445" s="449"/>
      <c r="J445" s="449">
        <f>J446</f>
        <v>114861.53</v>
      </c>
      <c r="K445" s="462" t="e">
        <f t="shared" si="190"/>
        <v>#DIV/0!</v>
      </c>
      <c r="L445" s="462">
        <f t="shared" si="191"/>
        <v>114861.53</v>
      </c>
      <c r="M445" s="449">
        <f>M446</f>
        <v>114861.53</v>
      </c>
      <c r="N445" s="178">
        <f t="shared" si="189"/>
        <v>0</v>
      </c>
    </row>
    <row r="446" spans="1:14" s="224" customFormat="1" ht="40.1" customHeight="1" outlineLevel="3" x14ac:dyDescent="0.3">
      <c r="A446" s="189" t="s">
        <v>15</v>
      </c>
      <c r="B446" s="392" t="s">
        <v>455</v>
      </c>
      <c r="C446" s="392" t="s">
        <v>290</v>
      </c>
      <c r="D446" s="392" t="s">
        <v>860</v>
      </c>
      <c r="E446" s="298" t="s">
        <v>16</v>
      </c>
      <c r="F446" s="476"/>
      <c r="G446" s="449"/>
      <c r="H446" s="449"/>
      <c r="I446" s="449"/>
      <c r="J446" s="449">
        <f>J447</f>
        <v>114861.53</v>
      </c>
      <c r="K446" s="462" t="e">
        <f t="shared" si="190"/>
        <v>#DIV/0!</v>
      </c>
      <c r="L446" s="462">
        <f t="shared" si="191"/>
        <v>114861.53</v>
      </c>
      <c r="M446" s="449">
        <f>M447</f>
        <v>114861.53</v>
      </c>
      <c r="N446" s="178">
        <f t="shared" si="189"/>
        <v>0</v>
      </c>
    </row>
    <row r="447" spans="1:14" s="224" customFormat="1" ht="49.75" customHeight="1" outlineLevel="3" x14ac:dyDescent="0.3">
      <c r="A447" s="189" t="s">
        <v>17</v>
      </c>
      <c r="B447" s="392" t="s">
        <v>455</v>
      </c>
      <c r="C447" s="392" t="s">
        <v>290</v>
      </c>
      <c r="D447" s="392" t="s">
        <v>860</v>
      </c>
      <c r="E447" s="298" t="s">
        <v>18</v>
      </c>
      <c r="F447" s="475"/>
      <c r="G447" s="449"/>
      <c r="H447" s="449"/>
      <c r="I447" s="449"/>
      <c r="J447" s="467">
        <v>114861.53</v>
      </c>
      <c r="K447" s="462" t="e">
        <f t="shared" si="190"/>
        <v>#DIV/0!</v>
      </c>
      <c r="L447" s="462">
        <f t="shared" si="191"/>
        <v>114861.53</v>
      </c>
      <c r="M447" s="467">
        <v>114861.53</v>
      </c>
      <c r="N447" s="178">
        <f t="shared" si="189"/>
        <v>0</v>
      </c>
    </row>
    <row r="448" spans="1:14" s="224" customFormat="1" ht="53.15" customHeight="1" outlineLevel="3" x14ac:dyDescent="0.3">
      <c r="A448" s="189" t="s">
        <v>861</v>
      </c>
      <c r="B448" s="392" t="s">
        <v>455</v>
      </c>
      <c r="C448" s="392" t="s">
        <v>290</v>
      </c>
      <c r="D448" s="392" t="s">
        <v>862</v>
      </c>
      <c r="E448" s="298" t="s">
        <v>6</v>
      </c>
      <c r="F448" s="476">
        <f>F449</f>
        <v>5894.7</v>
      </c>
      <c r="G448" s="449">
        <f t="shared" ref="G448:J449" si="192">G449</f>
        <v>3482.15</v>
      </c>
      <c r="H448" s="449"/>
      <c r="I448" s="449">
        <f t="shared" si="192"/>
        <v>8170.16</v>
      </c>
      <c r="J448" s="449">
        <f t="shared" si="192"/>
        <v>1160.22</v>
      </c>
      <c r="K448" s="462">
        <f t="shared" si="190"/>
        <v>33.319070114727971</v>
      </c>
      <c r="L448" s="462">
        <f t="shared" si="191"/>
        <v>-2321.9300000000003</v>
      </c>
      <c r="M448" s="449">
        <f t="shared" ref="M448:M449" si="193">M449</f>
        <v>1160.2200000000003</v>
      </c>
      <c r="N448" s="178">
        <f t="shared" si="189"/>
        <v>0</v>
      </c>
    </row>
    <row r="449" spans="1:14" s="224" customFormat="1" ht="22.95" customHeight="1" outlineLevel="3" x14ac:dyDescent="0.3">
      <c r="A449" s="189" t="s">
        <v>15</v>
      </c>
      <c r="B449" s="392" t="s">
        <v>455</v>
      </c>
      <c r="C449" s="392" t="s">
        <v>290</v>
      </c>
      <c r="D449" s="392" t="s">
        <v>862</v>
      </c>
      <c r="E449" s="298" t="s">
        <v>16</v>
      </c>
      <c r="F449" s="476">
        <f>F450</f>
        <v>5894.7</v>
      </c>
      <c r="G449" s="449">
        <f t="shared" si="192"/>
        <v>3482.15</v>
      </c>
      <c r="H449" s="449"/>
      <c r="I449" s="449">
        <f t="shared" si="192"/>
        <v>8170.16</v>
      </c>
      <c r="J449" s="449">
        <f t="shared" si="192"/>
        <v>1160.22</v>
      </c>
      <c r="K449" s="462">
        <f t="shared" si="190"/>
        <v>33.319070114727971</v>
      </c>
      <c r="L449" s="462">
        <f t="shared" si="191"/>
        <v>-2321.9300000000003</v>
      </c>
      <c r="M449" s="449">
        <f t="shared" si="193"/>
        <v>1160.2200000000003</v>
      </c>
      <c r="N449" s="178">
        <f t="shared" si="189"/>
        <v>0</v>
      </c>
    </row>
    <row r="450" spans="1:14" s="224" customFormat="1" ht="35.5" customHeight="1" outlineLevel="3" x14ac:dyDescent="0.3">
      <c r="A450" s="189" t="s">
        <v>17</v>
      </c>
      <c r="B450" s="392" t="s">
        <v>455</v>
      </c>
      <c r="C450" s="392" t="s">
        <v>290</v>
      </c>
      <c r="D450" s="392" t="s">
        <v>862</v>
      </c>
      <c r="E450" s="298" t="s">
        <v>18</v>
      </c>
      <c r="F450" s="475">
        <v>5894.7</v>
      </c>
      <c r="G450" s="449">
        <f>'потребность 2023 (5)'!K483</f>
        <v>3482.15</v>
      </c>
      <c r="H450" s="449"/>
      <c r="I450" s="449">
        <v>8170.16</v>
      </c>
      <c r="J450" s="467">
        <f>ROUND(J447*1/99,2)</f>
        <v>1160.22</v>
      </c>
      <c r="K450" s="462">
        <f t="shared" si="190"/>
        <v>33.319070114727971</v>
      </c>
      <c r="L450" s="462">
        <f t="shared" si="191"/>
        <v>-2321.9300000000003</v>
      </c>
      <c r="M450" s="467">
        <f>8170.16-7009.94</f>
        <v>1160.2200000000003</v>
      </c>
      <c r="N450" s="178">
        <f t="shared" si="189"/>
        <v>0</v>
      </c>
    </row>
    <row r="451" spans="1:14" ht="70" customHeight="1" outlineLevel="5" x14ac:dyDescent="0.3">
      <c r="A451" s="189" t="s">
        <v>976</v>
      </c>
      <c r="B451" s="392" t="s">
        <v>455</v>
      </c>
      <c r="C451" s="392" t="s">
        <v>290</v>
      </c>
      <c r="D451" s="392" t="s">
        <v>977</v>
      </c>
      <c r="E451" s="392" t="s">
        <v>6</v>
      </c>
      <c r="F451" s="462"/>
      <c r="G451" s="462">
        <f t="shared" ref="G451:J452" si="194">G452</f>
        <v>1117341.92</v>
      </c>
      <c r="H451" s="462"/>
      <c r="I451" s="462">
        <f t="shared" si="194"/>
        <v>0</v>
      </c>
      <c r="J451" s="462">
        <f t="shared" si="194"/>
        <v>0</v>
      </c>
      <c r="K451" s="462">
        <f t="shared" si="190"/>
        <v>0</v>
      </c>
      <c r="L451" s="462">
        <f t="shared" si="191"/>
        <v>-1117341.92</v>
      </c>
      <c r="M451" s="462">
        <f t="shared" ref="M451:M452" si="195">M452</f>
        <v>0</v>
      </c>
      <c r="N451" s="178">
        <f t="shared" si="189"/>
        <v>0</v>
      </c>
    </row>
    <row r="452" spans="1:14" ht="50.95" outlineLevel="6" x14ac:dyDescent="0.3">
      <c r="A452" s="189" t="s">
        <v>258</v>
      </c>
      <c r="B452" s="392" t="s">
        <v>455</v>
      </c>
      <c r="C452" s="392" t="s">
        <v>290</v>
      </c>
      <c r="D452" s="392" t="s">
        <v>977</v>
      </c>
      <c r="E452" s="392" t="s">
        <v>259</v>
      </c>
      <c r="F452" s="462"/>
      <c r="G452" s="462">
        <f t="shared" si="194"/>
        <v>1117341.92</v>
      </c>
      <c r="H452" s="462"/>
      <c r="I452" s="462">
        <f t="shared" si="194"/>
        <v>0</v>
      </c>
      <c r="J452" s="462">
        <f t="shared" si="194"/>
        <v>0</v>
      </c>
      <c r="K452" s="462">
        <f t="shared" si="190"/>
        <v>0</v>
      </c>
      <c r="L452" s="462">
        <f t="shared" si="191"/>
        <v>-1117341.92</v>
      </c>
      <c r="M452" s="462">
        <f t="shared" si="195"/>
        <v>0</v>
      </c>
      <c r="N452" s="178">
        <f t="shared" si="189"/>
        <v>0</v>
      </c>
    </row>
    <row r="453" spans="1:14" outlineLevel="7" x14ac:dyDescent="0.3">
      <c r="A453" s="189" t="s">
        <v>260</v>
      </c>
      <c r="B453" s="392" t="s">
        <v>455</v>
      </c>
      <c r="C453" s="392" t="s">
        <v>290</v>
      </c>
      <c r="D453" s="392" t="s">
        <v>977</v>
      </c>
      <c r="E453" s="392" t="s">
        <v>261</v>
      </c>
      <c r="F453" s="462"/>
      <c r="G453" s="449">
        <f>1117341.92</f>
        <v>1117341.92</v>
      </c>
      <c r="H453" s="449"/>
      <c r="I453" s="449"/>
      <c r="J453" s="449"/>
      <c r="K453" s="462">
        <f t="shared" si="190"/>
        <v>0</v>
      </c>
      <c r="L453" s="462">
        <f t="shared" si="191"/>
        <v>-1117341.92</v>
      </c>
      <c r="M453" s="449"/>
      <c r="N453" s="178">
        <f t="shared" si="189"/>
        <v>0</v>
      </c>
    </row>
    <row r="454" spans="1:14" ht="50.95" customHeight="1" outlineLevel="7" x14ac:dyDescent="0.3">
      <c r="A454" s="189" t="s">
        <v>848</v>
      </c>
      <c r="B454" s="392" t="s">
        <v>455</v>
      </c>
      <c r="C454" s="392" t="s">
        <v>290</v>
      </c>
      <c r="D454" s="392" t="s">
        <v>867</v>
      </c>
      <c r="E454" s="392" t="s">
        <v>6</v>
      </c>
      <c r="F454" s="476">
        <f>F455</f>
        <v>0</v>
      </c>
      <c r="G454" s="449">
        <f t="shared" ref="G454:J455" si="196">G455</f>
        <v>0</v>
      </c>
      <c r="H454" s="449"/>
      <c r="I454" s="449">
        <f t="shared" si="196"/>
        <v>0</v>
      </c>
      <c r="J454" s="449">
        <f t="shared" si="196"/>
        <v>742500</v>
      </c>
      <c r="K454" s="462" t="e">
        <f t="shared" si="190"/>
        <v>#DIV/0!</v>
      </c>
      <c r="L454" s="462">
        <f t="shared" si="191"/>
        <v>742500</v>
      </c>
      <c r="M454" s="449">
        <f t="shared" ref="M454:M455" si="197">M455</f>
        <v>742500</v>
      </c>
      <c r="N454" s="178">
        <f t="shared" si="189"/>
        <v>0</v>
      </c>
    </row>
    <row r="455" spans="1:14" ht="34" outlineLevel="7" x14ac:dyDescent="0.3">
      <c r="A455" s="189" t="s">
        <v>15</v>
      </c>
      <c r="B455" s="392" t="s">
        <v>455</v>
      </c>
      <c r="C455" s="392" t="s">
        <v>290</v>
      </c>
      <c r="D455" s="392" t="s">
        <v>867</v>
      </c>
      <c r="E455" s="392" t="s">
        <v>16</v>
      </c>
      <c r="F455" s="476">
        <f>F456</f>
        <v>0</v>
      </c>
      <c r="G455" s="449">
        <f t="shared" si="196"/>
        <v>0</v>
      </c>
      <c r="H455" s="449"/>
      <c r="I455" s="449">
        <f t="shared" si="196"/>
        <v>0</v>
      </c>
      <c r="J455" s="449">
        <f t="shared" si="196"/>
        <v>742500</v>
      </c>
      <c r="K455" s="462" t="e">
        <f t="shared" si="190"/>
        <v>#DIV/0!</v>
      </c>
      <c r="L455" s="462">
        <f t="shared" si="191"/>
        <v>742500</v>
      </c>
      <c r="M455" s="449">
        <f t="shared" si="197"/>
        <v>742500</v>
      </c>
      <c r="N455" s="178">
        <f t="shared" si="189"/>
        <v>0</v>
      </c>
    </row>
    <row r="456" spans="1:14" ht="50.95" outlineLevel="7" x14ac:dyDescent="0.3">
      <c r="A456" s="189" t="s">
        <v>17</v>
      </c>
      <c r="B456" s="392" t="s">
        <v>455</v>
      </c>
      <c r="C456" s="392" t="s">
        <v>290</v>
      </c>
      <c r="D456" s="392" t="s">
        <v>867</v>
      </c>
      <c r="E456" s="392" t="s">
        <v>18</v>
      </c>
      <c r="F456" s="475">
        <v>0</v>
      </c>
      <c r="G456" s="449">
        <v>0</v>
      </c>
      <c r="H456" s="449"/>
      <c r="I456" s="449"/>
      <c r="J456" s="449">
        <v>742500</v>
      </c>
      <c r="K456" s="462" t="e">
        <f t="shared" si="190"/>
        <v>#DIV/0!</v>
      </c>
      <c r="L456" s="462">
        <f t="shared" si="191"/>
        <v>742500</v>
      </c>
      <c r="M456" s="449">
        <v>742500</v>
      </c>
      <c r="N456" s="178">
        <f t="shared" si="189"/>
        <v>0</v>
      </c>
    </row>
    <row r="457" spans="1:14" ht="67.95" outlineLevel="7" x14ac:dyDescent="0.3">
      <c r="A457" s="189" t="s">
        <v>787</v>
      </c>
      <c r="B457" s="392" t="s">
        <v>455</v>
      </c>
      <c r="C457" s="392" t="s">
        <v>290</v>
      </c>
      <c r="D457" s="392" t="s">
        <v>868</v>
      </c>
      <c r="E457" s="392" t="s">
        <v>6</v>
      </c>
      <c r="F457" s="476">
        <f>F458</f>
        <v>79468.45</v>
      </c>
      <c r="G457" s="449">
        <f t="shared" ref="G457:J458" si="198">G458</f>
        <v>53055</v>
      </c>
      <c r="H457" s="449"/>
      <c r="I457" s="449">
        <f t="shared" si="198"/>
        <v>0</v>
      </c>
      <c r="J457" s="449">
        <f t="shared" si="198"/>
        <v>7500</v>
      </c>
      <c r="K457" s="462">
        <f t="shared" si="190"/>
        <v>14.13627367825841</v>
      </c>
      <c r="L457" s="462">
        <f t="shared" si="191"/>
        <v>-45555</v>
      </c>
      <c r="M457" s="449">
        <f t="shared" ref="M457:M458" si="199">M458</f>
        <v>7500</v>
      </c>
      <c r="N457" s="178">
        <f t="shared" si="189"/>
        <v>0</v>
      </c>
    </row>
    <row r="458" spans="1:14" ht="34" outlineLevel="7" x14ac:dyDescent="0.3">
      <c r="A458" s="189" t="s">
        <v>15</v>
      </c>
      <c r="B458" s="392" t="s">
        <v>455</v>
      </c>
      <c r="C458" s="392" t="s">
        <v>290</v>
      </c>
      <c r="D458" s="392" t="s">
        <v>868</v>
      </c>
      <c r="E458" s="392" t="s">
        <v>16</v>
      </c>
      <c r="F458" s="476">
        <f>F459</f>
        <v>79468.45</v>
      </c>
      <c r="G458" s="449">
        <f t="shared" si="198"/>
        <v>53055</v>
      </c>
      <c r="H458" s="449"/>
      <c r="I458" s="449">
        <f t="shared" si="198"/>
        <v>0</v>
      </c>
      <c r="J458" s="449">
        <f t="shared" si="198"/>
        <v>7500</v>
      </c>
      <c r="K458" s="462">
        <f t="shared" si="190"/>
        <v>14.13627367825841</v>
      </c>
      <c r="L458" s="462">
        <f t="shared" si="191"/>
        <v>-45555</v>
      </c>
      <c r="M458" s="449">
        <f t="shared" si="199"/>
        <v>7500</v>
      </c>
      <c r="N458" s="178">
        <f t="shared" si="189"/>
        <v>0</v>
      </c>
    </row>
    <row r="459" spans="1:14" ht="25.5" customHeight="1" outlineLevel="7" x14ac:dyDescent="0.3">
      <c r="A459" s="189" t="s">
        <v>17</v>
      </c>
      <c r="B459" s="392" t="s">
        <v>455</v>
      </c>
      <c r="C459" s="392" t="s">
        <v>290</v>
      </c>
      <c r="D459" s="392" t="s">
        <v>868</v>
      </c>
      <c r="E459" s="392" t="s">
        <v>18</v>
      </c>
      <c r="F459" s="475">
        <v>79468.45</v>
      </c>
      <c r="G459" s="449">
        <f>'потребность 2023 (5)'!K493-15300</f>
        <v>53055</v>
      </c>
      <c r="H459" s="449"/>
      <c r="I459" s="449"/>
      <c r="J459" s="449">
        <f>ROUND(J456*1/99,2)</f>
        <v>7500</v>
      </c>
      <c r="K459" s="462">
        <f t="shared" si="190"/>
        <v>14.13627367825841</v>
      </c>
      <c r="L459" s="462">
        <f t="shared" si="191"/>
        <v>-45555</v>
      </c>
      <c r="M459" s="449">
        <v>7500</v>
      </c>
      <c r="N459" s="178">
        <f t="shared" si="189"/>
        <v>0</v>
      </c>
    </row>
    <row r="460" spans="1:14" ht="55.7" customHeight="1" outlineLevel="7" x14ac:dyDescent="0.3">
      <c r="A460" s="189" t="s">
        <v>1074</v>
      </c>
      <c r="B460" s="392" t="s">
        <v>455</v>
      </c>
      <c r="C460" s="392" t="s">
        <v>290</v>
      </c>
      <c r="D460" s="392" t="s">
        <v>1060</v>
      </c>
      <c r="E460" s="392" t="s">
        <v>6</v>
      </c>
      <c r="F460" s="476">
        <f>F461</f>
        <v>6553689.5999999996</v>
      </c>
      <c r="G460" s="449">
        <f>G461+G463</f>
        <v>16185413</v>
      </c>
      <c r="H460" s="449"/>
      <c r="I460" s="449">
        <f>I461+I463</f>
        <v>0</v>
      </c>
      <c r="J460" s="449">
        <f>J461+J463</f>
        <v>0</v>
      </c>
      <c r="K460" s="462">
        <f t="shared" si="190"/>
        <v>0</v>
      </c>
      <c r="L460" s="462">
        <f t="shared" si="191"/>
        <v>-16185413</v>
      </c>
      <c r="M460" s="449">
        <f>M461+M463</f>
        <v>0</v>
      </c>
      <c r="N460" s="178">
        <f t="shared" si="189"/>
        <v>0</v>
      </c>
    </row>
    <row r="461" spans="1:14" ht="40.75" customHeight="1" outlineLevel="7" x14ac:dyDescent="0.3">
      <c r="A461" s="189" t="s">
        <v>15</v>
      </c>
      <c r="B461" s="392" t="s">
        <v>455</v>
      </c>
      <c r="C461" s="392" t="s">
        <v>290</v>
      </c>
      <c r="D461" s="392" t="s">
        <v>1060</v>
      </c>
      <c r="E461" s="392" t="s">
        <v>16</v>
      </c>
      <c r="F461" s="476">
        <f>F462</f>
        <v>6553689.5999999996</v>
      </c>
      <c r="G461" s="449">
        <f>G462</f>
        <v>224481.72</v>
      </c>
      <c r="H461" s="449"/>
      <c r="I461" s="449">
        <f>I462</f>
        <v>0</v>
      </c>
      <c r="J461" s="449">
        <f>J462</f>
        <v>0</v>
      </c>
      <c r="K461" s="462">
        <f t="shared" si="190"/>
        <v>0</v>
      </c>
      <c r="L461" s="462">
        <f t="shared" si="191"/>
        <v>-224481.72</v>
      </c>
      <c r="M461" s="449">
        <f>M462</f>
        <v>0</v>
      </c>
      <c r="N461" s="178">
        <f t="shared" si="189"/>
        <v>0</v>
      </c>
    </row>
    <row r="462" spans="1:14" ht="25.5" customHeight="1" outlineLevel="7" x14ac:dyDescent="0.3">
      <c r="A462" s="189" t="s">
        <v>17</v>
      </c>
      <c r="B462" s="392" t="s">
        <v>455</v>
      </c>
      <c r="C462" s="392" t="s">
        <v>290</v>
      </c>
      <c r="D462" s="392" t="s">
        <v>1060</v>
      </c>
      <c r="E462" s="392" t="s">
        <v>18</v>
      </c>
      <c r="F462" s="475">
        <v>6553689.5999999996</v>
      </c>
      <c r="G462" s="449">
        <v>224481.72</v>
      </c>
      <c r="H462" s="449"/>
      <c r="I462" s="449"/>
      <c r="J462" s="449"/>
      <c r="K462" s="462">
        <f t="shared" si="190"/>
        <v>0</v>
      </c>
      <c r="L462" s="462">
        <f t="shared" si="191"/>
        <v>-224481.72</v>
      </c>
      <c r="M462" s="449"/>
      <c r="N462" s="178">
        <f t="shared" si="189"/>
        <v>0</v>
      </c>
    </row>
    <row r="463" spans="1:14" ht="38.9" customHeight="1" outlineLevel="7" x14ac:dyDescent="0.3">
      <c r="A463" s="189" t="s">
        <v>258</v>
      </c>
      <c r="B463" s="392" t="s">
        <v>455</v>
      </c>
      <c r="C463" s="392" t="s">
        <v>290</v>
      </c>
      <c r="D463" s="392" t="s">
        <v>1060</v>
      </c>
      <c r="E463" s="392" t="s">
        <v>259</v>
      </c>
      <c r="F463" s="462">
        <v>0</v>
      </c>
      <c r="G463" s="449">
        <f>G464</f>
        <v>15960931.279999999</v>
      </c>
      <c r="H463" s="449"/>
      <c r="I463" s="449">
        <f>I464</f>
        <v>0</v>
      </c>
      <c r="J463" s="449">
        <f>J464</f>
        <v>0</v>
      </c>
      <c r="K463" s="462">
        <f t="shared" si="190"/>
        <v>0</v>
      </c>
      <c r="L463" s="462">
        <f t="shared" si="191"/>
        <v>-15960931.279999999</v>
      </c>
      <c r="M463" s="449">
        <f>M464</f>
        <v>0</v>
      </c>
      <c r="N463" s="178">
        <f t="shared" si="189"/>
        <v>0</v>
      </c>
    </row>
    <row r="464" spans="1:14" ht="25.5" customHeight="1" outlineLevel="7" x14ac:dyDescent="0.3">
      <c r="A464" s="189" t="s">
        <v>260</v>
      </c>
      <c r="B464" s="392" t="s">
        <v>455</v>
      </c>
      <c r="C464" s="392" t="s">
        <v>290</v>
      </c>
      <c r="D464" s="392" t="s">
        <v>1060</v>
      </c>
      <c r="E464" s="392" t="s">
        <v>261</v>
      </c>
      <c r="F464" s="462">
        <v>0</v>
      </c>
      <c r="G464" s="449">
        <f>5000000+11185413-224481.72</f>
        <v>15960931.279999999</v>
      </c>
      <c r="H464" s="449"/>
      <c r="I464" s="449"/>
      <c r="J464" s="449"/>
      <c r="K464" s="462">
        <f t="shared" si="190"/>
        <v>0</v>
      </c>
      <c r="L464" s="462">
        <f t="shared" si="191"/>
        <v>-15960931.279999999</v>
      </c>
      <c r="M464" s="449"/>
      <c r="N464" s="178">
        <f t="shared" si="189"/>
        <v>0</v>
      </c>
    </row>
    <row r="465" spans="1:14" s="461" customFormat="1" ht="45" customHeight="1" x14ac:dyDescent="0.3">
      <c r="A465" s="233" t="s">
        <v>1025</v>
      </c>
      <c r="B465" s="397" t="s">
        <v>455</v>
      </c>
      <c r="C465" s="397" t="s">
        <v>290</v>
      </c>
      <c r="D465" s="397" t="s">
        <v>419</v>
      </c>
      <c r="E465" s="397" t="s">
        <v>6</v>
      </c>
      <c r="F465" s="471">
        <f t="shared" ref="F465:J468" si="200">F466</f>
        <v>50000</v>
      </c>
      <c r="G465" s="462">
        <f t="shared" si="200"/>
        <v>150000</v>
      </c>
      <c r="H465" s="462"/>
      <c r="I465" s="462">
        <f t="shared" si="200"/>
        <v>50000</v>
      </c>
      <c r="J465" s="462">
        <f t="shared" si="200"/>
        <v>50000</v>
      </c>
      <c r="K465" s="462">
        <f t="shared" si="190"/>
        <v>33.333333333333329</v>
      </c>
      <c r="L465" s="462">
        <f t="shared" si="191"/>
        <v>-100000</v>
      </c>
      <c r="M465" s="462">
        <f t="shared" ref="M465:M468" si="201">M466</f>
        <v>50000</v>
      </c>
      <c r="N465" s="178">
        <f t="shared" si="189"/>
        <v>0</v>
      </c>
    </row>
    <row r="466" spans="1:14" outlineLevel="1" x14ac:dyDescent="0.3">
      <c r="A466" s="383" t="s">
        <v>420</v>
      </c>
      <c r="B466" s="392" t="s">
        <v>455</v>
      </c>
      <c r="C466" s="392" t="s">
        <v>290</v>
      </c>
      <c r="D466" s="392" t="s">
        <v>421</v>
      </c>
      <c r="E466" s="392" t="s">
        <v>6</v>
      </c>
      <c r="F466" s="471">
        <f t="shared" si="200"/>
        <v>50000</v>
      </c>
      <c r="G466" s="462">
        <f t="shared" si="200"/>
        <v>150000</v>
      </c>
      <c r="H466" s="462"/>
      <c r="I466" s="462">
        <f t="shared" si="200"/>
        <v>50000</v>
      </c>
      <c r="J466" s="462">
        <f t="shared" si="200"/>
        <v>50000</v>
      </c>
      <c r="K466" s="462">
        <f t="shared" si="190"/>
        <v>33.333333333333329</v>
      </c>
      <c r="L466" s="462">
        <f t="shared" si="191"/>
        <v>-100000</v>
      </c>
      <c r="M466" s="462">
        <f t="shared" si="201"/>
        <v>50000</v>
      </c>
      <c r="N466" s="178">
        <f t="shared" si="189"/>
        <v>0</v>
      </c>
    </row>
    <row r="467" spans="1:14" ht="37.549999999999997" customHeight="1" outlineLevel="2" x14ac:dyDescent="0.3">
      <c r="A467" s="189" t="s">
        <v>422</v>
      </c>
      <c r="B467" s="392" t="s">
        <v>455</v>
      </c>
      <c r="C467" s="392" t="s">
        <v>290</v>
      </c>
      <c r="D467" s="392" t="s">
        <v>423</v>
      </c>
      <c r="E467" s="392" t="s">
        <v>6</v>
      </c>
      <c r="F467" s="471">
        <f t="shared" si="200"/>
        <v>50000</v>
      </c>
      <c r="G467" s="462">
        <f t="shared" si="200"/>
        <v>150000</v>
      </c>
      <c r="H467" s="462"/>
      <c r="I467" s="462">
        <f t="shared" si="200"/>
        <v>50000</v>
      </c>
      <c r="J467" s="462">
        <f t="shared" si="200"/>
        <v>50000</v>
      </c>
      <c r="K467" s="462">
        <f t="shared" si="190"/>
        <v>33.333333333333329</v>
      </c>
      <c r="L467" s="462">
        <f t="shared" si="191"/>
        <v>-100000</v>
      </c>
      <c r="M467" s="462">
        <f t="shared" si="201"/>
        <v>50000</v>
      </c>
      <c r="N467" s="178">
        <f t="shared" si="189"/>
        <v>0</v>
      </c>
    </row>
    <row r="468" spans="1:14" ht="34" outlineLevel="4" x14ac:dyDescent="0.3">
      <c r="A468" s="189" t="s">
        <v>15</v>
      </c>
      <c r="B468" s="392" t="s">
        <v>455</v>
      </c>
      <c r="C468" s="392" t="s">
        <v>290</v>
      </c>
      <c r="D468" s="392" t="s">
        <v>423</v>
      </c>
      <c r="E468" s="392" t="s">
        <v>16</v>
      </c>
      <c r="F468" s="471">
        <f t="shared" si="200"/>
        <v>50000</v>
      </c>
      <c r="G468" s="462">
        <f t="shared" si="200"/>
        <v>150000</v>
      </c>
      <c r="H468" s="462"/>
      <c r="I468" s="462">
        <f t="shared" si="200"/>
        <v>50000</v>
      </c>
      <c r="J468" s="462">
        <f t="shared" si="200"/>
        <v>50000</v>
      </c>
      <c r="K468" s="462">
        <f t="shared" si="190"/>
        <v>33.333333333333329</v>
      </c>
      <c r="L468" s="462">
        <f t="shared" si="191"/>
        <v>-100000</v>
      </c>
      <c r="M468" s="462">
        <f t="shared" si="201"/>
        <v>50000</v>
      </c>
      <c r="N468" s="178">
        <f t="shared" si="189"/>
        <v>0</v>
      </c>
    </row>
    <row r="469" spans="1:14" ht="50.95" outlineLevel="5" x14ac:dyDescent="0.3">
      <c r="A469" s="189" t="s">
        <v>17</v>
      </c>
      <c r="B469" s="392" t="s">
        <v>455</v>
      </c>
      <c r="C469" s="392" t="s">
        <v>290</v>
      </c>
      <c r="D469" s="392" t="s">
        <v>423</v>
      </c>
      <c r="E469" s="392" t="s">
        <v>18</v>
      </c>
      <c r="F469" s="475">
        <v>50000</v>
      </c>
      <c r="G469" s="449">
        <f>'потребность 2023 (5)'!K504+100000</f>
        <v>150000</v>
      </c>
      <c r="H469" s="449"/>
      <c r="I469" s="449">
        <v>50000</v>
      </c>
      <c r="J469" s="449">
        <v>50000</v>
      </c>
      <c r="K469" s="462">
        <f t="shared" si="190"/>
        <v>33.333333333333329</v>
      </c>
      <c r="L469" s="462">
        <f t="shared" si="191"/>
        <v>-100000</v>
      </c>
      <c r="M469" s="449">
        <v>50000</v>
      </c>
      <c r="N469" s="178">
        <f t="shared" si="189"/>
        <v>0</v>
      </c>
    </row>
    <row r="470" spans="1:14" outlineLevel="6" x14ac:dyDescent="0.3">
      <c r="A470" s="233" t="s">
        <v>103</v>
      </c>
      <c r="B470" s="392" t="s">
        <v>455</v>
      </c>
      <c r="C470" s="397" t="s">
        <v>104</v>
      </c>
      <c r="D470" s="397" t="s">
        <v>126</v>
      </c>
      <c r="E470" s="397" t="s">
        <v>6</v>
      </c>
      <c r="F470" s="473">
        <f t="shared" ref="F470:J475" si="202">F471</f>
        <v>3357000</v>
      </c>
      <c r="G470" s="465">
        <f t="shared" si="202"/>
        <v>3357000</v>
      </c>
      <c r="H470" s="465"/>
      <c r="I470" s="465">
        <f t="shared" si="202"/>
        <v>2500000</v>
      </c>
      <c r="J470" s="465">
        <f t="shared" si="202"/>
        <v>3597234.46</v>
      </c>
      <c r="K470" s="462">
        <f t="shared" si="190"/>
        <v>107.15622460530234</v>
      </c>
      <c r="L470" s="462">
        <f t="shared" si="191"/>
        <v>240234.45999999996</v>
      </c>
      <c r="M470" s="465">
        <f t="shared" ref="M470:M475" si="203">M471</f>
        <v>3597234.46</v>
      </c>
      <c r="N470" s="178">
        <f t="shared" si="189"/>
        <v>0</v>
      </c>
    </row>
    <row r="471" spans="1:14" outlineLevel="7" x14ac:dyDescent="0.3">
      <c r="A471" s="189" t="s">
        <v>105</v>
      </c>
      <c r="B471" s="392" t="s">
        <v>455</v>
      </c>
      <c r="C471" s="392" t="s">
        <v>106</v>
      </c>
      <c r="D471" s="392" t="s">
        <v>126</v>
      </c>
      <c r="E471" s="392" t="s">
        <v>6</v>
      </c>
      <c r="F471" s="471">
        <f t="shared" si="202"/>
        <v>3357000</v>
      </c>
      <c r="G471" s="462">
        <f t="shared" si="202"/>
        <v>3357000</v>
      </c>
      <c r="H471" s="462"/>
      <c r="I471" s="462">
        <f t="shared" si="202"/>
        <v>2500000</v>
      </c>
      <c r="J471" s="462">
        <f t="shared" si="202"/>
        <v>3597234.46</v>
      </c>
      <c r="K471" s="462">
        <f t="shared" si="190"/>
        <v>107.15622460530234</v>
      </c>
      <c r="L471" s="462">
        <f t="shared" si="191"/>
        <v>240234.45999999996</v>
      </c>
      <c r="M471" s="462">
        <f t="shared" si="203"/>
        <v>3597234.46</v>
      </c>
      <c r="N471" s="178">
        <f t="shared" si="189"/>
        <v>0</v>
      </c>
    </row>
    <row r="472" spans="1:14" ht="50.95" outlineLevel="5" x14ac:dyDescent="0.3">
      <c r="A472" s="233" t="s">
        <v>1028</v>
      </c>
      <c r="B472" s="392" t="s">
        <v>455</v>
      </c>
      <c r="C472" s="397" t="s">
        <v>106</v>
      </c>
      <c r="D472" s="397" t="s">
        <v>305</v>
      </c>
      <c r="E472" s="397" t="s">
        <v>6</v>
      </c>
      <c r="F472" s="473">
        <f>F473</f>
        <v>3357000</v>
      </c>
      <c r="G472" s="465">
        <f>G473</f>
        <v>3357000</v>
      </c>
      <c r="H472" s="465"/>
      <c r="I472" s="465">
        <f>I473</f>
        <v>2500000</v>
      </c>
      <c r="J472" s="465">
        <f>J473</f>
        <v>3597234.46</v>
      </c>
      <c r="K472" s="462">
        <f t="shared" si="190"/>
        <v>107.15622460530234</v>
      </c>
      <c r="L472" s="462">
        <f t="shared" si="191"/>
        <v>240234.45999999996</v>
      </c>
      <c r="M472" s="465">
        <f>M473</f>
        <v>3597234.46</v>
      </c>
      <c r="N472" s="178">
        <f t="shared" si="189"/>
        <v>0</v>
      </c>
    </row>
    <row r="473" spans="1:14" ht="34" outlineLevel="6" x14ac:dyDescent="0.3">
      <c r="A473" s="189" t="s">
        <v>315</v>
      </c>
      <c r="B473" s="392" t="s">
        <v>455</v>
      </c>
      <c r="C473" s="392" t="s">
        <v>106</v>
      </c>
      <c r="D473" s="392" t="s">
        <v>306</v>
      </c>
      <c r="E473" s="392" t="s">
        <v>6</v>
      </c>
      <c r="F473" s="471">
        <f t="shared" si="202"/>
        <v>3357000</v>
      </c>
      <c r="G473" s="462">
        <f t="shared" si="202"/>
        <v>3357000</v>
      </c>
      <c r="H473" s="462"/>
      <c r="I473" s="462">
        <f t="shared" si="202"/>
        <v>2500000</v>
      </c>
      <c r="J473" s="462">
        <f t="shared" si="202"/>
        <v>3597234.46</v>
      </c>
      <c r="K473" s="462">
        <f t="shared" si="190"/>
        <v>107.15622460530234</v>
      </c>
      <c r="L473" s="462">
        <f t="shared" si="191"/>
        <v>240234.45999999996</v>
      </c>
      <c r="M473" s="462">
        <f t="shared" si="203"/>
        <v>3597234.46</v>
      </c>
      <c r="N473" s="178">
        <f t="shared" si="189"/>
        <v>0</v>
      </c>
    </row>
    <row r="474" spans="1:14" ht="50.95" outlineLevel="7" x14ac:dyDescent="0.3">
      <c r="A474" s="189" t="s">
        <v>107</v>
      </c>
      <c r="B474" s="392" t="s">
        <v>455</v>
      </c>
      <c r="C474" s="392" t="s">
        <v>106</v>
      </c>
      <c r="D474" s="392" t="s">
        <v>307</v>
      </c>
      <c r="E474" s="392" t="s">
        <v>6</v>
      </c>
      <c r="F474" s="471">
        <f t="shared" si="202"/>
        <v>3357000</v>
      </c>
      <c r="G474" s="462">
        <f t="shared" si="202"/>
        <v>3357000</v>
      </c>
      <c r="H474" s="462"/>
      <c r="I474" s="462">
        <f t="shared" si="202"/>
        <v>2500000</v>
      </c>
      <c r="J474" s="462">
        <f t="shared" si="202"/>
        <v>3597234.46</v>
      </c>
      <c r="K474" s="462">
        <f t="shared" si="190"/>
        <v>107.15622460530234</v>
      </c>
      <c r="L474" s="462">
        <f t="shared" si="191"/>
        <v>240234.45999999996</v>
      </c>
      <c r="M474" s="462">
        <f t="shared" si="203"/>
        <v>3597234.46</v>
      </c>
      <c r="N474" s="178">
        <f t="shared" si="189"/>
        <v>0</v>
      </c>
    </row>
    <row r="475" spans="1:14" ht="50.95" outlineLevel="6" x14ac:dyDescent="0.3">
      <c r="A475" s="189" t="s">
        <v>37</v>
      </c>
      <c r="B475" s="392" t="s">
        <v>455</v>
      </c>
      <c r="C475" s="392" t="s">
        <v>106</v>
      </c>
      <c r="D475" s="392" t="s">
        <v>307</v>
      </c>
      <c r="E475" s="392" t="s">
        <v>38</v>
      </c>
      <c r="F475" s="471">
        <f t="shared" si="202"/>
        <v>3357000</v>
      </c>
      <c r="G475" s="462">
        <f t="shared" si="202"/>
        <v>3357000</v>
      </c>
      <c r="H475" s="462"/>
      <c r="I475" s="462">
        <f t="shared" si="202"/>
        <v>2500000</v>
      </c>
      <c r="J475" s="462">
        <f t="shared" si="202"/>
        <v>3597234.46</v>
      </c>
      <c r="K475" s="462">
        <f t="shared" si="190"/>
        <v>107.15622460530234</v>
      </c>
      <c r="L475" s="462">
        <f t="shared" si="191"/>
        <v>240234.45999999996</v>
      </c>
      <c r="M475" s="462">
        <f t="shared" si="203"/>
        <v>3597234.46</v>
      </c>
      <c r="N475" s="178">
        <f t="shared" si="189"/>
        <v>0</v>
      </c>
    </row>
    <row r="476" spans="1:14" ht="20.25" customHeight="1" outlineLevel="7" x14ac:dyDescent="0.3">
      <c r="A476" s="189" t="s">
        <v>39</v>
      </c>
      <c r="B476" s="392" t="s">
        <v>455</v>
      </c>
      <c r="C476" s="392" t="s">
        <v>106</v>
      </c>
      <c r="D476" s="392" t="s">
        <v>307</v>
      </c>
      <c r="E476" s="392" t="s">
        <v>40</v>
      </c>
      <c r="F476" s="475">
        <v>3357000</v>
      </c>
      <c r="G476" s="462">
        <f>'потребность 2023 (5)'!K511</f>
        <v>3357000</v>
      </c>
      <c r="H476" s="462"/>
      <c r="I476" s="462">
        <v>2500000</v>
      </c>
      <c r="J476" s="449">
        <v>3597234.46</v>
      </c>
      <c r="K476" s="462">
        <f t="shared" si="190"/>
        <v>107.15622460530234</v>
      </c>
      <c r="L476" s="462">
        <f t="shared" si="191"/>
        <v>240234.45999999996</v>
      </c>
      <c r="M476" s="449">
        <v>3597234.46</v>
      </c>
      <c r="N476" s="178">
        <f t="shared" si="189"/>
        <v>0</v>
      </c>
    </row>
    <row r="477" spans="1:14" ht="29.9" customHeight="1" outlineLevel="6" x14ac:dyDescent="0.3">
      <c r="A477" s="186" t="s">
        <v>481</v>
      </c>
      <c r="B477" s="458" t="s">
        <v>456</v>
      </c>
      <c r="C477" s="458" t="s">
        <v>5</v>
      </c>
      <c r="D477" s="458" t="s">
        <v>126</v>
      </c>
      <c r="E477" s="458" t="s">
        <v>6</v>
      </c>
      <c r="F477" s="481">
        <f>F478</f>
        <v>5509254.1400000006</v>
      </c>
      <c r="G477" s="459">
        <f>G478</f>
        <v>5646668.2999999998</v>
      </c>
      <c r="H477" s="459"/>
      <c r="I477" s="459">
        <f>I478</f>
        <v>5723967.9299999997</v>
      </c>
      <c r="J477" s="459">
        <f>J478</f>
        <v>6308611.0899999999</v>
      </c>
      <c r="K477" s="462">
        <f t="shared" si="190"/>
        <v>111.72271425966353</v>
      </c>
      <c r="L477" s="462">
        <f t="shared" si="191"/>
        <v>661942.79</v>
      </c>
      <c r="M477" s="459">
        <f>M478</f>
        <v>6308611.0899999999</v>
      </c>
      <c r="N477" s="178">
        <f t="shared" si="189"/>
        <v>0</v>
      </c>
    </row>
    <row r="478" spans="1:14" outlineLevel="7" x14ac:dyDescent="0.3">
      <c r="A478" s="189" t="s">
        <v>7</v>
      </c>
      <c r="B478" s="392" t="s">
        <v>456</v>
      </c>
      <c r="C478" s="392" t="s">
        <v>8</v>
      </c>
      <c r="D478" s="392" t="s">
        <v>126</v>
      </c>
      <c r="E478" s="392" t="s">
        <v>6</v>
      </c>
      <c r="F478" s="471">
        <f>F479+F494</f>
        <v>5509254.1400000006</v>
      </c>
      <c r="G478" s="462">
        <f>G479+G494</f>
        <v>5646668.2999999998</v>
      </c>
      <c r="H478" s="462"/>
      <c r="I478" s="462">
        <f>I479+I494</f>
        <v>5723967.9299999997</v>
      </c>
      <c r="J478" s="462">
        <f>J479+J494</f>
        <v>6308611.0899999999</v>
      </c>
      <c r="K478" s="462">
        <f t="shared" si="190"/>
        <v>111.72271425966353</v>
      </c>
      <c r="L478" s="462">
        <f t="shared" si="191"/>
        <v>661942.79</v>
      </c>
      <c r="M478" s="462">
        <f>M479+M494</f>
        <v>6308611.0899999999</v>
      </c>
      <c r="N478" s="178">
        <f t="shared" si="189"/>
        <v>0</v>
      </c>
    </row>
    <row r="479" spans="1:14" ht="67.95" outlineLevel="5" x14ac:dyDescent="0.3">
      <c r="A479" s="189" t="s">
        <v>108</v>
      </c>
      <c r="B479" s="392" t="s">
        <v>456</v>
      </c>
      <c r="C479" s="392" t="s">
        <v>109</v>
      </c>
      <c r="D479" s="392" t="s">
        <v>126</v>
      </c>
      <c r="E479" s="392" t="s">
        <v>6</v>
      </c>
      <c r="F479" s="471">
        <f>F480</f>
        <v>5356508.6400000006</v>
      </c>
      <c r="G479" s="462">
        <f>G480</f>
        <v>5429388.2999999998</v>
      </c>
      <c r="H479" s="462"/>
      <c r="I479" s="462">
        <f>I480</f>
        <v>5581195.9299999997</v>
      </c>
      <c r="J479" s="462">
        <f>J480</f>
        <v>6155611.0899999999</v>
      </c>
      <c r="K479" s="462">
        <f t="shared" si="190"/>
        <v>113.37577549942412</v>
      </c>
      <c r="L479" s="462">
        <f t="shared" si="191"/>
        <v>726222.79</v>
      </c>
      <c r="M479" s="462">
        <f>M480</f>
        <v>6155611.0899999999</v>
      </c>
      <c r="N479" s="178">
        <f t="shared" si="189"/>
        <v>0</v>
      </c>
    </row>
    <row r="480" spans="1:14" ht="34" outlineLevel="6" x14ac:dyDescent="0.3">
      <c r="A480" s="189" t="s">
        <v>132</v>
      </c>
      <c r="B480" s="392" t="s">
        <v>456</v>
      </c>
      <c r="C480" s="392" t="s">
        <v>109</v>
      </c>
      <c r="D480" s="392" t="s">
        <v>127</v>
      </c>
      <c r="E480" s="392" t="s">
        <v>6</v>
      </c>
      <c r="F480" s="471">
        <f>F481+F484+F491</f>
        <v>5356508.6400000006</v>
      </c>
      <c r="G480" s="462">
        <f>G481+G484+G491</f>
        <v>5429388.2999999998</v>
      </c>
      <c r="H480" s="462"/>
      <c r="I480" s="462">
        <f>I481+I484+I491</f>
        <v>5581195.9299999997</v>
      </c>
      <c r="J480" s="462">
        <f>J481+J484+J491</f>
        <v>6155611.0899999999</v>
      </c>
      <c r="K480" s="462">
        <f t="shared" si="190"/>
        <v>113.37577549942412</v>
      </c>
      <c r="L480" s="462">
        <f t="shared" si="191"/>
        <v>726222.79</v>
      </c>
      <c r="M480" s="462">
        <f>M481+M484+M491</f>
        <v>6155611.0899999999</v>
      </c>
      <c r="N480" s="178">
        <f t="shared" si="189"/>
        <v>0</v>
      </c>
    </row>
    <row r="481" spans="1:14" ht="34" outlineLevel="7" x14ac:dyDescent="0.3">
      <c r="A481" s="189" t="s">
        <v>482</v>
      </c>
      <c r="B481" s="392" t="s">
        <v>456</v>
      </c>
      <c r="C481" s="392" t="s">
        <v>109</v>
      </c>
      <c r="D481" s="392" t="s">
        <v>483</v>
      </c>
      <c r="E481" s="392" t="s">
        <v>6</v>
      </c>
      <c r="F481" s="471">
        <f>F482</f>
        <v>2497158.35</v>
      </c>
      <c r="G481" s="462">
        <f t="shared" ref="G481:J482" si="204">G482</f>
        <v>2537974.2999999998</v>
      </c>
      <c r="H481" s="462"/>
      <c r="I481" s="462">
        <f t="shared" si="204"/>
        <v>2639493.27</v>
      </c>
      <c r="J481" s="462">
        <f t="shared" si="204"/>
        <v>2872093.52</v>
      </c>
      <c r="K481" s="462">
        <f t="shared" si="190"/>
        <v>113.16479918650084</v>
      </c>
      <c r="L481" s="462">
        <f t="shared" si="191"/>
        <v>334119.2200000002</v>
      </c>
      <c r="M481" s="462">
        <f t="shared" ref="M481:M482" si="205">M482</f>
        <v>2872093.52</v>
      </c>
      <c r="N481" s="178">
        <f t="shared" si="189"/>
        <v>0</v>
      </c>
    </row>
    <row r="482" spans="1:14" ht="37.549999999999997" customHeight="1" outlineLevel="2" x14ac:dyDescent="0.3">
      <c r="A482" s="189" t="s">
        <v>11</v>
      </c>
      <c r="B482" s="392" t="s">
        <v>456</v>
      </c>
      <c r="C482" s="392" t="s">
        <v>109</v>
      </c>
      <c r="D482" s="392" t="s">
        <v>483</v>
      </c>
      <c r="E482" s="392" t="s">
        <v>12</v>
      </c>
      <c r="F482" s="471">
        <f>F483</f>
        <v>2497158.35</v>
      </c>
      <c r="G482" s="462">
        <f t="shared" si="204"/>
        <v>2537974.2999999998</v>
      </c>
      <c r="H482" s="462"/>
      <c r="I482" s="462">
        <f t="shared" si="204"/>
        <v>2639493.27</v>
      </c>
      <c r="J482" s="462">
        <f t="shared" si="204"/>
        <v>2872093.52</v>
      </c>
      <c r="K482" s="462">
        <f t="shared" si="190"/>
        <v>113.16479918650084</v>
      </c>
      <c r="L482" s="462">
        <f t="shared" si="191"/>
        <v>334119.2200000002</v>
      </c>
      <c r="M482" s="462">
        <f t="shared" si="205"/>
        <v>2872093.52</v>
      </c>
      <c r="N482" s="178">
        <f t="shared" si="189"/>
        <v>0</v>
      </c>
    </row>
    <row r="483" spans="1:14" ht="34" outlineLevel="4" x14ac:dyDescent="0.3">
      <c r="A483" s="189" t="s">
        <v>13</v>
      </c>
      <c r="B483" s="392" t="s">
        <v>456</v>
      </c>
      <c r="C483" s="392" t="s">
        <v>109</v>
      </c>
      <c r="D483" s="392" t="s">
        <v>483</v>
      </c>
      <c r="E483" s="392" t="s">
        <v>14</v>
      </c>
      <c r="F483" s="475">
        <v>2497158.35</v>
      </c>
      <c r="G483" s="449">
        <f>'потребность 2023 (5)'!K518</f>
        <v>2537974.2999999998</v>
      </c>
      <c r="H483" s="449"/>
      <c r="I483" s="449">
        <v>2639493.27</v>
      </c>
      <c r="J483" s="449">
        <v>2872093.52</v>
      </c>
      <c r="K483" s="462">
        <f t="shared" si="190"/>
        <v>113.16479918650084</v>
      </c>
      <c r="L483" s="462">
        <f t="shared" si="191"/>
        <v>334119.2200000002</v>
      </c>
      <c r="M483" s="449">
        <v>2872093.52</v>
      </c>
      <c r="N483" s="178">
        <f t="shared" si="189"/>
        <v>0</v>
      </c>
    </row>
    <row r="484" spans="1:14" ht="67.95" outlineLevel="5" x14ac:dyDescent="0.3">
      <c r="A484" s="189" t="s">
        <v>449</v>
      </c>
      <c r="B484" s="392" t="s">
        <v>456</v>
      </c>
      <c r="C484" s="392" t="s">
        <v>109</v>
      </c>
      <c r="D484" s="392" t="s">
        <v>450</v>
      </c>
      <c r="E484" s="392" t="s">
        <v>6</v>
      </c>
      <c r="F484" s="471">
        <f>F485+F487+F489</f>
        <v>2679350.29</v>
      </c>
      <c r="G484" s="462">
        <f>G485+G487+G489</f>
        <v>2711414</v>
      </c>
      <c r="H484" s="462"/>
      <c r="I484" s="462">
        <f>I485+I487+I489</f>
        <v>2761702.66</v>
      </c>
      <c r="J484" s="462">
        <f>J485+J487+J489</f>
        <v>3103517.57</v>
      </c>
      <c r="K484" s="462">
        <f t="shared" si="190"/>
        <v>114.46122097178815</v>
      </c>
      <c r="L484" s="462">
        <f t="shared" si="191"/>
        <v>392103.56999999983</v>
      </c>
      <c r="M484" s="462">
        <f>M485+M487+M489</f>
        <v>3103517.57</v>
      </c>
      <c r="N484" s="178">
        <f t="shared" si="189"/>
        <v>0</v>
      </c>
    </row>
    <row r="485" spans="1:14" ht="101.9" outlineLevel="6" x14ac:dyDescent="0.3">
      <c r="A485" s="189" t="s">
        <v>11</v>
      </c>
      <c r="B485" s="392" t="s">
        <v>456</v>
      </c>
      <c r="C485" s="392" t="s">
        <v>109</v>
      </c>
      <c r="D485" s="392" t="s">
        <v>450</v>
      </c>
      <c r="E485" s="392" t="s">
        <v>12</v>
      </c>
      <c r="F485" s="471">
        <f>F486</f>
        <v>2488444.35</v>
      </c>
      <c r="G485" s="462">
        <f>G486</f>
        <v>2560414</v>
      </c>
      <c r="H485" s="462"/>
      <c r="I485" s="462">
        <f>I486</f>
        <v>2544862.66</v>
      </c>
      <c r="J485" s="462">
        <f>J486</f>
        <v>2871517.57</v>
      </c>
      <c r="K485" s="462">
        <f t="shared" si="190"/>
        <v>112.15051823650393</v>
      </c>
      <c r="L485" s="462">
        <f t="shared" si="191"/>
        <v>311103.56999999983</v>
      </c>
      <c r="M485" s="462">
        <f>M486</f>
        <v>2871517.57</v>
      </c>
      <c r="N485" s="178">
        <f t="shared" si="189"/>
        <v>0</v>
      </c>
    </row>
    <row r="486" spans="1:14" ht="34" outlineLevel="7" x14ac:dyDescent="0.3">
      <c r="A486" s="189" t="s">
        <v>13</v>
      </c>
      <c r="B486" s="392" t="s">
        <v>456</v>
      </c>
      <c r="C486" s="392" t="s">
        <v>109</v>
      </c>
      <c r="D486" s="392" t="s">
        <v>450</v>
      </c>
      <c r="E486" s="392" t="s">
        <v>14</v>
      </c>
      <c r="F486" s="475">
        <v>2488444.35</v>
      </c>
      <c r="G486" s="462">
        <f>'потребность 2023 (5)'!K521</f>
        <v>2560414</v>
      </c>
      <c r="H486" s="462"/>
      <c r="I486" s="462">
        <v>2544862.66</v>
      </c>
      <c r="J486" s="449">
        <v>2871517.57</v>
      </c>
      <c r="K486" s="462">
        <f t="shared" si="190"/>
        <v>112.15051823650393</v>
      </c>
      <c r="L486" s="462">
        <f t="shared" si="191"/>
        <v>311103.56999999983</v>
      </c>
      <c r="M486" s="449">
        <v>2871517.57</v>
      </c>
      <c r="N486" s="178">
        <f t="shared" si="189"/>
        <v>0</v>
      </c>
    </row>
    <row r="487" spans="1:14" ht="34" outlineLevel="7" x14ac:dyDescent="0.3">
      <c r="A487" s="189" t="s">
        <v>15</v>
      </c>
      <c r="B487" s="392" t="s">
        <v>456</v>
      </c>
      <c r="C487" s="392" t="s">
        <v>109</v>
      </c>
      <c r="D487" s="392" t="s">
        <v>450</v>
      </c>
      <c r="E487" s="392" t="s">
        <v>16</v>
      </c>
      <c r="F487" s="471">
        <f>F488</f>
        <v>190905.94</v>
      </c>
      <c r="G487" s="462">
        <f>G488</f>
        <v>146000</v>
      </c>
      <c r="H487" s="462"/>
      <c r="I487" s="462">
        <f>I488</f>
        <v>211840</v>
      </c>
      <c r="J487" s="462">
        <f>J488</f>
        <v>227000</v>
      </c>
      <c r="K487" s="462">
        <f t="shared" si="190"/>
        <v>155.47945205479451</v>
      </c>
      <c r="L487" s="462">
        <f t="shared" si="191"/>
        <v>81000</v>
      </c>
      <c r="M487" s="462">
        <f>M488</f>
        <v>227000</v>
      </c>
      <c r="N487" s="178">
        <f t="shared" si="189"/>
        <v>0</v>
      </c>
    </row>
    <row r="488" spans="1:14" ht="50.95" outlineLevel="7" x14ac:dyDescent="0.3">
      <c r="A488" s="189" t="s">
        <v>17</v>
      </c>
      <c r="B488" s="392" t="s">
        <v>456</v>
      </c>
      <c r="C488" s="392" t="s">
        <v>109</v>
      </c>
      <c r="D488" s="392" t="s">
        <v>450</v>
      </c>
      <c r="E488" s="392" t="s">
        <v>18</v>
      </c>
      <c r="F488" s="475">
        <v>190905.94</v>
      </c>
      <c r="G488" s="449">
        <f>'потребность 2023 (5)'!K523-20000-80000</f>
        <v>146000</v>
      </c>
      <c r="H488" s="449"/>
      <c r="I488" s="449">
        <v>211840</v>
      </c>
      <c r="J488" s="449">
        <v>227000</v>
      </c>
      <c r="K488" s="462">
        <f t="shared" si="190"/>
        <v>155.47945205479451</v>
      </c>
      <c r="L488" s="462">
        <f t="shared" si="191"/>
        <v>81000</v>
      </c>
      <c r="M488" s="449">
        <v>227000</v>
      </c>
      <c r="N488" s="178">
        <f t="shared" si="189"/>
        <v>0</v>
      </c>
    </row>
    <row r="489" spans="1:14" outlineLevel="2" x14ac:dyDescent="0.3">
      <c r="A489" s="189" t="s">
        <v>19</v>
      </c>
      <c r="B489" s="392" t="s">
        <v>456</v>
      </c>
      <c r="C489" s="392" t="s">
        <v>109</v>
      </c>
      <c r="D489" s="392" t="s">
        <v>450</v>
      </c>
      <c r="E489" s="392" t="s">
        <v>20</v>
      </c>
      <c r="F489" s="471">
        <f>F490</f>
        <v>0</v>
      </c>
      <c r="G489" s="462">
        <f>G490</f>
        <v>5000</v>
      </c>
      <c r="H489" s="462"/>
      <c r="I489" s="462">
        <f>I490</f>
        <v>5000</v>
      </c>
      <c r="J489" s="462">
        <f>J490</f>
        <v>5000</v>
      </c>
      <c r="K489" s="462">
        <f t="shared" si="190"/>
        <v>100</v>
      </c>
      <c r="L489" s="462">
        <f t="shared" si="191"/>
        <v>0</v>
      </c>
      <c r="M489" s="462">
        <f>M490</f>
        <v>5000</v>
      </c>
      <c r="N489" s="178">
        <f t="shared" si="189"/>
        <v>0</v>
      </c>
    </row>
    <row r="490" spans="1:14" s="224" customFormat="1" outlineLevel="3" x14ac:dyDescent="0.3">
      <c r="A490" s="189" t="s">
        <v>21</v>
      </c>
      <c r="B490" s="392" t="s">
        <v>456</v>
      </c>
      <c r="C490" s="392" t="s">
        <v>109</v>
      </c>
      <c r="D490" s="392" t="s">
        <v>450</v>
      </c>
      <c r="E490" s="392" t="s">
        <v>22</v>
      </c>
      <c r="F490" s="500">
        <v>0</v>
      </c>
      <c r="G490" s="449">
        <f>'потребность 2023 (5)'!K525</f>
        <v>5000</v>
      </c>
      <c r="H490" s="449"/>
      <c r="I490" s="449">
        <v>5000</v>
      </c>
      <c r="J490" s="467">
        <v>5000</v>
      </c>
      <c r="K490" s="462">
        <f t="shared" si="190"/>
        <v>100</v>
      </c>
      <c r="L490" s="462">
        <f t="shared" si="191"/>
        <v>0</v>
      </c>
      <c r="M490" s="467">
        <v>5000</v>
      </c>
      <c r="N490" s="178">
        <f t="shared" si="189"/>
        <v>0</v>
      </c>
    </row>
    <row r="491" spans="1:14" ht="34" outlineLevel="4" x14ac:dyDescent="0.3">
      <c r="A491" s="189" t="s">
        <v>485</v>
      </c>
      <c r="B491" s="392" t="s">
        <v>456</v>
      </c>
      <c r="C491" s="392" t="s">
        <v>109</v>
      </c>
      <c r="D491" s="392" t="s">
        <v>484</v>
      </c>
      <c r="E491" s="392" t="s">
        <v>6</v>
      </c>
      <c r="F491" s="471">
        <f>F492</f>
        <v>180000</v>
      </c>
      <c r="G491" s="462">
        <f t="shared" ref="G491:J492" si="206">G492</f>
        <v>180000</v>
      </c>
      <c r="H491" s="462"/>
      <c r="I491" s="462">
        <f t="shared" si="206"/>
        <v>180000</v>
      </c>
      <c r="J491" s="462">
        <f t="shared" si="206"/>
        <v>180000</v>
      </c>
      <c r="K491" s="462">
        <f t="shared" si="190"/>
        <v>100</v>
      </c>
      <c r="L491" s="462">
        <f t="shared" si="191"/>
        <v>0</v>
      </c>
      <c r="M491" s="462">
        <f t="shared" ref="M491:M492" si="207">M492</f>
        <v>180000</v>
      </c>
      <c r="N491" s="178">
        <f t="shared" si="189"/>
        <v>0</v>
      </c>
    </row>
    <row r="492" spans="1:14" ht="101.9" outlineLevel="5" x14ac:dyDescent="0.3">
      <c r="A492" s="189" t="s">
        <v>11</v>
      </c>
      <c r="B492" s="392" t="s">
        <v>456</v>
      </c>
      <c r="C492" s="392" t="s">
        <v>109</v>
      </c>
      <c r="D492" s="392" t="s">
        <v>484</v>
      </c>
      <c r="E492" s="392" t="s">
        <v>12</v>
      </c>
      <c r="F492" s="471">
        <f>F493</f>
        <v>180000</v>
      </c>
      <c r="G492" s="462">
        <f t="shared" si="206"/>
        <v>180000</v>
      </c>
      <c r="H492" s="462"/>
      <c r="I492" s="462">
        <f t="shared" si="206"/>
        <v>180000</v>
      </c>
      <c r="J492" s="462">
        <f t="shared" si="206"/>
        <v>180000</v>
      </c>
      <c r="K492" s="462">
        <f t="shared" si="190"/>
        <v>100</v>
      </c>
      <c r="L492" s="462">
        <f t="shared" si="191"/>
        <v>0</v>
      </c>
      <c r="M492" s="462">
        <f t="shared" si="207"/>
        <v>180000</v>
      </c>
      <c r="N492" s="178">
        <f t="shared" si="189"/>
        <v>0</v>
      </c>
    </row>
    <row r="493" spans="1:14" ht="31.75" customHeight="1" outlineLevel="6" x14ac:dyDescent="0.3">
      <c r="A493" s="189" t="s">
        <v>13</v>
      </c>
      <c r="B493" s="392" t="s">
        <v>456</v>
      </c>
      <c r="C493" s="392" t="s">
        <v>109</v>
      </c>
      <c r="D493" s="392" t="s">
        <v>484</v>
      </c>
      <c r="E493" s="392" t="s">
        <v>14</v>
      </c>
      <c r="F493" s="475">
        <v>180000</v>
      </c>
      <c r="G493" s="449">
        <f>'потребность 2023 (5)'!K528</f>
        <v>180000</v>
      </c>
      <c r="H493" s="449"/>
      <c r="I493" s="449">
        <v>180000</v>
      </c>
      <c r="J493" s="462">
        <v>180000</v>
      </c>
      <c r="K493" s="462">
        <f t="shared" si="190"/>
        <v>100</v>
      </c>
      <c r="L493" s="462">
        <f t="shared" si="191"/>
        <v>0</v>
      </c>
      <c r="M493" s="462">
        <v>180000</v>
      </c>
      <c r="N493" s="178">
        <f t="shared" si="189"/>
        <v>0</v>
      </c>
    </row>
    <row r="494" spans="1:14" s="461" customFormat="1" x14ac:dyDescent="0.3">
      <c r="A494" s="189" t="s">
        <v>23</v>
      </c>
      <c r="B494" s="392" t="s">
        <v>456</v>
      </c>
      <c r="C494" s="392" t="s">
        <v>24</v>
      </c>
      <c r="D494" s="392" t="s">
        <v>126</v>
      </c>
      <c r="E494" s="392" t="s">
        <v>6</v>
      </c>
      <c r="F494" s="471">
        <f>F495+F500</f>
        <v>152745.5</v>
      </c>
      <c r="G494" s="462">
        <f>G495+G500</f>
        <v>217280</v>
      </c>
      <c r="H494" s="462"/>
      <c r="I494" s="462">
        <f>I495+I500</f>
        <v>142772</v>
      </c>
      <c r="J494" s="462">
        <f>J495+J500</f>
        <v>153000</v>
      </c>
      <c r="K494" s="462">
        <f t="shared" si="190"/>
        <v>70.416053019145807</v>
      </c>
      <c r="L494" s="462">
        <f t="shared" si="191"/>
        <v>-64280</v>
      </c>
      <c r="M494" s="462">
        <f>M495+M500</f>
        <v>153000</v>
      </c>
      <c r="N494" s="178">
        <f t="shared" si="189"/>
        <v>0</v>
      </c>
    </row>
    <row r="495" spans="1:14" s="224" customFormat="1" ht="50.95" outlineLevel="1" x14ac:dyDescent="0.3">
      <c r="A495" s="233" t="s">
        <v>1020</v>
      </c>
      <c r="B495" s="397" t="s">
        <v>456</v>
      </c>
      <c r="C495" s="397" t="s">
        <v>24</v>
      </c>
      <c r="D495" s="397" t="s">
        <v>128</v>
      </c>
      <c r="E495" s="397" t="s">
        <v>6</v>
      </c>
      <c r="F495" s="473">
        <f t="shared" ref="F495:J498" si="208">F496</f>
        <v>0</v>
      </c>
      <c r="G495" s="465">
        <f t="shared" si="208"/>
        <v>13620</v>
      </c>
      <c r="H495" s="465"/>
      <c r="I495" s="465">
        <f t="shared" si="208"/>
        <v>34612</v>
      </c>
      <c r="J495" s="462">
        <f t="shared" si="208"/>
        <v>21000</v>
      </c>
      <c r="K495" s="462">
        <f t="shared" si="190"/>
        <v>154.18502202643171</v>
      </c>
      <c r="L495" s="462">
        <f t="shared" si="191"/>
        <v>7380</v>
      </c>
      <c r="M495" s="462">
        <f t="shared" ref="M495:M498" si="209">M496</f>
        <v>21000</v>
      </c>
      <c r="N495" s="178">
        <f t="shared" si="189"/>
        <v>0</v>
      </c>
    </row>
    <row r="496" spans="1:14" ht="50.95" outlineLevel="2" x14ac:dyDescent="0.3">
      <c r="A496" s="189" t="s">
        <v>729</v>
      </c>
      <c r="B496" s="392" t="s">
        <v>456</v>
      </c>
      <c r="C496" s="392" t="s">
        <v>24</v>
      </c>
      <c r="D496" s="392" t="s">
        <v>303</v>
      </c>
      <c r="E496" s="392" t="s">
        <v>6</v>
      </c>
      <c r="F496" s="471">
        <f t="shared" si="208"/>
        <v>0</v>
      </c>
      <c r="G496" s="462">
        <f t="shared" si="208"/>
        <v>13620</v>
      </c>
      <c r="H496" s="462"/>
      <c r="I496" s="462">
        <f t="shared" si="208"/>
        <v>34612</v>
      </c>
      <c r="J496" s="462">
        <f t="shared" si="208"/>
        <v>21000</v>
      </c>
      <c r="K496" s="462">
        <f t="shared" si="190"/>
        <v>154.18502202643171</v>
      </c>
      <c r="L496" s="462">
        <f t="shared" si="191"/>
        <v>7380</v>
      </c>
      <c r="M496" s="462">
        <f t="shared" si="209"/>
        <v>21000</v>
      </c>
      <c r="N496" s="178">
        <f t="shared" si="189"/>
        <v>0</v>
      </c>
    </row>
    <row r="497" spans="1:14" s="224" customFormat="1" outlineLevel="3" x14ac:dyDescent="0.3">
      <c r="A497" s="189" t="s">
        <v>309</v>
      </c>
      <c r="B497" s="392" t="s">
        <v>456</v>
      </c>
      <c r="C497" s="392" t="s">
        <v>24</v>
      </c>
      <c r="D497" s="392" t="s">
        <v>304</v>
      </c>
      <c r="E497" s="392" t="s">
        <v>6</v>
      </c>
      <c r="F497" s="471">
        <f t="shared" si="208"/>
        <v>0</v>
      </c>
      <c r="G497" s="462">
        <f t="shared" si="208"/>
        <v>13620</v>
      </c>
      <c r="H497" s="462"/>
      <c r="I497" s="462">
        <f t="shared" si="208"/>
        <v>34612</v>
      </c>
      <c r="J497" s="462">
        <f t="shared" si="208"/>
        <v>21000</v>
      </c>
      <c r="K497" s="462">
        <f t="shared" si="190"/>
        <v>154.18502202643171</v>
      </c>
      <c r="L497" s="462">
        <f t="shared" si="191"/>
        <v>7380</v>
      </c>
      <c r="M497" s="462">
        <f t="shared" si="209"/>
        <v>21000</v>
      </c>
      <c r="N497" s="178">
        <f t="shared" si="189"/>
        <v>0</v>
      </c>
    </row>
    <row r="498" spans="1:14" ht="34" outlineLevel="4" x14ac:dyDescent="0.3">
      <c r="A498" s="189" t="s">
        <v>15</v>
      </c>
      <c r="B498" s="392" t="s">
        <v>456</v>
      </c>
      <c r="C498" s="392" t="s">
        <v>24</v>
      </c>
      <c r="D498" s="392" t="s">
        <v>304</v>
      </c>
      <c r="E498" s="392" t="s">
        <v>16</v>
      </c>
      <c r="F498" s="471">
        <f t="shared" si="208"/>
        <v>0</v>
      </c>
      <c r="G498" s="462">
        <f t="shared" si="208"/>
        <v>13620</v>
      </c>
      <c r="H498" s="462"/>
      <c r="I498" s="462">
        <f t="shared" si="208"/>
        <v>34612</v>
      </c>
      <c r="J498" s="462">
        <f t="shared" si="208"/>
        <v>21000</v>
      </c>
      <c r="K498" s="462">
        <f t="shared" si="190"/>
        <v>154.18502202643171</v>
      </c>
      <c r="L498" s="462">
        <f t="shared" si="191"/>
        <v>7380</v>
      </c>
      <c r="M498" s="462">
        <f t="shared" si="209"/>
        <v>21000</v>
      </c>
      <c r="N498" s="178">
        <f t="shared" si="189"/>
        <v>0</v>
      </c>
    </row>
    <row r="499" spans="1:14" ht="50.95" outlineLevel="4" x14ac:dyDescent="0.3">
      <c r="A499" s="189" t="s">
        <v>17</v>
      </c>
      <c r="B499" s="392" t="s">
        <v>456</v>
      </c>
      <c r="C499" s="392" t="s">
        <v>24</v>
      </c>
      <c r="D499" s="392" t="s">
        <v>304</v>
      </c>
      <c r="E499" s="392" t="s">
        <v>18</v>
      </c>
      <c r="F499" s="486">
        <v>0</v>
      </c>
      <c r="G499" s="462">
        <f>'потребность 2023 (5)'!K539-19660</f>
        <v>13620</v>
      </c>
      <c r="H499" s="462"/>
      <c r="I499" s="462">
        <v>34612</v>
      </c>
      <c r="J499" s="449">
        <v>21000</v>
      </c>
      <c r="K499" s="462">
        <f t="shared" si="190"/>
        <v>154.18502202643171</v>
      </c>
      <c r="L499" s="462">
        <f t="shared" si="191"/>
        <v>7380</v>
      </c>
      <c r="M499" s="449">
        <v>21000</v>
      </c>
      <c r="N499" s="178">
        <f t="shared" si="189"/>
        <v>0</v>
      </c>
    </row>
    <row r="500" spans="1:14" ht="34" outlineLevel="5" x14ac:dyDescent="0.3">
      <c r="A500" s="233" t="s">
        <v>132</v>
      </c>
      <c r="B500" s="397" t="s">
        <v>456</v>
      </c>
      <c r="C500" s="397" t="s">
        <v>24</v>
      </c>
      <c r="D500" s="397" t="s">
        <v>127</v>
      </c>
      <c r="E500" s="397" t="s">
        <v>6</v>
      </c>
      <c r="F500" s="477">
        <f t="shared" ref="F500:J502" si="210">F501</f>
        <v>152745.5</v>
      </c>
      <c r="G500" s="467">
        <f t="shared" si="210"/>
        <v>203660</v>
      </c>
      <c r="H500" s="467"/>
      <c r="I500" s="467">
        <f t="shared" si="210"/>
        <v>108160</v>
      </c>
      <c r="J500" s="467">
        <f t="shared" si="210"/>
        <v>132000</v>
      </c>
      <c r="K500" s="462">
        <f t="shared" si="190"/>
        <v>64.813905528822545</v>
      </c>
      <c r="L500" s="462">
        <f t="shared" si="191"/>
        <v>-71660</v>
      </c>
      <c r="M500" s="467">
        <f t="shared" ref="M500:M502" si="211">M501</f>
        <v>132000</v>
      </c>
      <c r="N500" s="178">
        <f t="shared" si="189"/>
        <v>0</v>
      </c>
    </row>
    <row r="501" spans="1:14" ht="34" outlineLevel="6" x14ac:dyDescent="0.3">
      <c r="A501" s="189" t="s">
        <v>486</v>
      </c>
      <c r="B501" s="392" t="s">
        <v>456</v>
      </c>
      <c r="C501" s="392" t="s">
        <v>24</v>
      </c>
      <c r="D501" s="240">
        <v>9909970201</v>
      </c>
      <c r="E501" s="392" t="s">
        <v>6</v>
      </c>
      <c r="F501" s="476">
        <f t="shared" si="210"/>
        <v>152745.5</v>
      </c>
      <c r="G501" s="449">
        <f t="shared" si="210"/>
        <v>203660</v>
      </c>
      <c r="H501" s="449"/>
      <c r="I501" s="449">
        <f t="shared" si="210"/>
        <v>108160</v>
      </c>
      <c r="J501" s="449">
        <f t="shared" si="210"/>
        <v>132000</v>
      </c>
      <c r="K501" s="462">
        <f t="shared" si="190"/>
        <v>64.813905528822545</v>
      </c>
      <c r="L501" s="462">
        <f t="shared" si="191"/>
        <v>-71660</v>
      </c>
      <c r="M501" s="449">
        <f t="shared" si="211"/>
        <v>132000</v>
      </c>
      <c r="N501" s="178">
        <f t="shared" si="189"/>
        <v>0</v>
      </c>
    </row>
    <row r="502" spans="1:14" ht="34" outlineLevel="7" x14ac:dyDescent="0.3">
      <c r="A502" s="189" t="s">
        <v>15</v>
      </c>
      <c r="B502" s="392" t="s">
        <v>456</v>
      </c>
      <c r="C502" s="392" t="s">
        <v>24</v>
      </c>
      <c r="D502" s="240">
        <v>9909970201</v>
      </c>
      <c r="E502" s="392" t="s">
        <v>16</v>
      </c>
      <c r="F502" s="476">
        <f t="shared" si="210"/>
        <v>152745.5</v>
      </c>
      <c r="G502" s="449">
        <f t="shared" si="210"/>
        <v>203660</v>
      </c>
      <c r="H502" s="449"/>
      <c r="I502" s="449">
        <f t="shared" si="210"/>
        <v>108160</v>
      </c>
      <c r="J502" s="449">
        <f t="shared" si="210"/>
        <v>132000</v>
      </c>
      <c r="K502" s="462">
        <f t="shared" si="190"/>
        <v>64.813905528822545</v>
      </c>
      <c r="L502" s="462">
        <f t="shared" si="191"/>
        <v>-71660</v>
      </c>
      <c r="M502" s="449">
        <f t="shared" si="211"/>
        <v>132000</v>
      </c>
      <c r="N502" s="178">
        <f t="shared" si="189"/>
        <v>0</v>
      </c>
    </row>
    <row r="503" spans="1:14" ht="45" customHeight="1" outlineLevel="7" x14ac:dyDescent="0.3">
      <c r="A503" s="189" t="s">
        <v>17</v>
      </c>
      <c r="B503" s="392" t="s">
        <v>456</v>
      </c>
      <c r="C503" s="392" t="s">
        <v>24</v>
      </c>
      <c r="D503" s="240">
        <v>9909970201</v>
      </c>
      <c r="E503" s="392" t="s">
        <v>18</v>
      </c>
      <c r="F503" s="475">
        <v>152745.5</v>
      </c>
      <c r="G503" s="462">
        <f>'потребность 2023 (5)'!K543+99660</f>
        <v>203660</v>
      </c>
      <c r="H503" s="462"/>
      <c r="I503" s="462">
        <v>108160</v>
      </c>
      <c r="J503" s="449">
        <v>132000</v>
      </c>
      <c r="K503" s="462">
        <f t="shared" si="190"/>
        <v>64.813905528822545</v>
      </c>
      <c r="L503" s="462">
        <f t="shared" si="191"/>
        <v>-71660</v>
      </c>
      <c r="M503" s="449">
        <v>132000</v>
      </c>
      <c r="N503" s="178">
        <f t="shared" si="189"/>
        <v>0</v>
      </c>
    </row>
    <row r="504" spans="1:14" ht="50.95" outlineLevel="7" x14ac:dyDescent="0.3">
      <c r="A504" s="186" t="s">
        <v>498</v>
      </c>
      <c r="B504" s="458" t="s">
        <v>490</v>
      </c>
      <c r="C504" s="458" t="s">
        <v>5</v>
      </c>
      <c r="D504" s="458" t="s">
        <v>126</v>
      </c>
      <c r="E504" s="458" t="s">
        <v>6</v>
      </c>
      <c r="F504" s="481" t="e">
        <f>F505+F631+F647</f>
        <v>#REF!</v>
      </c>
      <c r="G504" s="459" t="e">
        <f>G505+G666+G682</f>
        <v>#REF!</v>
      </c>
      <c r="H504" s="459"/>
      <c r="I504" s="459" t="e">
        <f>I505+I666+I682</f>
        <v>#REF!</v>
      </c>
      <c r="J504" s="459">
        <f>J505+J666+J682</f>
        <v>258983152.15000004</v>
      </c>
      <c r="K504" s="462" t="e">
        <f t="shared" si="190"/>
        <v>#REF!</v>
      </c>
      <c r="L504" s="462" t="e">
        <f t="shared" si="191"/>
        <v>#REF!</v>
      </c>
      <c r="M504" s="459">
        <f>M505+M666+M682</f>
        <v>802768800.99999988</v>
      </c>
      <c r="N504" s="178">
        <f t="shared" ref="N504:N567" si="212">M504-J504</f>
        <v>543785648.8499999</v>
      </c>
    </row>
    <row r="505" spans="1:14" outlineLevel="7" x14ac:dyDescent="0.3">
      <c r="A505" s="233" t="s">
        <v>69</v>
      </c>
      <c r="B505" s="397" t="s">
        <v>490</v>
      </c>
      <c r="C505" s="397" t="s">
        <v>70</v>
      </c>
      <c r="D505" s="397" t="s">
        <v>126</v>
      </c>
      <c r="E505" s="397" t="s">
        <v>6</v>
      </c>
      <c r="F505" s="473" t="e">
        <f>F506+F529+F594+F574</f>
        <v>#REF!</v>
      </c>
      <c r="G505" s="465" t="e">
        <f>G506+G544+G615+G637+G594</f>
        <v>#REF!</v>
      </c>
      <c r="H505" s="465"/>
      <c r="I505" s="465" t="e">
        <f>I506+I544+I615+I637+I594</f>
        <v>#REF!</v>
      </c>
      <c r="J505" s="465">
        <f>J506+J544+J615+J637+J594</f>
        <v>257083152.15000004</v>
      </c>
      <c r="K505" s="462" t="e">
        <f t="shared" ref="K505:K568" si="213">J505/G505*100</f>
        <v>#REF!</v>
      </c>
      <c r="L505" s="462" t="e">
        <f t="shared" ref="L505:L568" si="214">J505-G505</f>
        <v>#REF!</v>
      </c>
      <c r="M505" s="465">
        <f>M506+M544+M615+M637+M594</f>
        <v>795783389.99999988</v>
      </c>
      <c r="N505" s="178">
        <f t="shared" si="212"/>
        <v>538700237.8499999</v>
      </c>
    </row>
    <row r="506" spans="1:14" outlineLevel="7" x14ac:dyDescent="0.3">
      <c r="A506" s="189" t="s">
        <v>110</v>
      </c>
      <c r="B506" s="392" t="s">
        <v>490</v>
      </c>
      <c r="C506" s="392" t="s">
        <v>111</v>
      </c>
      <c r="D506" s="392" t="s">
        <v>126</v>
      </c>
      <c r="E506" s="392" t="s">
        <v>6</v>
      </c>
      <c r="F506" s="471">
        <f>F507</f>
        <v>43562077.859999999</v>
      </c>
      <c r="G506" s="462">
        <f t="shared" ref="G506:J507" si="215">G507</f>
        <v>60001396.549999997</v>
      </c>
      <c r="H506" s="462"/>
      <c r="I506" s="462">
        <f t="shared" si="215"/>
        <v>49423001.300000004</v>
      </c>
      <c r="J506" s="462">
        <f t="shared" si="215"/>
        <v>60251377.210000001</v>
      </c>
      <c r="K506" s="462">
        <f t="shared" si="213"/>
        <v>100.41662473604542</v>
      </c>
      <c r="L506" s="462">
        <f t="shared" si="214"/>
        <v>249980.66000000387</v>
      </c>
      <c r="M506" s="462">
        <f t="shared" ref="M506:M507" si="216">M507</f>
        <v>159500434.18000001</v>
      </c>
      <c r="N506" s="178">
        <f t="shared" si="212"/>
        <v>99249056.969999999</v>
      </c>
    </row>
    <row r="507" spans="1:14" ht="50.95" outlineLevel="7" x14ac:dyDescent="0.3">
      <c r="A507" s="233" t="s">
        <v>1017</v>
      </c>
      <c r="B507" s="397" t="s">
        <v>490</v>
      </c>
      <c r="C507" s="397" t="s">
        <v>111</v>
      </c>
      <c r="D507" s="397" t="s">
        <v>138</v>
      </c>
      <c r="E507" s="397" t="s">
        <v>6</v>
      </c>
      <c r="F507" s="473">
        <f>F508</f>
        <v>43562077.859999999</v>
      </c>
      <c r="G507" s="465">
        <f t="shared" si="215"/>
        <v>60001396.549999997</v>
      </c>
      <c r="H507" s="465"/>
      <c r="I507" s="465">
        <f t="shared" si="215"/>
        <v>49423001.300000004</v>
      </c>
      <c r="J507" s="465">
        <f t="shared" si="215"/>
        <v>60251377.210000001</v>
      </c>
      <c r="K507" s="462">
        <f t="shared" si="213"/>
        <v>100.41662473604542</v>
      </c>
      <c r="L507" s="462">
        <f t="shared" si="214"/>
        <v>249980.66000000387</v>
      </c>
      <c r="M507" s="465">
        <f t="shared" si="216"/>
        <v>159500434.18000001</v>
      </c>
      <c r="N507" s="178">
        <f t="shared" si="212"/>
        <v>99249056.969999999</v>
      </c>
    </row>
    <row r="508" spans="1:14" ht="50.95" outlineLevel="7" x14ac:dyDescent="0.3">
      <c r="A508" s="189" t="s">
        <v>1038</v>
      </c>
      <c r="B508" s="392" t="s">
        <v>490</v>
      </c>
      <c r="C508" s="392" t="s">
        <v>111</v>
      </c>
      <c r="D508" s="392" t="s">
        <v>139</v>
      </c>
      <c r="E508" s="392" t="s">
        <v>6</v>
      </c>
      <c r="F508" s="471">
        <f>F509+F516</f>
        <v>43562077.859999999</v>
      </c>
      <c r="G508" s="462">
        <f>G509+G516</f>
        <v>60001396.549999997</v>
      </c>
      <c r="H508" s="462"/>
      <c r="I508" s="462">
        <f>I509+I516</f>
        <v>49423001.300000004</v>
      </c>
      <c r="J508" s="462">
        <f>J509+J516</f>
        <v>60251377.210000001</v>
      </c>
      <c r="K508" s="462">
        <f t="shared" si="213"/>
        <v>100.41662473604542</v>
      </c>
      <c r="L508" s="462">
        <f t="shared" si="214"/>
        <v>249980.66000000387</v>
      </c>
      <c r="M508" s="462">
        <f>M509+M516</f>
        <v>159500434.18000001</v>
      </c>
      <c r="N508" s="178">
        <f t="shared" si="212"/>
        <v>99249056.969999999</v>
      </c>
    </row>
    <row r="509" spans="1:14" ht="50.95" outlineLevel="7" x14ac:dyDescent="0.3">
      <c r="A509" s="189" t="s">
        <v>200</v>
      </c>
      <c r="B509" s="392" t="s">
        <v>490</v>
      </c>
      <c r="C509" s="392" t="s">
        <v>111</v>
      </c>
      <c r="D509" s="392" t="s">
        <v>216</v>
      </c>
      <c r="E509" s="392" t="s">
        <v>6</v>
      </c>
      <c r="F509" s="471">
        <f>F510+F513</f>
        <v>43562077.859999999</v>
      </c>
      <c r="G509" s="462">
        <f>G510+G513</f>
        <v>52633669.18</v>
      </c>
      <c r="H509" s="462"/>
      <c r="I509" s="462">
        <f>I510+I513</f>
        <v>48688062.090000004</v>
      </c>
      <c r="J509" s="462">
        <f>J510+J513</f>
        <v>59616438</v>
      </c>
      <c r="K509" s="462">
        <f t="shared" si="213"/>
        <v>113.26673387735877</v>
      </c>
      <c r="L509" s="462">
        <f t="shared" si="214"/>
        <v>6982768.8200000003</v>
      </c>
      <c r="M509" s="462">
        <f>M510+M513</f>
        <v>159342434.18000001</v>
      </c>
      <c r="N509" s="178">
        <f t="shared" si="212"/>
        <v>99725996.180000007</v>
      </c>
    </row>
    <row r="510" spans="1:14" ht="67.95" outlineLevel="7" x14ac:dyDescent="0.3">
      <c r="A510" s="189" t="s">
        <v>113</v>
      </c>
      <c r="B510" s="392" t="s">
        <v>490</v>
      </c>
      <c r="C510" s="392" t="s">
        <v>111</v>
      </c>
      <c r="D510" s="392" t="s">
        <v>144</v>
      </c>
      <c r="E510" s="392" t="s">
        <v>6</v>
      </c>
      <c r="F510" s="471">
        <f>F511</f>
        <v>43562077.859999999</v>
      </c>
      <c r="G510" s="462">
        <f t="shared" ref="G510:J511" si="217">G511</f>
        <v>52633669.18</v>
      </c>
      <c r="H510" s="462"/>
      <c r="I510" s="462">
        <f t="shared" si="217"/>
        <v>48688062.090000004</v>
      </c>
      <c r="J510" s="462">
        <f t="shared" si="217"/>
        <v>59616438</v>
      </c>
      <c r="K510" s="462">
        <f t="shared" si="213"/>
        <v>113.26673387735877</v>
      </c>
      <c r="L510" s="462">
        <f t="shared" si="214"/>
        <v>6982768.8200000003</v>
      </c>
      <c r="M510" s="462">
        <f t="shared" ref="M510:M511" si="218">M511</f>
        <v>54428438.18</v>
      </c>
      <c r="N510" s="178">
        <f t="shared" si="212"/>
        <v>-5187999.82</v>
      </c>
    </row>
    <row r="511" spans="1:14" ht="50.95" outlineLevel="7" x14ac:dyDescent="0.3">
      <c r="A511" s="189" t="s">
        <v>37</v>
      </c>
      <c r="B511" s="392" t="s">
        <v>490</v>
      </c>
      <c r="C511" s="392" t="s">
        <v>111</v>
      </c>
      <c r="D511" s="392" t="s">
        <v>144</v>
      </c>
      <c r="E511" s="392" t="s">
        <v>38</v>
      </c>
      <c r="F511" s="471">
        <f>F512</f>
        <v>43562077.859999999</v>
      </c>
      <c r="G511" s="462">
        <f t="shared" si="217"/>
        <v>52633669.18</v>
      </c>
      <c r="H511" s="462"/>
      <c r="I511" s="462">
        <f t="shared" si="217"/>
        <v>48688062.090000004</v>
      </c>
      <c r="J511" s="462">
        <f t="shared" si="217"/>
        <v>59616438</v>
      </c>
      <c r="K511" s="462">
        <f t="shared" si="213"/>
        <v>113.26673387735877</v>
      </c>
      <c r="L511" s="462">
        <f t="shared" si="214"/>
        <v>6982768.8200000003</v>
      </c>
      <c r="M511" s="462">
        <f t="shared" si="218"/>
        <v>54428438.18</v>
      </c>
      <c r="N511" s="178">
        <f t="shared" si="212"/>
        <v>-5187999.82</v>
      </c>
    </row>
    <row r="512" spans="1:14" outlineLevel="7" x14ac:dyDescent="0.3">
      <c r="A512" s="189" t="s">
        <v>74</v>
      </c>
      <c r="B512" s="392" t="s">
        <v>490</v>
      </c>
      <c r="C512" s="392" t="s">
        <v>111</v>
      </c>
      <c r="D512" s="392" t="s">
        <v>144</v>
      </c>
      <c r="E512" s="392" t="s">
        <v>75</v>
      </c>
      <c r="F512" s="475">
        <v>43562077.859999999</v>
      </c>
      <c r="G512" s="449">
        <f>'потребность 2023 (5)'!K557+3522880-390000+581100+3.88</f>
        <v>52633669.18</v>
      </c>
      <c r="H512" s="449"/>
      <c r="I512" s="449">
        <v>48688062.090000004</v>
      </c>
      <c r="J512" s="449">
        <v>59616438</v>
      </c>
      <c r="K512" s="462">
        <f t="shared" si="213"/>
        <v>113.26673387735877</v>
      </c>
      <c r="L512" s="462">
        <f t="shared" si="214"/>
        <v>6982768.8200000003</v>
      </c>
      <c r="M512" s="449">
        <f>59616438-1423000-4241939.03+476939.21</f>
        <v>54428438.18</v>
      </c>
      <c r="N512" s="178">
        <f t="shared" si="212"/>
        <v>-5187999.82</v>
      </c>
    </row>
    <row r="513" spans="1:14" ht="84.9" outlineLevel="7" x14ac:dyDescent="0.3">
      <c r="A513" s="202" t="s">
        <v>935</v>
      </c>
      <c r="B513" s="392" t="s">
        <v>490</v>
      </c>
      <c r="C513" s="392" t="s">
        <v>111</v>
      </c>
      <c r="D513" s="392" t="s">
        <v>145</v>
      </c>
      <c r="E513" s="392" t="s">
        <v>6</v>
      </c>
      <c r="F513" s="471">
        <f>F514</f>
        <v>0</v>
      </c>
      <c r="G513" s="462">
        <f t="shared" ref="G513:J514" si="219">G514</f>
        <v>0</v>
      </c>
      <c r="H513" s="462"/>
      <c r="I513" s="462">
        <f t="shared" si="219"/>
        <v>0</v>
      </c>
      <c r="J513" s="462">
        <f t="shared" si="219"/>
        <v>0</v>
      </c>
      <c r="K513" s="462" t="e">
        <f t="shared" si="213"/>
        <v>#DIV/0!</v>
      </c>
      <c r="L513" s="462">
        <f t="shared" si="214"/>
        <v>0</v>
      </c>
      <c r="M513" s="462">
        <f t="shared" ref="M513:M514" si="220">M514</f>
        <v>104913996</v>
      </c>
      <c r="N513" s="178">
        <f t="shared" si="212"/>
        <v>104913996</v>
      </c>
    </row>
    <row r="514" spans="1:14" ht="50.95" outlineLevel="7" x14ac:dyDescent="0.3">
      <c r="A514" s="189" t="s">
        <v>37</v>
      </c>
      <c r="B514" s="392" t="s">
        <v>490</v>
      </c>
      <c r="C514" s="392" t="s">
        <v>111</v>
      </c>
      <c r="D514" s="392" t="s">
        <v>145</v>
      </c>
      <c r="E514" s="392" t="s">
        <v>38</v>
      </c>
      <c r="F514" s="471">
        <f>F515</f>
        <v>0</v>
      </c>
      <c r="G514" s="462">
        <f t="shared" si="219"/>
        <v>0</v>
      </c>
      <c r="H514" s="462"/>
      <c r="I514" s="462">
        <f t="shared" si="219"/>
        <v>0</v>
      </c>
      <c r="J514" s="462">
        <f t="shared" si="219"/>
        <v>0</v>
      </c>
      <c r="K514" s="462" t="e">
        <f t="shared" si="213"/>
        <v>#DIV/0!</v>
      </c>
      <c r="L514" s="462">
        <f t="shared" si="214"/>
        <v>0</v>
      </c>
      <c r="M514" s="462">
        <f t="shared" si="220"/>
        <v>104913996</v>
      </c>
      <c r="N514" s="178">
        <f t="shared" si="212"/>
        <v>104913996</v>
      </c>
    </row>
    <row r="515" spans="1:14" ht="24.8" customHeight="1" outlineLevel="7" x14ac:dyDescent="0.3">
      <c r="A515" s="189" t="s">
        <v>74</v>
      </c>
      <c r="B515" s="392" t="s">
        <v>490</v>
      </c>
      <c r="C515" s="392" t="s">
        <v>111</v>
      </c>
      <c r="D515" s="392" t="s">
        <v>145</v>
      </c>
      <c r="E515" s="392" t="s">
        <v>75</v>
      </c>
      <c r="F515" s="475">
        <v>0</v>
      </c>
      <c r="G515" s="449">
        <v>0</v>
      </c>
      <c r="H515" s="449"/>
      <c r="I515" s="449">
        <v>0</v>
      </c>
      <c r="J515" s="449"/>
      <c r="K515" s="462" t="e">
        <f t="shared" si="213"/>
        <v>#DIV/0!</v>
      </c>
      <c r="L515" s="462">
        <f t="shared" si="214"/>
        <v>0</v>
      </c>
      <c r="M515" s="449">
        <v>104913996</v>
      </c>
      <c r="N515" s="178">
        <f t="shared" si="212"/>
        <v>104913996</v>
      </c>
    </row>
    <row r="516" spans="1:14" ht="34" outlineLevel="7" x14ac:dyDescent="0.3">
      <c r="A516" s="189" t="s">
        <v>201</v>
      </c>
      <c r="B516" s="392" t="s">
        <v>490</v>
      </c>
      <c r="C516" s="392" t="s">
        <v>111</v>
      </c>
      <c r="D516" s="392" t="s">
        <v>218</v>
      </c>
      <c r="E516" s="392" t="s">
        <v>6</v>
      </c>
      <c r="F516" s="462"/>
      <c r="G516" s="449">
        <f>G541+G517+G520+G523+G532+G535+G529+G526</f>
        <v>7367727.3700000001</v>
      </c>
      <c r="H516" s="449"/>
      <c r="I516" s="449">
        <f>I541+I517+I520+I523+I532+I535+I529+I526</f>
        <v>734939.21</v>
      </c>
      <c r="J516" s="449">
        <f>J541+J517+J520+J523+J532+J535+J529+J526</f>
        <v>634939.21</v>
      </c>
      <c r="K516" s="462">
        <f t="shared" si="213"/>
        <v>8.6178434422716688</v>
      </c>
      <c r="L516" s="462">
        <f t="shared" si="214"/>
        <v>-6732788.1600000001</v>
      </c>
      <c r="M516" s="449">
        <f>M541+M517+M520+M523+M532+M535+M529+M526</f>
        <v>158000</v>
      </c>
      <c r="N516" s="178">
        <f t="shared" si="212"/>
        <v>-476939.20999999996</v>
      </c>
    </row>
    <row r="517" spans="1:14" ht="50.95" outlineLevel="7" x14ac:dyDescent="0.3">
      <c r="A517" s="189" t="s">
        <v>274</v>
      </c>
      <c r="B517" s="392" t="s">
        <v>490</v>
      </c>
      <c r="C517" s="392" t="s">
        <v>111</v>
      </c>
      <c r="D517" s="392" t="s">
        <v>275</v>
      </c>
      <c r="E517" s="392" t="s">
        <v>6</v>
      </c>
      <c r="F517" s="462"/>
      <c r="G517" s="449">
        <f t="shared" ref="G517:J518" si="221">G518</f>
        <v>0</v>
      </c>
      <c r="H517" s="449"/>
      <c r="I517" s="449">
        <f t="shared" si="221"/>
        <v>100000</v>
      </c>
      <c r="J517" s="449">
        <f t="shared" si="221"/>
        <v>0</v>
      </c>
      <c r="K517" s="462" t="e">
        <f t="shared" si="213"/>
        <v>#DIV/0!</v>
      </c>
      <c r="L517" s="462">
        <f t="shared" si="214"/>
        <v>0</v>
      </c>
      <c r="M517" s="449">
        <f t="shared" ref="M517:M518" si="222">M518</f>
        <v>0</v>
      </c>
      <c r="N517" s="178">
        <f t="shared" si="212"/>
        <v>0</v>
      </c>
    </row>
    <row r="518" spans="1:14" ht="22.75" customHeight="1" outlineLevel="7" x14ac:dyDescent="0.3">
      <c r="A518" s="189" t="s">
        <v>37</v>
      </c>
      <c r="B518" s="392" t="s">
        <v>490</v>
      </c>
      <c r="C518" s="392" t="s">
        <v>111</v>
      </c>
      <c r="D518" s="392" t="s">
        <v>275</v>
      </c>
      <c r="E518" s="392" t="s">
        <v>38</v>
      </c>
      <c r="F518" s="462"/>
      <c r="G518" s="449">
        <f t="shared" si="221"/>
        <v>0</v>
      </c>
      <c r="H518" s="449"/>
      <c r="I518" s="449">
        <f t="shared" si="221"/>
        <v>100000</v>
      </c>
      <c r="J518" s="449">
        <f t="shared" si="221"/>
        <v>0</v>
      </c>
      <c r="K518" s="462" t="e">
        <f t="shared" si="213"/>
        <v>#DIV/0!</v>
      </c>
      <c r="L518" s="462">
        <f t="shared" si="214"/>
        <v>0</v>
      </c>
      <c r="M518" s="449">
        <f t="shared" si="222"/>
        <v>0</v>
      </c>
      <c r="N518" s="178">
        <f t="shared" si="212"/>
        <v>0</v>
      </c>
    </row>
    <row r="519" spans="1:14" outlineLevel="7" x14ac:dyDescent="0.3">
      <c r="A519" s="189" t="s">
        <v>74</v>
      </c>
      <c r="B519" s="392" t="s">
        <v>490</v>
      </c>
      <c r="C519" s="392" t="s">
        <v>111</v>
      </c>
      <c r="D519" s="392" t="s">
        <v>275</v>
      </c>
      <c r="E519" s="392" t="s">
        <v>75</v>
      </c>
      <c r="F519" s="462"/>
      <c r="G519" s="449">
        <f>'потребность 2023 (5)'!K564-100000</f>
        <v>0</v>
      </c>
      <c r="H519" s="449"/>
      <c r="I519" s="449">
        <v>100000</v>
      </c>
      <c r="J519" s="449">
        <v>0</v>
      </c>
      <c r="K519" s="462" t="e">
        <f t="shared" si="213"/>
        <v>#DIV/0!</v>
      </c>
      <c r="L519" s="462">
        <f t="shared" si="214"/>
        <v>0</v>
      </c>
      <c r="M519" s="449">
        <v>0</v>
      </c>
      <c r="N519" s="178">
        <f t="shared" si="212"/>
        <v>0</v>
      </c>
    </row>
    <row r="520" spans="1:14" ht="34" outlineLevel="7" x14ac:dyDescent="0.3">
      <c r="A520" s="189" t="s">
        <v>262</v>
      </c>
      <c r="B520" s="392" t="s">
        <v>490</v>
      </c>
      <c r="C520" s="392" t="s">
        <v>111</v>
      </c>
      <c r="D520" s="392" t="s">
        <v>276</v>
      </c>
      <c r="E520" s="392" t="s">
        <v>6</v>
      </c>
      <c r="F520" s="476">
        <f>F521</f>
        <v>86780.44</v>
      </c>
      <c r="G520" s="449">
        <f t="shared" ref="G520:J521" si="223">G521</f>
        <v>158000</v>
      </c>
      <c r="H520" s="449"/>
      <c r="I520" s="449">
        <f t="shared" si="223"/>
        <v>158000</v>
      </c>
      <c r="J520" s="449">
        <f t="shared" si="223"/>
        <v>158000</v>
      </c>
      <c r="K520" s="462">
        <f t="shared" si="213"/>
        <v>100</v>
      </c>
      <c r="L520" s="462">
        <f t="shared" si="214"/>
        <v>0</v>
      </c>
      <c r="M520" s="449">
        <f t="shared" ref="M520:M521" si="224">M521</f>
        <v>158000</v>
      </c>
      <c r="N520" s="178">
        <f t="shared" si="212"/>
        <v>0</v>
      </c>
    </row>
    <row r="521" spans="1:14" ht="50.95" outlineLevel="7" x14ac:dyDescent="0.3">
      <c r="A521" s="189" t="s">
        <v>37</v>
      </c>
      <c r="B521" s="392" t="s">
        <v>490</v>
      </c>
      <c r="C521" s="392" t="s">
        <v>111</v>
      </c>
      <c r="D521" s="392" t="s">
        <v>276</v>
      </c>
      <c r="E521" s="392" t="s">
        <v>38</v>
      </c>
      <c r="F521" s="476">
        <f>F522</f>
        <v>86780.44</v>
      </c>
      <c r="G521" s="449">
        <f t="shared" si="223"/>
        <v>158000</v>
      </c>
      <c r="H521" s="449"/>
      <c r="I521" s="449">
        <f t="shared" si="223"/>
        <v>158000</v>
      </c>
      <c r="J521" s="449">
        <f t="shared" si="223"/>
        <v>158000</v>
      </c>
      <c r="K521" s="462">
        <f t="shared" si="213"/>
        <v>100</v>
      </c>
      <c r="L521" s="462">
        <f t="shared" si="214"/>
        <v>0</v>
      </c>
      <c r="M521" s="449">
        <f t="shared" si="224"/>
        <v>158000</v>
      </c>
      <c r="N521" s="178">
        <f t="shared" si="212"/>
        <v>0</v>
      </c>
    </row>
    <row r="522" spans="1:14" outlineLevel="7" x14ac:dyDescent="0.3">
      <c r="A522" s="189" t="s">
        <v>74</v>
      </c>
      <c r="B522" s="392" t="s">
        <v>490</v>
      </c>
      <c r="C522" s="392" t="s">
        <v>111</v>
      </c>
      <c r="D522" s="392" t="s">
        <v>276</v>
      </c>
      <c r="E522" s="392" t="s">
        <v>75</v>
      </c>
      <c r="F522" s="475">
        <v>86780.44</v>
      </c>
      <c r="G522" s="449">
        <f>'потребность 2023 (5)'!K567</f>
        <v>158000</v>
      </c>
      <c r="H522" s="449"/>
      <c r="I522" s="449">
        <v>158000</v>
      </c>
      <c r="J522" s="449">
        <v>158000</v>
      </c>
      <c r="K522" s="462">
        <f t="shared" si="213"/>
        <v>100</v>
      </c>
      <c r="L522" s="462">
        <f t="shared" si="214"/>
        <v>0</v>
      </c>
      <c r="M522" s="449">
        <v>158000</v>
      </c>
      <c r="N522" s="178">
        <f t="shared" si="212"/>
        <v>0</v>
      </c>
    </row>
    <row r="523" spans="1:14" ht="50.95" outlineLevel="7" x14ac:dyDescent="0.3">
      <c r="A523" s="189" t="s">
        <v>461</v>
      </c>
      <c r="B523" s="392" t="s">
        <v>490</v>
      </c>
      <c r="C523" s="392" t="s">
        <v>111</v>
      </c>
      <c r="D523" s="392" t="s">
        <v>488</v>
      </c>
      <c r="E523" s="392" t="s">
        <v>6</v>
      </c>
      <c r="F523" s="476">
        <f>F524</f>
        <v>61700</v>
      </c>
      <c r="G523" s="449">
        <f t="shared" ref="G523:J524" si="225">G524</f>
        <v>685000</v>
      </c>
      <c r="H523" s="449"/>
      <c r="I523" s="449">
        <f t="shared" si="225"/>
        <v>0</v>
      </c>
      <c r="J523" s="449">
        <f t="shared" si="225"/>
        <v>0</v>
      </c>
      <c r="K523" s="462">
        <f t="shared" si="213"/>
        <v>0</v>
      </c>
      <c r="L523" s="462">
        <f t="shared" si="214"/>
        <v>-685000</v>
      </c>
      <c r="M523" s="449">
        <f t="shared" ref="M523:M524" si="226">M524</f>
        <v>0</v>
      </c>
      <c r="N523" s="178">
        <f t="shared" si="212"/>
        <v>0</v>
      </c>
    </row>
    <row r="524" spans="1:14" ht="50.95" outlineLevel="7" x14ac:dyDescent="0.3">
      <c r="A524" s="189" t="s">
        <v>37</v>
      </c>
      <c r="B524" s="392" t="s">
        <v>490</v>
      </c>
      <c r="C524" s="392" t="s">
        <v>111</v>
      </c>
      <c r="D524" s="392" t="s">
        <v>488</v>
      </c>
      <c r="E524" s="392" t="s">
        <v>38</v>
      </c>
      <c r="F524" s="476">
        <f>F525</f>
        <v>61700</v>
      </c>
      <c r="G524" s="449">
        <f t="shared" si="225"/>
        <v>685000</v>
      </c>
      <c r="H524" s="449"/>
      <c r="I524" s="449">
        <f t="shared" si="225"/>
        <v>0</v>
      </c>
      <c r="J524" s="449">
        <f t="shared" si="225"/>
        <v>0</v>
      </c>
      <c r="K524" s="462">
        <f t="shared" si="213"/>
        <v>0</v>
      </c>
      <c r="L524" s="462">
        <f t="shared" si="214"/>
        <v>-685000</v>
      </c>
      <c r="M524" s="449">
        <f t="shared" si="226"/>
        <v>0</v>
      </c>
      <c r="N524" s="178">
        <f t="shared" si="212"/>
        <v>0</v>
      </c>
    </row>
    <row r="525" spans="1:14" outlineLevel="7" x14ac:dyDescent="0.3">
      <c r="A525" s="189" t="s">
        <v>74</v>
      </c>
      <c r="B525" s="392" t="s">
        <v>490</v>
      </c>
      <c r="C525" s="392" t="s">
        <v>111</v>
      </c>
      <c r="D525" s="392" t="s">
        <v>488</v>
      </c>
      <c r="E525" s="392" t="s">
        <v>75</v>
      </c>
      <c r="F525" s="475">
        <v>61700</v>
      </c>
      <c r="G525" s="449">
        <f>2200000-2038000+2000+521000</f>
        <v>685000</v>
      </c>
      <c r="H525" s="449"/>
      <c r="I525" s="449">
        <v>0</v>
      </c>
      <c r="J525" s="449">
        <v>0</v>
      </c>
      <c r="K525" s="462">
        <f t="shared" si="213"/>
        <v>0</v>
      </c>
      <c r="L525" s="462">
        <f t="shared" si="214"/>
        <v>-685000</v>
      </c>
      <c r="M525" s="449">
        <v>0</v>
      </c>
      <c r="N525" s="178">
        <f t="shared" si="212"/>
        <v>0</v>
      </c>
    </row>
    <row r="526" spans="1:14" ht="56.4" customHeight="1" outlineLevel="7" x14ac:dyDescent="0.3">
      <c r="A526" s="189" t="s">
        <v>956</v>
      </c>
      <c r="B526" s="392" t="s">
        <v>490</v>
      </c>
      <c r="C526" s="392" t="s">
        <v>111</v>
      </c>
      <c r="D526" s="392" t="s">
        <v>1063</v>
      </c>
      <c r="E526" s="392" t="s">
        <v>6</v>
      </c>
      <c r="F526" s="462" t="s">
        <v>838</v>
      </c>
      <c r="G526" s="449">
        <f t="shared" ref="G526:J527" si="227">G527</f>
        <v>0</v>
      </c>
      <c r="H526" s="449"/>
      <c r="I526" s="449">
        <f t="shared" si="227"/>
        <v>0</v>
      </c>
      <c r="J526" s="449">
        <f t="shared" si="227"/>
        <v>0</v>
      </c>
      <c r="K526" s="462" t="e">
        <f t="shared" si="213"/>
        <v>#DIV/0!</v>
      </c>
      <c r="L526" s="462">
        <f t="shared" si="214"/>
        <v>0</v>
      </c>
      <c r="M526" s="449">
        <f t="shared" ref="M526:M527" si="228">M527</f>
        <v>0</v>
      </c>
      <c r="N526" s="178">
        <f t="shared" si="212"/>
        <v>0</v>
      </c>
    </row>
    <row r="527" spans="1:14" ht="50.95" outlineLevel="7" x14ac:dyDescent="0.3">
      <c r="A527" s="189" t="s">
        <v>37</v>
      </c>
      <c r="B527" s="392" t="s">
        <v>490</v>
      </c>
      <c r="C527" s="392" t="s">
        <v>111</v>
      </c>
      <c r="D527" s="392" t="s">
        <v>1063</v>
      </c>
      <c r="E527" s="392" t="s">
        <v>38</v>
      </c>
      <c r="F527" s="462" t="s">
        <v>838</v>
      </c>
      <c r="G527" s="449">
        <f t="shared" si="227"/>
        <v>0</v>
      </c>
      <c r="H527" s="449"/>
      <c r="I527" s="449">
        <f t="shared" si="227"/>
        <v>0</v>
      </c>
      <c r="J527" s="449">
        <f t="shared" si="227"/>
        <v>0</v>
      </c>
      <c r="K527" s="462" t="e">
        <f t="shared" si="213"/>
        <v>#DIV/0!</v>
      </c>
      <c r="L527" s="462">
        <f t="shared" si="214"/>
        <v>0</v>
      </c>
      <c r="M527" s="449">
        <f t="shared" si="228"/>
        <v>0</v>
      </c>
      <c r="N527" s="178">
        <f t="shared" si="212"/>
        <v>0</v>
      </c>
    </row>
    <row r="528" spans="1:14" outlineLevel="7" x14ac:dyDescent="0.3">
      <c r="A528" s="189" t="s">
        <v>74</v>
      </c>
      <c r="B528" s="392" t="s">
        <v>490</v>
      </c>
      <c r="C528" s="392" t="s">
        <v>111</v>
      </c>
      <c r="D528" s="392" t="s">
        <v>1063</v>
      </c>
      <c r="E528" s="392" t="s">
        <v>75</v>
      </c>
      <c r="F528" s="462" t="s">
        <v>838</v>
      </c>
      <c r="G528" s="449">
        <v>0</v>
      </c>
      <c r="H528" s="449"/>
      <c r="I528" s="449">
        <v>0</v>
      </c>
      <c r="J528" s="449"/>
      <c r="K528" s="462" t="e">
        <f t="shared" si="213"/>
        <v>#DIV/0!</v>
      </c>
      <c r="L528" s="462">
        <f t="shared" si="214"/>
        <v>0</v>
      </c>
      <c r="M528" s="449"/>
      <c r="N528" s="178">
        <f t="shared" si="212"/>
        <v>0</v>
      </c>
    </row>
    <row r="529" spans="1:14" ht="41.45" customHeight="1" outlineLevel="7" x14ac:dyDescent="0.3">
      <c r="A529" s="189" t="s">
        <v>616</v>
      </c>
      <c r="B529" s="392" t="s">
        <v>490</v>
      </c>
      <c r="C529" s="392" t="s">
        <v>111</v>
      </c>
      <c r="D529" s="392" t="s">
        <v>1056</v>
      </c>
      <c r="E529" s="392" t="s">
        <v>6</v>
      </c>
      <c r="F529" s="462" t="s">
        <v>838</v>
      </c>
      <c r="G529" s="449">
        <f t="shared" ref="G529:J530" si="229">G530</f>
        <v>234727.37</v>
      </c>
      <c r="H529" s="449"/>
      <c r="I529" s="449">
        <f t="shared" si="229"/>
        <v>0</v>
      </c>
      <c r="J529" s="449">
        <f t="shared" si="229"/>
        <v>0</v>
      </c>
      <c r="K529" s="462">
        <f t="shared" si="213"/>
        <v>0</v>
      </c>
      <c r="L529" s="462">
        <f t="shared" si="214"/>
        <v>-234727.37</v>
      </c>
      <c r="M529" s="449">
        <f t="shared" ref="M529:M530" si="230">M530</f>
        <v>0</v>
      </c>
      <c r="N529" s="178">
        <f t="shared" si="212"/>
        <v>0</v>
      </c>
    </row>
    <row r="530" spans="1:14" ht="50.95" outlineLevel="7" x14ac:dyDescent="0.3">
      <c r="A530" s="189" t="s">
        <v>37</v>
      </c>
      <c r="B530" s="392" t="s">
        <v>490</v>
      </c>
      <c r="C530" s="392" t="s">
        <v>111</v>
      </c>
      <c r="D530" s="392" t="s">
        <v>1056</v>
      </c>
      <c r="E530" s="392" t="s">
        <v>38</v>
      </c>
      <c r="F530" s="462" t="s">
        <v>838</v>
      </c>
      <c r="G530" s="449">
        <f t="shared" si="229"/>
        <v>234727.37</v>
      </c>
      <c r="H530" s="449"/>
      <c r="I530" s="449">
        <f t="shared" si="229"/>
        <v>0</v>
      </c>
      <c r="J530" s="449">
        <f t="shared" si="229"/>
        <v>0</v>
      </c>
      <c r="K530" s="462">
        <f t="shared" si="213"/>
        <v>0</v>
      </c>
      <c r="L530" s="462">
        <f t="shared" si="214"/>
        <v>-234727.37</v>
      </c>
      <c r="M530" s="449">
        <f t="shared" si="230"/>
        <v>0</v>
      </c>
      <c r="N530" s="178">
        <f t="shared" si="212"/>
        <v>0</v>
      </c>
    </row>
    <row r="531" spans="1:14" outlineLevel="7" x14ac:dyDescent="0.3">
      <c r="A531" s="189" t="s">
        <v>74</v>
      </c>
      <c r="B531" s="392" t="s">
        <v>490</v>
      </c>
      <c r="C531" s="392" t="s">
        <v>111</v>
      </c>
      <c r="D531" s="392" t="s">
        <v>1056</v>
      </c>
      <c r="E531" s="392" t="s">
        <v>75</v>
      </c>
      <c r="F531" s="462" t="s">
        <v>838</v>
      </c>
      <c r="G531" s="449">
        <f>30303.03-3.88+204428.22</f>
        <v>234727.37</v>
      </c>
      <c r="H531" s="449"/>
      <c r="I531" s="449">
        <v>0</v>
      </c>
      <c r="J531" s="449"/>
      <c r="K531" s="462">
        <f t="shared" si="213"/>
        <v>0</v>
      </c>
      <c r="L531" s="462">
        <f t="shared" si="214"/>
        <v>-234727.37</v>
      </c>
      <c r="M531" s="449"/>
      <c r="N531" s="178">
        <f t="shared" si="212"/>
        <v>0</v>
      </c>
    </row>
    <row r="532" spans="1:14" ht="50.95" outlineLevel="7" x14ac:dyDescent="0.3">
      <c r="A532" s="189" t="s">
        <v>415</v>
      </c>
      <c r="B532" s="392" t="s">
        <v>490</v>
      </c>
      <c r="C532" s="392" t="s">
        <v>111</v>
      </c>
      <c r="D532" s="392" t="s">
        <v>416</v>
      </c>
      <c r="E532" s="392" t="s">
        <v>6</v>
      </c>
      <c r="F532" s="476">
        <f>F533</f>
        <v>6000000</v>
      </c>
      <c r="G532" s="449">
        <f t="shared" ref="G532:J533" si="231">G533</f>
        <v>5390000</v>
      </c>
      <c r="H532" s="449"/>
      <c r="I532" s="449">
        <f t="shared" si="231"/>
        <v>0</v>
      </c>
      <c r="J532" s="449">
        <f t="shared" si="231"/>
        <v>0</v>
      </c>
      <c r="K532" s="462">
        <f t="shared" si="213"/>
        <v>0</v>
      </c>
      <c r="L532" s="462">
        <f t="shared" si="214"/>
        <v>-5390000</v>
      </c>
      <c r="M532" s="449">
        <f t="shared" ref="M532:M533" si="232">M533</f>
        <v>0</v>
      </c>
      <c r="N532" s="178">
        <f t="shared" si="212"/>
        <v>0</v>
      </c>
    </row>
    <row r="533" spans="1:14" ht="50.95" outlineLevel="7" x14ac:dyDescent="0.3">
      <c r="A533" s="189" t="s">
        <v>37</v>
      </c>
      <c r="B533" s="392" t="s">
        <v>490</v>
      </c>
      <c r="C533" s="392" t="s">
        <v>111</v>
      </c>
      <c r="D533" s="392" t="s">
        <v>416</v>
      </c>
      <c r="E533" s="392" t="s">
        <v>38</v>
      </c>
      <c r="F533" s="476">
        <f>F534</f>
        <v>6000000</v>
      </c>
      <c r="G533" s="449">
        <f t="shared" si="231"/>
        <v>5390000</v>
      </c>
      <c r="H533" s="449"/>
      <c r="I533" s="449">
        <f t="shared" si="231"/>
        <v>0</v>
      </c>
      <c r="J533" s="449">
        <f t="shared" si="231"/>
        <v>0</v>
      </c>
      <c r="K533" s="462">
        <f t="shared" si="213"/>
        <v>0</v>
      </c>
      <c r="L533" s="462">
        <f t="shared" si="214"/>
        <v>-5390000</v>
      </c>
      <c r="M533" s="449">
        <f t="shared" si="232"/>
        <v>0</v>
      </c>
      <c r="N533" s="178">
        <f t="shared" si="212"/>
        <v>0</v>
      </c>
    </row>
    <row r="534" spans="1:14" ht="17.7" outlineLevel="2" thickBot="1" x14ac:dyDescent="0.35">
      <c r="A534" s="189" t="s">
        <v>74</v>
      </c>
      <c r="B534" s="392" t="s">
        <v>490</v>
      </c>
      <c r="C534" s="392" t="s">
        <v>111</v>
      </c>
      <c r="D534" s="392" t="s">
        <v>416</v>
      </c>
      <c r="E534" s="392" t="s">
        <v>75</v>
      </c>
      <c r="F534" s="475">
        <v>6000000</v>
      </c>
      <c r="G534" s="449">
        <f>390000+5000000</f>
        <v>5390000</v>
      </c>
      <c r="H534" s="449"/>
      <c r="I534" s="449">
        <v>0</v>
      </c>
      <c r="J534" s="449"/>
      <c r="K534" s="462">
        <f t="shared" si="213"/>
        <v>0</v>
      </c>
      <c r="L534" s="462">
        <f t="shared" si="214"/>
        <v>-5390000</v>
      </c>
      <c r="M534" s="449"/>
      <c r="N534" s="178">
        <f t="shared" si="212"/>
        <v>0</v>
      </c>
    </row>
    <row r="535" spans="1:14" s="224" customFormat="1" ht="57.25" customHeight="1" outlineLevel="3" thickBot="1" x14ac:dyDescent="0.35">
      <c r="A535" s="408" t="s">
        <v>806</v>
      </c>
      <c r="B535" s="392" t="s">
        <v>490</v>
      </c>
      <c r="C535" s="392" t="s">
        <v>111</v>
      </c>
      <c r="D535" s="392" t="s">
        <v>657</v>
      </c>
      <c r="E535" s="392" t="s">
        <v>6</v>
      </c>
      <c r="F535" s="476">
        <f>F536</f>
        <v>3365356.19</v>
      </c>
      <c r="G535" s="449">
        <f t="shared" ref="G535:J536" si="233">G536</f>
        <v>900000</v>
      </c>
      <c r="H535" s="449"/>
      <c r="I535" s="449">
        <f t="shared" si="233"/>
        <v>0</v>
      </c>
      <c r="J535" s="449">
        <f t="shared" si="233"/>
        <v>0</v>
      </c>
      <c r="K535" s="462">
        <f t="shared" si="213"/>
        <v>0</v>
      </c>
      <c r="L535" s="462">
        <f t="shared" si="214"/>
        <v>-900000</v>
      </c>
      <c r="M535" s="449">
        <f t="shared" ref="M535:M536" si="234">M536</f>
        <v>0</v>
      </c>
      <c r="N535" s="178">
        <f t="shared" si="212"/>
        <v>0</v>
      </c>
    </row>
    <row r="536" spans="1:14" ht="23.95" customHeight="1" outlineLevel="4" x14ac:dyDescent="0.3">
      <c r="A536" s="189" t="s">
        <v>37</v>
      </c>
      <c r="B536" s="392" t="s">
        <v>490</v>
      </c>
      <c r="C536" s="392" t="s">
        <v>111</v>
      </c>
      <c r="D536" s="392" t="s">
        <v>657</v>
      </c>
      <c r="E536" s="392" t="s">
        <v>38</v>
      </c>
      <c r="F536" s="476">
        <f>F537</f>
        <v>3365356.19</v>
      </c>
      <c r="G536" s="449">
        <f t="shared" si="233"/>
        <v>900000</v>
      </c>
      <c r="H536" s="449"/>
      <c r="I536" s="449">
        <f t="shared" si="233"/>
        <v>0</v>
      </c>
      <c r="J536" s="449">
        <f t="shared" si="233"/>
        <v>0</v>
      </c>
      <c r="K536" s="462">
        <f t="shared" si="213"/>
        <v>0</v>
      </c>
      <c r="L536" s="462">
        <f t="shared" si="214"/>
        <v>-900000</v>
      </c>
      <c r="M536" s="449">
        <f t="shared" si="234"/>
        <v>0</v>
      </c>
      <c r="N536" s="178">
        <f t="shared" si="212"/>
        <v>0</v>
      </c>
    </row>
    <row r="537" spans="1:14" ht="22.75" customHeight="1" outlineLevel="4" x14ac:dyDescent="0.3">
      <c r="A537" s="189" t="s">
        <v>74</v>
      </c>
      <c r="B537" s="392" t="s">
        <v>490</v>
      </c>
      <c r="C537" s="392" t="s">
        <v>111</v>
      </c>
      <c r="D537" s="392" t="s">
        <v>657</v>
      </c>
      <c r="E537" s="392" t="s">
        <v>75</v>
      </c>
      <c r="F537" s="475">
        <v>3365356.19</v>
      </c>
      <c r="G537" s="449">
        <v>900000</v>
      </c>
      <c r="H537" s="449"/>
      <c r="I537" s="449">
        <v>0</v>
      </c>
      <c r="J537" s="449"/>
      <c r="K537" s="462">
        <f t="shared" si="213"/>
        <v>0</v>
      </c>
      <c r="L537" s="462">
        <f t="shared" si="214"/>
        <v>-900000</v>
      </c>
      <c r="M537" s="449"/>
      <c r="N537" s="178">
        <f t="shared" si="212"/>
        <v>0</v>
      </c>
    </row>
    <row r="538" spans="1:14" ht="54" customHeight="1" outlineLevel="4" x14ac:dyDescent="0.3">
      <c r="A538" s="185" t="s">
        <v>1011</v>
      </c>
      <c r="B538" s="392" t="s">
        <v>490</v>
      </c>
      <c r="C538" s="392" t="s">
        <v>111</v>
      </c>
      <c r="D538" s="392" t="s">
        <v>534</v>
      </c>
      <c r="E538" s="392" t="s">
        <v>6</v>
      </c>
      <c r="F538" s="462"/>
      <c r="G538" s="449">
        <f t="shared" ref="G538:J539" si="235">G539</f>
        <v>0</v>
      </c>
      <c r="H538" s="449"/>
      <c r="I538" s="449">
        <f t="shared" si="235"/>
        <v>0</v>
      </c>
      <c r="J538" s="449">
        <f t="shared" si="235"/>
        <v>0</v>
      </c>
      <c r="K538" s="462" t="e">
        <f t="shared" si="213"/>
        <v>#DIV/0!</v>
      </c>
      <c r="L538" s="462">
        <f t="shared" si="214"/>
        <v>0</v>
      </c>
      <c r="M538" s="449">
        <f t="shared" ref="M538:M539" si="236">M539</f>
        <v>0</v>
      </c>
      <c r="N538" s="178">
        <f t="shared" si="212"/>
        <v>0</v>
      </c>
    </row>
    <row r="539" spans="1:14" ht="43.5" customHeight="1" outlineLevel="4" x14ac:dyDescent="0.3">
      <c r="A539" s="189" t="s">
        <v>37</v>
      </c>
      <c r="B539" s="392" t="s">
        <v>490</v>
      </c>
      <c r="C539" s="392" t="s">
        <v>111</v>
      </c>
      <c r="D539" s="392" t="s">
        <v>534</v>
      </c>
      <c r="E539" s="392" t="s">
        <v>38</v>
      </c>
      <c r="F539" s="462"/>
      <c r="G539" s="449">
        <f t="shared" si="235"/>
        <v>0</v>
      </c>
      <c r="H539" s="449"/>
      <c r="I539" s="449">
        <f t="shared" si="235"/>
        <v>0</v>
      </c>
      <c r="J539" s="449">
        <f t="shared" si="235"/>
        <v>0</v>
      </c>
      <c r="K539" s="462" t="e">
        <f t="shared" si="213"/>
        <v>#DIV/0!</v>
      </c>
      <c r="L539" s="462">
        <f t="shared" si="214"/>
        <v>0</v>
      </c>
      <c r="M539" s="449">
        <f t="shared" si="236"/>
        <v>0</v>
      </c>
      <c r="N539" s="178">
        <f t="shared" si="212"/>
        <v>0</v>
      </c>
    </row>
    <row r="540" spans="1:14" ht="30.75" customHeight="1" outlineLevel="4" thickBot="1" x14ac:dyDescent="0.35">
      <c r="A540" s="189" t="s">
        <v>74</v>
      </c>
      <c r="B540" s="392" t="s">
        <v>490</v>
      </c>
      <c r="C540" s="392" t="s">
        <v>111</v>
      </c>
      <c r="D540" s="392" t="s">
        <v>534</v>
      </c>
      <c r="E540" s="392" t="s">
        <v>75</v>
      </c>
      <c r="F540" s="462"/>
      <c r="G540" s="449">
        <f>'потребность 2023 (5)'!K579</f>
        <v>0</v>
      </c>
      <c r="H540" s="449"/>
      <c r="I540" s="449">
        <f>'потребность 2023 (5)'!L579</f>
        <v>0</v>
      </c>
      <c r="J540" s="449"/>
      <c r="K540" s="462" t="e">
        <f t="shared" si="213"/>
        <v>#DIV/0!</v>
      </c>
      <c r="L540" s="462">
        <f t="shared" si="214"/>
        <v>0</v>
      </c>
      <c r="M540" s="449"/>
      <c r="N540" s="178">
        <f t="shared" si="212"/>
        <v>0</v>
      </c>
    </row>
    <row r="541" spans="1:14" ht="85.6" outlineLevel="5" thickBot="1" x14ac:dyDescent="0.35">
      <c r="A541" s="408" t="s">
        <v>1010</v>
      </c>
      <c r="B541" s="392" t="s">
        <v>490</v>
      </c>
      <c r="C541" s="392" t="s">
        <v>111</v>
      </c>
      <c r="D541" s="392" t="s">
        <v>406</v>
      </c>
      <c r="E541" s="392" t="s">
        <v>6</v>
      </c>
      <c r="F541" s="462"/>
      <c r="G541" s="449">
        <f t="shared" ref="G541:J542" si="237">G542</f>
        <v>0</v>
      </c>
      <c r="H541" s="449"/>
      <c r="I541" s="449">
        <f t="shared" si="237"/>
        <v>476939.21</v>
      </c>
      <c r="J541" s="449">
        <f t="shared" si="237"/>
        <v>476939.21</v>
      </c>
      <c r="K541" s="462"/>
      <c r="L541" s="462">
        <f t="shared" si="214"/>
        <v>476939.21</v>
      </c>
      <c r="M541" s="449">
        <f t="shared" ref="M541:M542" si="238">M542</f>
        <v>0</v>
      </c>
      <c r="N541" s="178">
        <f t="shared" si="212"/>
        <v>-476939.21</v>
      </c>
    </row>
    <row r="542" spans="1:14" ht="50.95" outlineLevel="6" x14ac:dyDescent="0.3">
      <c r="A542" s="189" t="s">
        <v>37</v>
      </c>
      <c r="B542" s="392" t="s">
        <v>490</v>
      </c>
      <c r="C542" s="392" t="s">
        <v>111</v>
      </c>
      <c r="D542" s="392" t="s">
        <v>406</v>
      </c>
      <c r="E542" s="392" t="s">
        <v>38</v>
      </c>
      <c r="F542" s="462"/>
      <c r="G542" s="449">
        <f t="shared" si="237"/>
        <v>0</v>
      </c>
      <c r="H542" s="449"/>
      <c r="I542" s="449">
        <f t="shared" si="237"/>
        <v>476939.21</v>
      </c>
      <c r="J542" s="449">
        <f t="shared" si="237"/>
        <v>476939.21</v>
      </c>
      <c r="K542" s="462"/>
      <c r="L542" s="462">
        <f t="shared" si="214"/>
        <v>476939.21</v>
      </c>
      <c r="M542" s="449">
        <f t="shared" si="238"/>
        <v>0</v>
      </c>
      <c r="N542" s="178">
        <f t="shared" si="212"/>
        <v>-476939.21</v>
      </c>
    </row>
    <row r="543" spans="1:14" ht="20.25" customHeight="1" outlineLevel="7" x14ac:dyDescent="0.3">
      <c r="A543" s="189" t="s">
        <v>74</v>
      </c>
      <c r="B543" s="392" t="s">
        <v>490</v>
      </c>
      <c r="C543" s="392" t="s">
        <v>111</v>
      </c>
      <c r="D543" s="392" t="s">
        <v>406</v>
      </c>
      <c r="E543" s="392" t="s">
        <v>75</v>
      </c>
      <c r="F543" s="462"/>
      <c r="G543" s="449">
        <f>'потребность 2023 (5)'!K582-188466.9</f>
        <v>0</v>
      </c>
      <c r="H543" s="449"/>
      <c r="I543" s="449">
        <v>476939.21</v>
      </c>
      <c r="J543" s="449">
        <v>476939.21</v>
      </c>
      <c r="K543" s="462"/>
      <c r="L543" s="462">
        <f t="shared" si="214"/>
        <v>476939.21</v>
      </c>
      <c r="M543" s="449">
        <f>476939.21-476939.21</f>
        <v>0</v>
      </c>
      <c r="N543" s="178">
        <f t="shared" si="212"/>
        <v>-476939.21</v>
      </c>
    </row>
    <row r="544" spans="1:14" outlineLevel="5" x14ac:dyDescent="0.3">
      <c r="A544" s="189" t="s">
        <v>71</v>
      </c>
      <c r="B544" s="392" t="s">
        <v>490</v>
      </c>
      <c r="C544" s="392" t="s">
        <v>72</v>
      </c>
      <c r="D544" s="392" t="s">
        <v>126</v>
      </c>
      <c r="E544" s="392" t="s">
        <v>6</v>
      </c>
      <c r="F544" s="471">
        <f>F545</f>
        <v>100469389.2</v>
      </c>
      <c r="G544" s="462">
        <f t="shared" ref="G544:J545" si="239">G545</f>
        <v>111736222.04000001</v>
      </c>
      <c r="H544" s="462"/>
      <c r="I544" s="462">
        <f t="shared" si="239"/>
        <v>101969246.09</v>
      </c>
      <c r="J544" s="462">
        <f t="shared" si="239"/>
        <v>136880186.94000003</v>
      </c>
      <c r="K544" s="462">
        <f t="shared" si="213"/>
        <v>122.502966755936</v>
      </c>
      <c r="L544" s="462">
        <f t="shared" si="214"/>
        <v>25143964.900000021</v>
      </c>
      <c r="M544" s="462">
        <f t="shared" ref="M544:M545" si="240">M545</f>
        <v>576915100.67999995</v>
      </c>
      <c r="N544" s="178">
        <f t="shared" si="212"/>
        <v>440034913.73999989</v>
      </c>
    </row>
    <row r="545" spans="1:14" ht="50.95" outlineLevel="5" x14ac:dyDescent="0.3">
      <c r="A545" s="233" t="s">
        <v>1017</v>
      </c>
      <c r="B545" s="397" t="s">
        <v>490</v>
      </c>
      <c r="C545" s="397" t="s">
        <v>72</v>
      </c>
      <c r="D545" s="397" t="s">
        <v>138</v>
      </c>
      <c r="E545" s="397" t="s">
        <v>6</v>
      </c>
      <c r="F545" s="473">
        <f>F546</f>
        <v>100469389.2</v>
      </c>
      <c r="G545" s="465">
        <f t="shared" si="239"/>
        <v>111736222.04000001</v>
      </c>
      <c r="H545" s="465"/>
      <c r="I545" s="465">
        <f t="shared" si="239"/>
        <v>101969246.09</v>
      </c>
      <c r="J545" s="465">
        <f t="shared" si="239"/>
        <v>136880186.94000003</v>
      </c>
      <c r="K545" s="462">
        <f t="shared" si="213"/>
        <v>122.502966755936</v>
      </c>
      <c r="L545" s="462">
        <f t="shared" si="214"/>
        <v>25143964.900000021</v>
      </c>
      <c r="M545" s="465">
        <f t="shared" si="240"/>
        <v>576915100.67999995</v>
      </c>
      <c r="N545" s="178">
        <f t="shared" si="212"/>
        <v>440034913.73999989</v>
      </c>
    </row>
    <row r="546" spans="1:14" ht="45" customHeight="1" outlineLevel="5" x14ac:dyDescent="0.3">
      <c r="A546" s="189" t="s">
        <v>1039</v>
      </c>
      <c r="B546" s="392" t="s">
        <v>490</v>
      </c>
      <c r="C546" s="392" t="s">
        <v>72</v>
      </c>
      <c r="D546" s="392" t="s">
        <v>146</v>
      </c>
      <c r="E546" s="392" t="s">
        <v>6</v>
      </c>
      <c r="F546" s="471">
        <f>F547+F560+F579</f>
        <v>100469389.2</v>
      </c>
      <c r="G546" s="462">
        <f>G547+G560+G579+G590</f>
        <v>111736222.04000001</v>
      </c>
      <c r="H546" s="462"/>
      <c r="I546" s="462">
        <f>I547+I560+I579+I590+I586</f>
        <v>101969246.09</v>
      </c>
      <c r="J546" s="462">
        <f>J547+J560+J579+J590+J586</f>
        <v>136880186.94000003</v>
      </c>
      <c r="K546" s="462">
        <f t="shared" si="213"/>
        <v>122.502966755936</v>
      </c>
      <c r="L546" s="462">
        <f t="shared" si="214"/>
        <v>25143964.900000021</v>
      </c>
      <c r="M546" s="462">
        <f>M547+M560+M579+M590+M586</f>
        <v>576915100.67999995</v>
      </c>
      <c r="N546" s="178">
        <f t="shared" si="212"/>
        <v>440034913.73999989</v>
      </c>
    </row>
    <row r="547" spans="1:14" ht="45.7" customHeight="1" outlineLevel="5" x14ac:dyDescent="0.3">
      <c r="A547" s="189" t="s">
        <v>203</v>
      </c>
      <c r="B547" s="392" t="s">
        <v>490</v>
      </c>
      <c r="C547" s="392" t="s">
        <v>72</v>
      </c>
      <c r="D547" s="392" t="s">
        <v>219</v>
      </c>
      <c r="E547" s="392" t="s">
        <v>6</v>
      </c>
      <c r="F547" s="471">
        <f>F548+F551+F554+F557</f>
        <v>95248429.939999998</v>
      </c>
      <c r="G547" s="462">
        <f>G548+G551+G554+G557</f>
        <v>108130535.04000001</v>
      </c>
      <c r="H547" s="462"/>
      <c r="I547" s="462">
        <f>I548+I551+I554+I557</f>
        <v>99463771.150000006</v>
      </c>
      <c r="J547" s="462">
        <f>J548+J551+J554+J557</f>
        <v>130952712</v>
      </c>
      <c r="K547" s="462">
        <f t="shared" si="213"/>
        <v>121.1061352388181</v>
      </c>
      <c r="L547" s="462">
        <f t="shared" si="214"/>
        <v>22822176.959999993</v>
      </c>
      <c r="M547" s="462">
        <f>M548+M551+M554+M557</f>
        <v>560972113.84000003</v>
      </c>
      <c r="N547" s="178">
        <f t="shared" si="212"/>
        <v>430019401.84000003</v>
      </c>
    </row>
    <row r="548" spans="1:14" ht="67.95" outlineLevel="5" x14ac:dyDescent="0.3">
      <c r="A548" s="202" t="s">
        <v>961</v>
      </c>
      <c r="B548" s="392" t="s">
        <v>490</v>
      </c>
      <c r="C548" s="392" t="s">
        <v>72</v>
      </c>
      <c r="D548" s="392" t="s">
        <v>538</v>
      </c>
      <c r="E548" s="392" t="s">
        <v>6</v>
      </c>
      <c r="F548" s="471">
        <f>F549</f>
        <v>0</v>
      </c>
      <c r="G548" s="462">
        <f t="shared" ref="G548:J549" si="241">G549</f>
        <v>0</v>
      </c>
      <c r="H548" s="462"/>
      <c r="I548" s="462">
        <f t="shared" si="241"/>
        <v>0</v>
      </c>
      <c r="J548" s="462">
        <f t="shared" si="241"/>
        <v>0</v>
      </c>
      <c r="K548" s="462" t="e">
        <f t="shared" si="213"/>
        <v>#DIV/0!</v>
      </c>
      <c r="L548" s="462">
        <f t="shared" si="214"/>
        <v>0</v>
      </c>
      <c r="M548" s="462">
        <f t="shared" ref="M548:M549" si="242">M549</f>
        <v>23400000</v>
      </c>
      <c r="N548" s="178">
        <f t="shared" si="212"/>
        <v>23400000</v>
      </c>
    </row>
    <row r="549" spans="1:14" ht="50.95" outlineLevel="5" x14ac:dyDescent="0.3">
      <c r="A549" s="189" t="s">
        <v>37</v>
      </c>
      <c r="B549" s="392" t="s">
        <v>490</v>
      </c>
      <c r="C549" s="392" t="s">
        <v>72</v>
      </c>
      <c r="D549" s="392" t="s">
        <v>538</v>
      </c>
      <c r="E549" s="392" t="s">
        <v>38</v>
      </c>
      <c r="F549" s="471">
        <f>F550</f>
        <v>0</v>
      </c>
      <c r="G549" s="462">
        <f t="shared" si="241"/>
        <v>0</v>
      </c>
      <c r="H549" s="462"/>
      <c r="I549" s="462">
        <f t="shared" si="241"/>
        <v>0</v>
      </c>
      <c r="J549" s="462">
        <f t="shared" si="241"/>
        <v>0</v>
      </c>
      <c r="K549" s="462" t="e">
        <f t="shared" si="213"/>
        <v>#DIV/0!</v>
      </c>
      <c r="L549" s="462">
        <f t="shared" si="214"/>
        <v>0</v>
      </c>
      <c r="M549" s="462">
        <f t="shared" si="242"/>
        <v>23400000</v>
      </c>
      <c r="N549" s="178">
        <f t="shared" si="212"/>
        <v>23400000</v>
      </c>
    </row>
    <row r="550" spans="1:14" outlineLevel="5" x14ac:dyDescent="0.3">
      <c r="A550" s="189" t="s">
        <v>74</v>
      </c>
      <c r="B550" s="392" t="s">
        <v>490</v>
      </c>
      <c r="C550" s="392" t="s">
        <v>72</v>
      </c>
      <c r="D550" s="392" t="s">
        <v>538</v>
      </c>
      <c r="E550" s="392" t="s">
        <v>75</v>
      </c>
      <c r="F550" s="475">
        <v>0</v>
      </c>
      <c r="G550" s="462">
        <v>0</v>
      </c>
      <c r="H550" s="462"/>
      <c r="I550" s="462">
        <v>0</v>
      </c>
      <c r="J550" s="449"/>
      <c r="K550" s="462" t="e">
        <f t="shared" si="213"/>
        <v>#DIV/0!</v>
      </c>
      <c r="L550" s="462">
        <f t="shared" si="214"/>
        <v>0</v>
      </c>
      <c r="M550" s="449">
        <v>23400000</v>
      </c>
      <c r="N550" s="178">
        <f t="shared" si="212"/>
        <v>23400000</v>
      </c>
    </row>
    <row r="551" spans="1:14" ht="71.5" customHeight="1" outlineLevel="5" x14ac:dyDescent="0.3">
      <c r="A551" s="189" t="s">
        <v>114</v>
      </c>
      <c r="B551" s="392" t="s">
        <v>490</v>
      </c>
      <c r="C551" s="392" t="s">
        <v>72</v>
      </c>
      <c r="D551" s="392" t="s">
        <v>147</v>
      </c>
      <c r="E551" s="392" t="s">
        <v>6</v>
      </c>
      <c r="F551" s="471">
        <f>F552</f>
        <v>95248429.939999998</v>
      </c>
      <c r="G551" s="462">
        <f t="shared" ref="G551:J552" si="243">G552</f>
        <v>108130535.04000001</v>
      </c>
      <c r="H551" s="462"/>
      <c r="I551" s="462">
        <f t="shared" si="243"/>
        <v>99463771.150000006</v>
      </c>
      <c r="J551" s="462">
        <f t="shared" si="243"/>
        <v>130952712</v>
      </c>
      <c r="K551" s="462">
        <f t="shared" si="213"/>
        <v>121.1061352388181</v>
      </c>
      <c r="L551" s="462">
        <f t="shared" si="214"/>
        <v>22822176.959999993</v>
      </c>
      <c r="M551" s="462">
        <f t="shared" ref="M551:M552" si="244">M552</f>
        <v>120551069.84</v>
      </c>
      <c r="N551" s="178">
        <f t="shared" si="212"/>
        <v>-10401642.159999996</v>
      </c>
    </row>
    <row r="552" spans="1:14" ht="50.95" outlineLevel="5" x14ac:dyDescent="0.3">
      <c r="A552" s="189" t="s">
        <v>37</v>
      </c>
      <c r="B552" s="392" t="s">
        <v>490</v>
      </c>
      <c r="C552" s="392" t="s">
        <v>72</v>
      </c>
      <c r="D552" s="392" t="s">
        <v>147</v>
      </c>
      <c r="E552" s="392" t="s">
        <v>38</v>
      </c>
      <c r="F552" s="471">
        <f>F553</f>
        <v>95248429.939999998</v>
      </c>
      <c r="G552" s="462">
        <f t="shared" si="243"/>
        <v>108130535.04000001</v>
      </c>
      <c r="H552" s="462"/>
      <c r="I552" s="462">
        <f t="shared" si="243"/>
        <v>99463771.150000006</v>
      </c>
      <c r="J552" s="462">
        <f t="shared" si="243"/>
        <v>130952712</v>
      </c>
      <c r="K552" s="462">
        <f t="shared" si="213"/>
        <v>121.1061352388181</v>
      </c>
      <c r="L552" s="462">
        <f t="shared" si="214"/>
        <v>22822176.959999993</v>
      </c>
      <c r="M552" s="462">
        <f t="shared" si="244"/>
        <v>120551069.84</v>
      </c>
      <c r="N552" s="178">
        <f t="shared" si="212"/>
        <v>-10401642.159999996</v>
      </c>
    </row>
    <row r="553" spans="1:14" outlineLevel="5" x14ac:dyDescent="0.3">
      <c r="A553" s="189" t="s">
        <v>74</v>
      </c>
      <c r="B553" s="392" t="s">
        <v>490</v>
      </c>
      <c r="C553" s="392" t="s">
        <v>72</v>
      </c>
      <c r="D553" s="392" t="s">
        <v>147</v>
      </c>
      <c r="E553" s="392" t="s">
        <v>75</v>
      </c>
      <c r="F553" s="475">
        <v>95248429.939999998</v>
      </c>
      <c r="G553" s="449">
        <f>'потребность 2023 (5)'!K596+3552590+90000+37000+1644187+1000000+700000-150000</f>
        <v>108130535.04000001</v>
      </c>
      <c r="H553" s="449"/>
      <c r="I553" s="449">
        <v>99463771.150000006</v>
      </c>
      <c r="J553" s="449">
        <v>130952712</v>
      </c>
      <c r="K553" s="462">
        <f t="shared" si="213"/>
        <v>121.1061352388181</v>
      </c>
      <c r="L553" s="462">
        <f t="shared" si="214"/>
        <v>22822176.959999993</v>
      </c>
      <c r="M553" s="449">
        <f>130952712-2119002-1135000-9308440.27+2160800.11</f>
        <v>120551069.84</v>
      </c>
      <c r="N553" s="178">
        <f t="shared" si="212"/>
        <v>-10401642.159999996</v>
      </c>
    </row>
    <row r="554" spans="1:14" ht="118.9" outlineLevel="5" x14ac:dyDescent="0.3">
      <c r="A554" s="189" t="s">
        <v>936</v>
      </c>
      <c r="B554" s="392" t="s">
        <v>490</v>
      </c>
      <c r="C554" s="392" t="s">
        <v>72</v>
      </c>
      <c r="D554" s="392" t="s">
        <v>148</v>
      </c>
      <c r="E554" s="392" t="s">
        <v>6</v>
      </c>
      <c r="F554" s="471">
        <f>F555</f>
        <v>0</v>
      </c>
      <c r="G554" s="462">
        <f t="shared" ref="G554:J555" si="245">G555</f>
        <v>0</v>
      </c>
      <c r="H554" s="462"/>
      <c r="I554" s="462">
        <f t="shared" si="245"/>
        <v>0</v>
      </c>
      <c r="J554" s="462">
        <f t="shared" si="245"/>
        <v>0</v>
      </c>
      <c r="K554" s="462" t="e">
        <f t="shared" si="213"/>
        <v>#DIV/0!</v>
      </c>
      <c r="L554" s="462">
        <f t="shared" si="214"/>
        <v>0</v>
      </c>
      <c r="M554" s="462">
        <f t="shared" ref="M554:M555" si="246">M555</f>
        <v>402585494</v>
      </c>
      <c r="N554" s="178">
        <f t="shared" si="212"/>
        <v>402585494</v>
      </c>
    </row>
    <row r="555" spans="1:14" ht="50.95" outlineLevel="5" x14ac:dyDescent="0.3">
      <c r="A555" s="189" t="s">
        <v>37</v>
      </c>
      <c r="B555" s="392" t="s">
        <v>490</v>
      </c>
      <c r="C555" s="392" t="s">
        <v>72</v>
      </c>
      <c r="D555" s="392" t="s">
        <v>148</v>
      </c>
      <c r="E555" s="392" t="s">
        <v>38</v>
      </c>
      <c r="F555" s="471">
        <f>F556</f>
        <v>0</v>
      </c>
      <c r="G555" s="462">
        <f t="shared" si="245"/>
        <v>0</v>
      </c>
      <c r="H555" s="462"/>
      <c r="I555" s="462">
        <f t="shared" si="245"/>
        <v>0</v>
      </c>
      <c r="J555" s="462">
        <f t="shared" si="245"/>
        <v>0</v>
      </c>
      <c r="K555" s="462" t="e">
        <f t="shared" si="213"/>
        <v>#DIV/0!</v>
      </c>
      <c r="L555" s="462">
        <f t="shared" si="214"/>
        <v>0</v>
      </c>
      <c r="M555" s="462">
        <f t="shared" si="246"/>
        <v>402585494</v>
      </c>
      <c r="N555" s="178">
        <f t="shared" si="212"/>
        <v>402585494</v>
      </c>
    </row>
    <row r="556" spans="1:14" outlineLevel="5" x14ac:dyDescent="0.3">
      <c r="A556" s="189" t="s">
        <v>74</v>
      </c>
      <c r="B556" s="392" t="s">
        <v>490</v>
      </c>
      <c r="C556" s="392" t="s">
        <v>72</v>
      </c>
      <c r="D556" s="392" t="s">
        <v>148</v>
      </c>
      <c r="E556" s="392" t="s">
        <v>75</v>
      </c>
      <c r="F556" s="475">
        <v>0</v>
      </c>
      <c r="G556" s="449">
        <v>0</v>
      </c>
      <c r="H556" s="449"/>
      <c r="I556" s="449">
        <v>0</v>
      </c>
      <c r="J556" s="449"/>
      <c r="K556" s="462" t="e">
        <f t="shared" si="213"/>
        <v>#DIV/0!</v>
      </c>
      <c r="L556" s="462">
        <f t="shared" si="214"/>
        <v>0</v>
      </c>
      <c r="M556" s="449">
        <v>402585494</v>
      </c>
      <c r="N556" s="178">
        <f t="shared" si="212"/>
        <v>402585494</v>
      </c>
    </row>
    <row r="557" spans="1:14" ht="101.9" outlineLevel="5" x14ac:dyDescent="0.3">
      <c r="A557" s="202" t="s">
        <v>958</v>
      </c>
      <c r="B557" s="392" t="s">
        <v>490</v>
      </c>
      <c r="C557" s="392" t="s">
        <v>72</v>
      </c>
      <c r="D557" s="392" t="s">
        <v>794</v>
      </c>
      <c r="E557" s="392" t="s">
        <v>6</v>
      </c>
      <c r="F557" s="476">
        <f>F558</f>
        <v>0</v>
      </c>
      <c r="G557" s="449">
        <f t="shared" ref="G557:J558" si="247">G558</f>
        <v>0</v>
      </c>
      <c r="H557" s="449"/>
      <c r="I557" s="449">
        <f t="shared" si="247"/>
        <v>0</v>
      </c>
      <c r="J557" s="449">
        <f t="shared" si="247"/>
        <v>0</v>
      </c>
      <c r="K557" s="462" t="e">
        <f t="shared" si="213"/>
        <v>#DIV/0!</v>
      </c>
      <c r="L557" s="462">
        <f t="shared" si="214"/>
        <v>0</v>
      </c>
      <c r="M557" s="449">
        <f t="shared" ref="M557:M558" si="248">M558</f>
        <v>14435550</v>
      </c>
      <c r="N557" s="178">
        <f t="shared" si="212"/>
        <v>14435550</v>
      </c>
    </row>
    <row r="558" spans="1:14" ht="50.95" outlineLevel="5" x14ac:dyDescent="0.3">
      <c r="A558" s="189" t="s">
        <v>37</v>
      </c>
      <c r="B558" s="392" t="s">
        <v>490</v>
      </c>
      <c r="C558" s="392" t="s">
        <v>72</v>
      </c>
      <c r="D558" s="392" t="s">
        <v>794</v>
      </c>
      <c r="E558" s="392" t="s">
        <v>38</v>
      </c>
      <c r="F558" s="476">
        <f>F559</f>
        <v>0</v>
      </c>
      <c r="G558" s="449">
        <f t="shared" si="247"/>
        <v>0</v>
      </c>
      <c r="H558" s="449"/>
      <c r="I558" s="449">
        <f t="shared" si="247"/>
        <v>0</v>
      </c>
      <c r="J558" s="449">
        <f t="shared" si="247"/>
        <v>0</v>
      </c>
      <c r="K558" s="462" t="e">
        <f t="shared" si="213"/>
        <v>#DIV/0!</v>
      </c>
      <c r="L558" s="462">
        <f t="shared" si="214"/>
        <v>0</v>
      </c>
      <c r="M558" s="449">
        <f t="shared" si="248"/>
        <v>14435550</v>
      </c>
      <c r="N558" s="178">
        <f t="shared" si="212"/>
        <v>14435550</v>
      </c>
    </row>
    <row r="559" spans="1:14" outlineLevel="5" x14ac:dyDescent="0.3">
      <c r="A559" s="189" t="s">
        <v>74</v>
      </c>
      <c r="B559" s="392" t="s">
        <v>490</v>
      </c>
      <c r="C559" s="392" t="s">
        <v>72</v>
      </c>
      <c r="D559" s="392" t="s">
        <v>794</v>
      </c>
      <c r="E559" s="392" t="s">
        <v>75</v>
      </c>
      <c r="F559" s="475">
        <v>0</v>
      </c>
      <c r="G559" s="449">
        <v>0</v>
      </c>
      <c r="H559" s="449"/>
      <c r="I559" s="449">
        <v>0</v>
      </c>
      <c r="J559" s="449"/>
      <c r="K559" s="462" t="e">
        <f t="shared" si="213"/>
        <v>#DIV/0!</v>
      </c>
      <c r="L559" s="462">
        <f t="shared" si="214"/>
        <v>0</v>
      </c>
      <c r="M559" s="449">
        <v>14435550</v>
      </c>
      <c r="N559" s="178">
        <f t="shared" si="212"/>
        <v>14435550</v>
      </c>
    </row>
    <row r="560" spans="1:14" ht="34" outlineLevel="5" x14ac:dyDescent="0.3">
      <c r="A560" s="189" t="s">
        <v>204</v>
      </c>
      <c r="B560" s="392" t="s">
        <v>490</v>
      </c>
      <c r="C560" s="392" t="s">
        <v>72</v>
      </c>
      <c r="D560" s="392" t="s">
        <v>217</v>
      </c>
      <c r="E560" s="392" t="s">
        <v>6</v>
      </c>
      <c r="F560" s="476">
        <f>F573+F561+F564+F570+F567+F576+F586</f>
        <v>5155679.26</v>
      </c>
      <c r="G560" s="449">
        <f>G573+G561+G564+G570+G567+G576+G587</f>
        <v>2700747</v>
      </c>
      <c r="H560" s="449"/>
      <c r="I560" s="449">
        <f>I573+I561+I564+I570+I567+I576</f>
        <v>2382000.11</v>
      </c>
      <c r="J560" s="449">
        <f>J573+J561+J564+J570+J567+J576</f>
        <v>5382000.1099999994</v>
      </c>
      <c r="K560" s="462">
        <f t="shared" si="213"/>
        <v>199.27820377103075</v>
      </c>
      <c r="L560" s="462">
        <f t="shared" si="214"/>
        <v>2681253.1099999994</v>
      </c>
      <c r="M560" s="449">
        <f>M573+M561+M564+M570+M567+M576</f>
        <v>221200</v>
      </c>
      <c r="N560" s="178">
        <f t="shared" si="212"/>
        <v>-5160800.1099999994</v>
      </c>
    </row>
    <row r="561" spans="1:14" ht="34" outlineLevel="5" x14ac:dyDescent="0.3">
      <c r="A561" s="189" t="s">
        <v>262</v>
      </c>
      <c r="B561" s="392" t="s">
        <v>490</v>
      </c>
      <c r="C561" s="392" t="s">
        <v>72</v>
      </c>
      <c r="D561" s="392" t="s">
        <v>263</v>
      </c>
      <c r="E561" s="392" t="s">
        <v>6</v>
      </c>
      <c r="F561" s="476">
        <f>F562</f>
        <v>139044.26999999999</v>
      </c>
      <c r="G561" s="449">
        <f t="shared" ref="G561:J562" si="249">G562</f>
        <v>221200</v>
      </c>
      <c r="H561" s="449"/>
      <c r="I561" s="449">
        <f t="shared" si="249"/>
        <v>221200</v>
      </c>
      <c r="J561" s="449">
        <f t="shared" si="249"/>
        <v>221200</v>
      </c>
      <c r="K561" s="462">
        <f t="shared" si="213"/>
        <v>100</v>
      </c>
      <c r="L561" s="462">
        <f t="shared" si="214"/>
        <v>0</v>
      </c>
      <c r="M561" s="449">
        <f t="shared" ref="M561:M562" si="250">M562</f>
        <v>221200</v>
      </c>
      <c r="N561" s="178">
        <f t="shared" si="212"/>
        <v>0</v>
      </c>
    </row>
    <row r="562" spans="1:14" ht="50.95" outlineLevel="5" x14ac:dyDescent="0.3">
      <c r="A562" s="189" t="s">
        <v>37</v>
      </c>
      <c r="B562" s="392" t="s">
        <v>490</v>
      </c>
      <c r="C562" s="392" t="s">
        <v>72</v>
      </c>
      <c r="D562" s="392" t="s">
        <v>263</v>
      </c>
      <c r="E562" s="392" t="s">
        <v>38</v>
      </c>
      <c r="F562" s="476">
        <f>F563</f>
        <v>139044.26999999999</v>
      </c>
      <c r="G562" s="449">
        <f t="shared" si="249"/>
        <v>221200</v>
      </c>
      <c r="H562" s="449"/>
      <c r="I562" s="449">
        <f t="shared" si="249"/>
        <v>221200</v>
      </c>
      <c r="J562" s="449">
        <f t="shared" si="249"/>
        <v>221200</v>
      </c>
      <c r="K562" s="462">
        <f t="shared" si="213"/>
        <v>100</v>
      </c>
      <c r="L562" s="462">
        <f t="shared" si="214"/>
        <v>0</v>
      </c>
      <c r="M562" s="449">
        <f t="shared" si="250"/>
        <v>221200</v>
      </c>
      <c r="N562" s="178">
        <f t="shared" si="212"/>
        <v>0</v>
      </c>
    </row>
    <row r="563" spans="1:14" outlineLevel="5" x14ac:dyDescent="0.3">
      <c r="A563" s="189" t="s">
        <v>74</v>
      </c>
      <c r="B563" s="392" t="s">
        <v>490</v>
      </c>
      <c r="C563" s="392" t="s">
        <v>72</v>
      </c>
      <c r="D563" s="392" t="s">
        <v>263</v>
      </c>
      <c r="E563" s="392" t="s">
        <v>75</v>
      </c>
      <c r="F563" s="475">
        <v>139044.26999999999</v>
      </c>
      <c r="G563" s="449">
        <f>'потребность 2023 (5)'!K606</f>
        <v>221200</v>
      </c>
      <c r="H563" s="449"/>
      <c r="I563" s="449">
        <v>221200</v>
      </c>
      <c r="J563" s="449">
        <v>221200</v>
      </c>
      <c r="K563" s="462">
        <f t="shared" si="213"/>
        <v>100</v>
      </c>
      <c r="L563" s="462">
        <f t="shared" si="214"/>
        <v>0</v>
      </c>
      <c r="M563" s="449">
        <v>221200</v>
      </c>
      <c r="N563" s="178">
        <f t="shared" si="212"/>
        <v>0</v>
      </c>
    </row>
    <row r="564" spans="1:14" ht="50.95" outlineLevel="5" x14ac:dyDescent="0.3">
      <c r="A564" s="189" t="s">
        <v>461</v>
      </c>
      <c r="B564" s="392" t="s">
        <v>490</v>
      </c>
      <c r="C564" s="392" t="s">
        <v>72</v>
      </c>
      <c r="D564" s="392" t="s">
        <v>301</v>
      </c>
      <c r="E564" s="392" t="s">
        <v>6</v>
      </c>
      <c r="F564" s="476">
        <f>F565</f>
        <v>874250</v>
      </c>
      <c r="G564" s="449">
        <f t="shared" ref="G564:J565" si="251">G565</f>
        <v>1355167</v>
      </c>
      <c r="H564" s="449"/>
      <c r="I564" s="449">
        <f t="shared" si="251"/>
        <v>0</v>
      </c>
      <c r="J564" s="449">
        <f t="shared" si="251"/>
        <v>3000000</v>
      </c>
      <c r="K564" s="462">
        <f t="shared" si="213"/>
        <v>221.37493017465744</v>
      </c>
      <c r="L564" s="462">
        <f t="shared" si="214"/>
        <v>1644833</v>
      </c>
      <c r="M564" s="449">
        <f t="shared" ref="M564:M565" si="252">M565</f>
        <v>0</v>
      </c>
      <c r="N564" s="178">
        <f t="shared" si="212"/>
        <v>-3000000</v>
      </c>
    </row>
    <row r="565" spans="1:14" ht="50.95" outlineLevel="5" x14ac:dyDescent="0.3">
      <c r="A565" s="189" t="s">
        <v>37</v>
      </c>
      <c r="B565" s="392" t="s">
        <v>490</v>
      </c>
      <c r="C565" s="392" t="s">
        <v>72</v>
      </c>
      <c r="D565" s="392" t="s">
        <v>301</v>
      </c>
      <c r="E565" s="392" t="s">
        <v>38</v>
      </c>
      <c r="F565" s="476">
        <f>F566</f>
        <v>874250</v>
      </c>
      <c r="G565" s="449">
        <f t="shared" si="251"/>
        <v>1355167</v>
      </c>
      <c r="H565" s="449"/>
      <c r="I565" s="449">
        <f t="shared" si="251"/>
        <v>0</v>
      </c>
      <c r="J565" s="449">
        <f t="shared" si="251"/>
        <v>3000000</v>
      </c>
      <c r="K565" s="462">
        <f t="shared" si="213"/>
        <v>221.37493017465744</v>
      </c>
      <c r="L565" s="462">
        <f t="shared" si="214"/>
        <v>1644833</v>
      </c>
      <c r="M565" s="449">
        <f t="shared" si="252"/>
        <v>0</v>
      </c>
      <c r="N565" s="178">
        <f t="shared" si="212"/>
        <v>-3000000</v>
      </c>
    </row>
    <row r="566" spans="1:14" outlineLevel="5" x14ac:dyDescent="0.3">
      <c r="A566" s="189" t="s">
        <v>74</v>
      </c>
      <c r="B566" s="392" t="s">
        <v>490</v>
      </c>
      <c r="C566" s="392" t="s">
        <v>72</v>
      </c>
      <c r="D566" s="392" t="s">
        <v>301</v>
      </c>
      <c r="E566" s="392" t="s">
        <v>75</v>
      </c>
      <c r="F566" s="475">
        <v>874250</v>
      </c>
      <c r="G566" s="449">
        <f>3000000-1047413+8000-605420</f>
        <v>1355167</v>
      </c>
      <c r="H566" s="449"/>
      <c r="I566" s="449">
        <v>0</v>
      </c>
      <c r="J566" s="449">
        <v>3000000</v>
      </c>
      <c r="K566" s="462">
        <f t="shared" si="213"/>
        <v>221.37493017465744</v>
      </c>
      <c r="L566" s="462">
        <f t="shared" si="214"/>
        <v>1644833</v>
      </c>
      <c r="M566" s="449">
        <f>3000000-3000000</f>
        <v>0</v>
      </c>
      <c r="N566" s="178">
        <f t="shared" si="212"/>
        <v>-3000000</v>
      </c>
    </row>
    <row r="567" spans="1:14" ht="39.75" customHeight="1" outlineLevel="5" x14ac:dyDescent="0.3">
      <c r="A567" s="189" t="s">
        <v>415</v>
      </c>
      <c r="B567" s="392" t="s">
        <v>490</v>
      </c>
      <c r="C567" s="392" t="s">
        <v>72</v>
      </c>
      <c r="D567" s="392" t="s">
        <v>651</v>
      </c>
      <c r="E567" s="392" t="s">
        <v>6</v>
      </c>
      <c r="F567" s="476">
        <f>F568</f>
        <v>193200</v>
      </c>
      <c r="G567" s="449">
        <f t="shared" ref="G567:J568" si="253">G568</f>
        <v>647080</v>
      </c>
      <c r="H567" s="449"/>
      <c r="I567" s="449">
        <f t="shared" si="253"/>
        <v>0</v>
      </c>
      <c r="J567" s="449">
        <f t="shared" si="253"/>
        <v>0</v>
      </c>
      <c r="K567" s="462">
        <f t="shared" si="213"/>
        <v>0</v>
      </c>
      <c r="L567" s="462">
        <f t="shared" si="214"/>
        <v>-647080</v>
      </c>
      <c r="M567" s="449">
        <f t="shared" ref="M567:M568" si="254">M568</f>
        <v>0</v>
      </c>
      <c r="N567" s="178">
        <f t="shared" si="212"/>
        <v>0</v>
      </c>
    </row>
    <row r="568" spans="1:14" ht="50.95" outlineLevel="5" x14ac:dyDescent="0.3">
      <c r="A568" s="189" t="s">
        <v>37</v>
      </c>
      <c r="B568" s="392" t="s">
        <v>490</v>
      </c>
      <c r="C568" s="392" t="s">
        <v>72</v>
      </c>
      <c r="D568" s="392" t="s">
        <v>651</v>
      </c>
      <c r="E568" s="392" t="s">
        <v>38</v>
      </c>
      <c r="F568" s="476">
        <f>F569</f>
        <v>193200</v>
      </c>
      <c r="G568" s="449">
        <f t="shared" si="253"/>
        <v>647080</v>
      </c>
      <c r="H568" s="449"/>
      <c r="I568" s="449">
        <f t="shared" si="253"/>
        <v>0</v>
      </c>
      <c r="J568" s="449">
        <f t="shared" si="253"/>
        <v>0</v>
      </c>
      <c r="K568" s="462">
        <f t="shared" si="213"/>
        <v>0</v>
      </c>
      <c r="L568" s="462">
        <f t="shared" si="214"/>
        <v>-647080</v>
      </c>
      <c r="M568" s="449">
        <f t="shared" si="254"/>
        <v>0</v>
      </c>
      <c r="N568" s="178">
        <f t="shared" ref="N568:N628" si="255">M568-J568</f>
        <v>0</v>
      </c>
    </row>
    <row r="569" spans="1:14" outlineLevel="5" x14ac:dyDescent="0.3">
      <c r="A569" s="189" t="s">
        <v>74</v>
      </c>
      <c r="B569" s="392" t="s">
        <v>490</v>
      </c>
      <c r="C569" s="392" t="s">
        <v>72</v>
      </c>
      <c r="D569" s="392" t="s">
        <v>651</v>
      </c>
      <c r="E569" s="392" t="s">
        <v>75</v>
      </c>
      <c r="F569" s="475">
        <v>193200</v>
      </c>
      <c r="G569" s="449">
        <v>647080</v>
      </c>
      <c r="H569" s="449"/>
      <c r="I569" s="449">
        <v>0</v>
      </c>
      <c r="J569" s="449"/>
      <c r="K569" s="462">
        <f t="shared" ref="K569:K629" si="256">J569/G569*100</f>
        <v>0</v>
      </c>
      <c r="L569" s="462">
        <f t="shared" ref="L569:L629" si="257">J569-G569</f>
        <v>-647080</v>
      </c>
      <c r="M569" s="449"/>
      <c r="N569" s="178">
        <f t="shared" si="255"/>
        <v>0</v>
      </c>
    </row>
    <row r="570" spans="1:14" ht="34" outlineLevel="5" x14ac:dyDescent="0.3">
      <c r="A570" s="189" t="s">
        <v>950</v>
      </c>
      <c r="B570" s="392" t="s">
        <v>490</v>
      </c>
      <c r="C570" s="392" t="s">
        <v>72</v>
      </c>
      <c r="D570" s="392" t="s">
        <v>540</v>
      </c>
      <c r="E570" s="392" t="s">
        <v>6</v>
      </c>
      <c r="F570" s="476">
        <f>F571</f>
        <v>0</v>
      </c>
      <c r="G570" s="449">
        <f t="shared" ref="G570:J571" si="258">G571</f>
        <v>0</v>
      </c>
      <c r="H570" s="449"/>
      <c r="I570" s="449">
        <f t="shared" si="258"/>
        <v>0</v>
      </c>
      <c r="J570" s="449">
        <f t="shared" si="258"/>
        <v>0</v>
      </c>
      <c r="K570" s="462" t="e">
        <f t="shared" si="256"/>
        <v>#DIV/0!</v>
      </c>
      <c r="L570" s="462">
        <f t="shared" si="257"/>
        <v>0</v>
      </c>
      <c r="M570" s="449">
        <f t="shared" ref="M570:M571" si="259">M571</f>
        <v>0</v>
      </c>
      <c r="N570" s="178">
        <f t="shared" si="255"/>
        <v>0</v>
      </c>
    </row>
    <row r="571" spans="1:14" s="224" customFormat="1" ht="40.75" customHeight="1" outlineLevel="5" x14ac:dyDescent="0.3">
      <c r="A571" s="189" t="s">
        <v>37</v>
      </c>
      <c r="B571" s="392" t="s">
        <v>490</v>
      </c>
      <c r="C571" s="392" t="s">
        <v>72</v>
      </c>
      <c r="D571" s="392" t="s">
        <v>540</v>
      </c>
      <c r="E571" s="392" t="s">
        <v>38</v>
      </c>
      <c r="F571" s="476">
        <f>F572</f>
        <v>0</v>
      </c>
      <c r="G571" s="449">
        <f t="shared" si="258"/>
        <v>0</v>
      </c>
      <c r="H571" s="449"/>
      <c r="I571" s="449">
        <f t="shared" si="258"/>
        <v>0</v>
      </c>
      <c r="J571" s="449">
        <f t="shared" si="258"/>
        <v>0</v>
      </c>
      <c r="K571" s="462" t="e">
        <f t="shared" si="256"/>
        <v>#DIV/0!</v>
      </c>
      <c r="L571" s="462">
        <f t="shared" si="257"/>
        <v>0</v>
      </c>
      <c r="M571" s="449">
        <f t="shared" si="259"/>
        <v>0</v>
      </c>
      <c r="N571" s="178">
        <f t="shared" si="255"/>
        <v>0</v>
      </c>
    </row>
    <row r="572" spans="1:14" ht="35.5" customHeight="1" outlineLevel="4" x14ac:dyDescent="0.3">
      <c r="A572" s="189" t="s">
        <v>74</v>
      </c>
      <c r="B572" s="392" t="s">
        <v>490</v>
      </c>
      <c r="C572" s="392" t="s">
        <v>72</v>
      </c>
      <c r="D572" s="392" t="s">
        <v>540</v>
      </c>
      <c r="E572" s="392" t="s">
        <v>75</v>
      </c>
      <c r="F572" s="475">
        <v>0</v>
      </c>
      <c r="G572" s="449">
        <f>'потребность 2023 (5)'!K615</f>
        <v>0</v>
      </c>
      <c r="H572" s="449"/>
      <c r="I572" s="449">
        <f>'потребность 2023 (5)'!L615</f>
        <v>0</v>
      </c>
      <c r="J572" s="449"/>
      <c r="K572" s="462" t="e">
        <f t="shared" si="256"/>
        <v>#DIV/0!</v>
      </c>
      <c r="L572" s="462">
        <f t="shared" si="257"/>
        <v>0</v>
      </c>
      <c r="M572" s="449"/>
      <c r="N572" s="178">
        <f t="shared" si="255"/>
        <v>0</v>
      </c>
    </row>
    <row r="573" spans="1:14" ht="42.3" customHeight="1" outlineLevel="4" x14ac:dyDescent="0.3">
      <c r="A573" s="189" t="s">
        <v>1012</v>
      </c>
      <c r="B573" s="392" t="s">
        <v>490</v>
      </c>
      <c r="C573" s="392" t="s">
        <v>72</v>
      </c>
      <c r="D573" s="392" t="s">
        <v>408</v>
      </c>
      <c r="E573" s="392" t="s">
        <v>6</v>
      </c>
      <c r="F573" s="476">
        <f>F574</f>
        <v>589142.87</v>
      </c>
      <c r="G573" s="449">
        <f t="shared" ref="G573:J574" si="260">G574</f>
        <v>0</v>
      </c>
      <c r="H573" s="449"/>
      <c r="I573" s="449">
        <f t="shared" si="260"/>
        <v>2160800.11</v>
      </c>
      <c r="J573" s="449">
        <f t="shared" si="260"/>
        <v>2160800.11</v>
      </c>
      <c r="K573" s="462">
        <v>0</v>
      </c>
      <c r="L573" s="462">
        <f t="shared" si="257"/>
        <v>2160800.11</v>
      </c>
      <c r="M573" s="449">
        <f t="shared" ref="M573:M574" si="261">M574</f>
        <v>0</v>
      </c>
      <c r="N573" s="178">
        <f t="shared" si="255"/>
        <v>-2160800.11</v>
      </c>
    </row>
    <row r="574" spans="1:14" ht="52.3" customHeight="1" outlineLevel="5" x14ac:dyDescent="0.3">
      <c r="A574" s="189" t="s">
        <v>37</v>
      </c>
      <c r="B574" s="392" t="s">
        <v>490</v>
      </c>
      <c r="C574" s="392" t="s">
        <v>72</v>
      </c>
      <c r="D574" s="392" t="s">
        <v>408</v>
      </c>
      <c r="E574" s="392" t="s">
        <v>38</v>
      </c>
      <c r="F574" s="476">
        <f>F575</f>
        <v>589142.87</v>
      </c>
      <c r="G574" s="449">
        <f t="shared" si="260"/>
        <v>0</v>
      </c>
      <c r="H574" s="449"/>
      <c r="I574" s="449">
        <f t="shared" si="260"/>
        <v>2160800.11</v>
      </c>
      <c r="J574" s="449">
        <f t="shared" si="260"/>
        <v>2160800.11</v>
      </c>
      <c r="K574" s="462">
        <v>0</v>
      </c>
      <c r="L574" s="462">
        <f t="shared" si="257"/>
        <v>2160800.11</v>
      </c>
      <c r="M574" s="449">
        <f t="shared" si="261"/>
        <v>0</v>
      </c>
      <c r="N574" s="178">
        <f t="shared" si="255"/>
        <v>-2160800.11</v>
      </c>
    </row>
    <row r="575" spans="1:14" ht="28.05" customHeight="1" outlineLevel="6" thickBot="1" x14ac:dyDescent="0.35">
      <c r="A575" s="189" t="s">
        <v>74</v>
      </c>
      <c r="B575" s="392" t="s">
        <v>490</v>
      </c>
      <c r="C575" s="392" t="s">
        <v>72</v>
      </c>
      <c r="D575" s="392" t="s">
        <v>408</v>
      </c>
      <c r="E575" s="392" t="s">
        <v>75</v>
      </c>
      <c r="F575" s="475">
        <v>589142.87</v>
      </c>
      <c r="G575" s="449">
        <f>'потребность 2023 (5)'!K618-993779.52</f>
        <v>0</v>
      </c>
      <c r="H575" s="449"/>
      <c r="I575" s="449">
        <v>2160800.11</v>
      </c>
      <c r="J575" s="449">
        <v>2160800.11</v>
      </c>
      <c r="K575" s="462">
        <v>0</v>
      </c>
      <c r="L575" s="462">
        <f t="shared" si="257"/>
        <v>2160800.11</v>
      </c>
      <c r="M575" s="449">
        <f>2160800.11-2160800.11</f>
        <v>0</v>
      </c>
      <c r="N575" s="178">
        <f t="shared" si="255"/>
        <v>-2160800.11</v>
      </c>
    </row>
    <row r="576" spans="1:14" ht="67.45" customHeight="1" outlineLevel="6" thickBot="1" x14ac:dyDescent="0.35">
      <c r="A576" s="408" t="s">
        <v>806</v>
      </c>
      <c r="B576" s="392" t="s">
        <v>490</v>
      </c>
      <c r="C576" s="392" t="s">
        <v>72</v>
      </c>
      <c r="D576" s="392" t="s">
        <v>807</v>
      </c>
      <c r="E576" s="392" t="s">
        <v>6</v>
      </c>
      <c r="F576" s="476">
        <f>F577</f>
        <v>3360042.12</v>
      </c>
      <c r="G576" s="449">
        <f t="shared" ref="G576:J577" si="262">G577</f>
        <v>477300</v>
      </c>
      <c r="H576" s="449"/>
      <c r="I576" s="449">
        <f t="shared" si="262"/>
        <v>0</v>
      </c>
      <c r="J576" s="449">
        <f t="shared" si="262"/>
        <v>0</v>
      </c>
      <c r="K576" s="462">
        <f t="shared" si="256"/>
        <v>0</v>
      </c>
      <c r="L576" s="462">
        <f t="shared" si="257"/>
        <v>-477300</v>
      </c>
      <c r="M576" s="449">
        <f t="shared" ref="M576:M577" si="263">M577</f>
        <v>0</v>
      </c>
      <c r="N576" s="178">
        <f t="shared" si="255"/>
        <v>0</v>
      </c>
    </row>
    <row r="577" spans="1:14" ht="37.4" customHeight="1" outlineLevel="6" x14ac:dyDescent="0.3">
      <c r="A577" s="189" t="s">
        <v>37</v>
      </c>
      <c r="B577" s="392" t="s">
        <v>490</v>
      </c>
      <c r="C577" s="392" t="s">
        <v>72</v>
      </c>
      <c r="D577" s="392" t="s">
        <v>807</v>
      </c>
      <c r="E577" s="392" t="s">
        <v>38</v>
      </c>
      <c r="F577" s="476">
        <f>F578</f>
        <v>3360042.12</v>
      </c>
      <c r="G577" s="449">
        <f t="shared" si="262"/>
        <v>477300</v>
      </c>
      <c r="H577" s="449"/>
      <c r="I577" s="449">
        <f t="shared" si="262"/>
        <v>0</v>
      </c>
      <c r="J577" s="449">
        <f t="shared" si="262"/>
        <v>0</v>
      </c>
      <c r="K577" s="462">
        <f t="shared" si="256"/>
        <v>0</v>
      </c>
      <c r="L577" s="462">
        <f t="shared" si="257"/>
        <v>-477300</v>
      </c>
      <c r="M577" s="449">
        <f t="shared" si="263"/>
        <v>0</v>
      </c>
      <c r="N577" s="178">
        <f t="shared" si="255"/>
        <v>0</v>
      </c>
    </row>
    <row r="578" spans="1:14" ht="36.700000000000003" customHeight="1" outlineLevel="6" x14ac:dyDescent="0.3">
      <c r="A578" s="189" t="s">
        <v>74</v>
      </c>
      <c r="B578" s="392" t="s">
        <v>490</v>
      </c>
      <c r="C578" s="392" t="s">
        <v>72</v>
      </c>
      <c r="D578" s="392" t="s">
        <v>807</v>
      </c>
      <c r="E578" s="392" t="s">
        <v>75</v>
      </c>
      <c r="F578" s="475">
        <v>3360042.12</v>
      </c>
      <c r="G578" s="449">
        <v>477300</v>
      </c>
      <c r="H578" s="449"/>
      <c r="I578" s="449">
        <v>0</v>
      </c>
      <c r="J578" s="449"/>
      <c r="K578" s="462">
        <f t="shared" si="256"/>
        <v>0</v>
      </c>
      <c r="L578" s="462">
        <f t="shared" si="257"/>
        <v>-477300</v>
      </c>
      <c r="M578" s="449"/>
      <c r="N578" s="178">
        <f t="shared" si="255"/>
        <v>0</v>
      </c>
    </row>
    <row r="579" spans="1:14" ht="40.1" customHeight="1" outlineLevel="7" x14ac:dyDescent="0.3">
      <c r="A579" s="189" t="s">
        <v>267</v>
      </c>
      <c r="B579" s="392" t="s">
        <v>490</v>
      </c>
      <c r="C579" s="392" t="s">
        <v>72</v>
      </c>
      <c r="D579" s="392" t="s">
        <v>220</v>
      </c>
      <c r="E579" s="392" t="s">
        <v>6</v>
      </c>
      <c r="F579" s="476">
        <f>F580+F583</f>
        <v>65280</v>
      </c>
      <c r="G579" s="449">
        <f>G580+G583</f>
        <v>904940</v>
      </c>
      <c r="H579" s="449"/>
      <c r="I579" s="449">
        <f>I580+I583</f>
        <v>0</v>
      </c>
      <c r="J579" s="449">
        <f>J580+J583</f>
        <v>422000</v>
      </c>
      <c r="K579" s="462">
        <f t="shared" si="256"/>
        <v>46.632925939841314</v>
      </c>
      <c r="L579" s="462">
        <f t="shared" si="257"/>
        <v>-482940</v>
      </c>
      <c r="M579" s="449">
        <f>M580+M583</f>
        <v>8647450</v>
      </c>
      <c r="N579" s="178">
        <f t="shared" si="255"/>
        <v>8225450</v>
      </c>
    </row>
    <row r="580" spans="1:14" ht="70" customHeight="1" outlineLevel="7" x14ac:dyDescent="0.3">
      <c r="A580" s="189" t="s">
        <v>942</v>
      </c>
      <c r="B580" s="392" t="s">
        <v>490</v>
      </c>
      <c r="C580" s="392" t="s">
        <v>72</v>
      </c>
      <c r="D580" s="392" t="s">
        <v>596</v>
      </c>
      <c r="E580" s="392" t="s">
        <v>6</v>
      </c>
      <c r="F580" s="476">
        <f>F581</f>
        <v>0</v>
      </c>
      <c r="G580" s="449">
        <f t="shared" ref="G580:J581" si="264">G581</f>
        <v>0</v>
      </c>
      <c r="H580" s="449"/>
      <c r="I580" s="449">
        <f t="shared" si="264"/>
        <v>0</v>
      </c>
      <c r="J580" s="449">
        <f t="shared" si="264"/>
        <v>0</v>
      </c>
      <c r="K580" s="462" t="e">
        <f t="shared" si="256"/>
        <v>#DIV/0!</v>
      </c>
      <c r="L580" s="462">
        <f t="shared" si="257"/>
        <v>0</v>
      </c>
      <c r="M580" s="449">
        <f t="shared" ref="M580:M581" si="265">M581</f>
        <v>8225450</v>
      </c>
      <c r="N580" s="178">
        <f t="shared" si="255"/>
        <v>8225450</v>
      </c>
    </row>
    <row r="581" spans="1:14" ht="53.15" customHeight="1" outlineLevel="7" x14ac:dyDescent="0.3">
      <c r="A581" s="189" t="s">
        <v>37</v>
      </c>
      <c r="B581" s="392" t="s">
        <v>490</v>
      </c>
      <c r="C581" s="392" t="s">
        <v>72</v>
      </c>
      <c r="D581" s="392" t="s">
        <v>596</v>
      </c>
      <c r="E581" s="392" t="s">
        <v>38</v>
      </c>
      <c r="F581" s="476">
        <f>F582</f>
        <v>0</v>
      </c>
      <c r="G581" s="449">
        <f t="shared" si="264"/>
        <v>0</v>
      </c>
      <c r="H581" s="449"/>
      <c r="I581" s="449">
        <f t="shared" si="264"/>
        <v>0</v>
      </c>
      <c r="J581" s="449">
        <f t="shared" si="264"/>
        <v>0</v>
      </c>
      <c r="K581" s="462" t="e">
        <f t="shared" si="256"/>
        <v>#DIV/0!</v>
      </c>
      <c r="L581" s="462">
        <f t="shared" si="257"/>
        <v>0</v>
      </c>
      <c r="M581" s="449">
        <f t="shared" si="265"/>
        <v>8225450</v>
      </c>
      <c r="N581" s="178">
        <f t="shared" si="255"/>
        <v>8225450</v>
      </c>
    </row>
    <row r="582" spans="1:14" ht="37.4" customHeight="1" outlineLevel="7" x14ac:dyDescent="0.3">
      <c r="A582" s="189" t="s">
        <v>74</v>
      </c>
      <c r="B582" s="392" t="s">
        <v>490</v>
      </c>
      <c r="C582" s="392" t="s">
        <v>72</v>
      </c>
      <c r="D582" s="392" t="s">
        <v>596</v>
      </c>
      <c r="E582" s="392" t="s">
        <v>75</v>
      </c>
      <c r="F582" s="475">
        <v>0</v>
      </c>
      <c r="G582" s="449">
        <v>0</v>
      </c>
      <c r="H582" s="449"/>
      <c r="I582" s="449">
        <v>0</v>
      </c>
      <c r="J582" s="449"/>
      <c r="K582" s="462" t="e">
        <f t="shared" si="256"/>
        <v>#DIV/0!</v>
      </c>
      <c r="L582" s="462">
        <f t="shared" si="257"/>
        <v>0</v>
      </c>
      <c r="M582" s="449">
        <v>8225450</v>
      </c>
      <c r="N582" s="178">
        <f t="shared" si="255"/>
        <v>8225450</v>
      </c>
    </row>
    <row r="583" spans="1:14" ht="52.3" customHeight="1" outlineLevel="7" x14ac:dyDescent="0.3">
      <c r="A583" s="482" t="s">
        <v>1057</v>
      </c>
      <c r="B583" s="392" t="s">
        <v>490</v>
      </c>
      <c r="C583" s="392" t="s">
        <v>72</v>
      </c>
      <c r="D583" s="392" t="s">
        <v>1058</v>
      </c>
      <c r="E583" s="392" t="s">
        <v>6</v>
      </c>
      <c r="F583" s="476">
        <f>F584</f>
        <v>65280</v>
      </c>
      <c r="G583" s="449">
        <f t="shared" ref="G583:J584" si="266">G584</f>
        <v>904940</v>
      </c>
      <c r="H583" s="449"/>
      <c r="I583" s="449">
        <f t="shared" si="266"/>
        <v>0</v>
      </c>
      <c r="J583" s="449">
        <f t="shared" si="266"/>
        <v>422000</v>
      </c>
      <c r="K583" s="462">
        <f t="shared" si="256"/>
        <v>46.632925939841314</v>
      </c>
      <c r="L583" s="462">
        <f t="shared" si="257"/>
        <v>-482940</v>
      </c>
      <c r="M583" s="449">
        <f t="shared" ref="M583:M584" si="267">M584</f>
        <v>422000</v>
      </c>
      <c r="N583" s="178">
        <f t="shared" si="255"/>
        <v>0</v>
      </c>
    </row>
    <row r="584" spans="1:14" ht="46.9" customHeight="1" outlineLevel="7" x14ac:dyDescent="0.3">
      <c r="A584" s="189" t="s">
        <v>37</v>
      </c>
      <c r="B584" s="392" t="s">
        <v>490</v>
      </c>
      <c r="C584" s="392" t="s">
        <v>72</v>
      </c>
      <c r="D584" s="392" t="s">
        <v>1058</v>
      </c>
      <c r="E584" s="392" t="s">
        <v>38</v>
      </c>
      <c r="F584" s="476">
        <f>F585</f>
        <v>65280</v>
      </c>
      <c r="G584" s="449">
        <f t="shared" si="266"/>
        <v>904940</v>
      </c>
      <c r="H584" s="449"/>
      <c r="I584" s="449">
        <f t="shared" si="266"/>
        <v>0</v>
      </c>
      <c r="J584" s="449">
        <f t="shared" si="266"/>
        <v>422000</v>
      </c>
      <c r="K584" s="462">
        <f t="shared" si="256"/>
        <v>46.632925939841314</v>
      </c>
      <c r="L584" s="462">
        <f t="shared" si="257"/>
        <v>-482940</v>
      </c>
      <c r="M584" s="449">
        <f t="shared" si="267"/>
        <v>422000</v>
      </c>
      <c r="N584" s="178">
        <f t="shared" si="255"/>
        <v>0</v>
      </c>
    </row>
    <row r="585" spans="1:14" s="184" customFormat="1" ht="42.8" customHeight="1" outlineLevel="7" x14ac:dyDescent="0.3">
      <c r="A585" s="189" t="s">
        <v>74</v>
      </c>
      <c r="B585" s="392" t="s">
        <v>490</v>
      </c>
      <c r="C585" s="392" t="s">
        <v>72</v>
      </c>
      <c r="D585" s="392" t="s">
        <v>1058</v>
      </c>
      <c r="E585" s="392" t="s">
        <v>75</v>
      </c>
      <c r="F585" s="475">
        <v>65280</v>
      </c>
      <c r="G585" s="449">
        <v>904940</v>
      </c>
      <c r="H585" s="449"/>
      <c r="I585" s="449">
        <v>0</v>
      </c>
      <c r="J585" s="449">
        <v>422000</v>
      </c>
      <c r="K585" s="462">
        <f t="shared" si="256"/>
        <v>46.632925939841314</v>
      </c>
      <c r="L585" s="462">
        <f t="shared" si="257"/>
        <v>-482940</v>
      </c>
      <c r="M585" s="449">
        <v>422000</v>
      </c>
      <c r="N585" s="178">
        <f t="shared" si="255"/>
        <v>0</v>
      </c>
    </row>
    <row r="586" spans="1:14" s="184" customFormat="1" ht="36" customHeight="1" outlineLevel="7" x14ac:dyDescent="0.3">
      <c r="A586" s="195" t="s">
        <v>880</v>
      </c>
      <c r="B586" s="392" t="s">
        <v>490</v>
      </c>
      <c r="C586" s="392" t="s">
        <v>72</v>
      </c>
      <c r="D586" s="392" t="s">
        <v>302</v>
      </c>
      <c r="E586" s="483" t="s">
        <v>6</v>
      </c>
      <c r="F586" s="484"/>
      <c r="G586" s="449">
        <v>0</v>
      </c>
      <c r="H586" s="449"/>
      <c r="I586" s="449">
        <f t="shared" ref="I586:J588" si="268">I587</f>
        <v>123474.82999999999</v>
      </c>
      <c r="J586" s="449">
        <f t="shared" si="268"/>
        <v>123474.83</v>
      </c>
      <c r="K586" s="462" t="e">
        <f t="shared" si="256"/>
        <v>#DIV/0!</v>
      </c>
      <c r="L586" s="462">
        <f t="shared" si="257"/>
        <v>123474.83</v>
      </c>
      <c r="M586" s="449">
        <f t="shared" ref="M586:M588" si="269">M587</f>
        <v>2992959.54</v>
      </c>
      <c r="N586" s="178">
        <f t="shared" si="255"/>
        <v>2869484.71</v>
      </c>
    </row>
    <row r="587" spans="1:14" s="184" customFormat="1" ht="84.9" customHeight="1" outlineLevel="7" x14ac:dyDescent="0.3">
      <c r="A587" s="180" t="s">
        <v>964</v>
      </c>
      <c r="B587" s="392" t="s">
        <v>490</v>
      </c>
      <c r="C587" s="392" t="s">
        <v>72</v>
      </c>
      <c r="D587" s="392" t="s">
        <v>969</v>
      </c>
      <c r="E587" s="483" t="s">
        <v>6</v>
      </c>
      <c r="F587" s="484"/>
      <c r="G587" s="449">
        <f>G588</f>
        <v>0</v>
      </c>
      <c r="H587" s="449"/>
      <c r="I587" s="449">
        <f t="shared" si="268"/>
        <v>123474.82999999999</v>
      </c>
      <c r="J587" s="449">
        <f t="shared" si="268"/>
        <v>123474.83</v>
      </c>
      <c r="K587" s="462">
        <v>0</v>
      </c>
      <c r="L587" s="462">
        <f t="shared" si="257"/>
        <v>123474.83</v>
      </c>
      <c r="M587" s="449">
        <f t="shared" si="269"/>
        <v>2992959.54</v>
      </c>
      <c r="N587" s="178">
        <f t="shared" si="255"/>
        <v>2869484.71</v>
      </c>
    </row>
    <row r="588" spans="1:14" s="184" customFormat="1" ht="58.6" customHeight="1" outlineLevel="7" x14ac:dyDescent="0.3">
      <c r="A588" s="189" t="s">
        <v>37</v>
      </c>
      <c r="B588" s="392" t="s">
        <v>490</v>
      </c>
      <c r="C588" s="392" t="s">
        <v>72</v>
      </c>
      <c r="D588" s="392" t="s">
        <v>969</v>
      </c>
      <c r="E588" s="483" t="s">
        <v>38</v>
      </c>
      <c r="F588" s="484"/>
      <c r="G588" s="449">
        <f>G589</f>
        <v>0</v>
      </c>
      <c r="H588" s="449"/>
      <c r="I588" s="449">
        <f t="shared" si="268"/>
        <v>123474.82999999999</v>
      </c>
      <c r="J588" s="449">
        <f t="shared" si="268"/>
        <v>123474.83</v>
      </c>
      <c r="K588" s="462">
        <v>0</v>
      </c>
      <c r="L588" s="462">
        <f t="shared" si="257"/>
        <v>123474.83</v>
      </c>
      <c r="M588" s="449">
        <f t="shared" si="269"/>
        <v>2992959.54</v>
      </c>
      <c r="N588" s="178">
        <f t="shared" si="255"/>
        <v>2869484.71</v>
      </c>
    </row>
    <row r="589" spans="1:14" s="184" customFormat="1" ht="28.05" customHeight="1" outlineLevel="7" x14ac:dyDescent="0.3">
      <c r="A589" s="189" t="s">
        <v>74</v>
      </c>
      <c r="B589" s="392" t="s">
        <v>490</v>
      </c>
      <c r="C589" s="392" t="s">
        <v>72</v>
      </c>
      <c r="D589" s="392" t="s">
        <v>969</v>
      </c>
      <c r="E589" s="483" t="s">
        <v>75</v>
      </c>
      <c r="F589" s="484"/>
      <c r="G589" s="449">
        <v>0</v>
      </c>
      <c r="H589" s="449"/>
      <c r="I589" s="449">
        <f>88746.95+34727.88</f>
        <v>123474.82999999999</v>
      </c>
      <c r="J589" s="449">
        <v>123474.83</v>
      </c>
      <c r="K589" s="462">
        <v>0</v>
      </c>
      <c r="L589" s="462">
        <f t="shared" si="257"/>
        <v>123474.83</v>
      </c>
      <c r="M589" s="449">
        <f>123474.83+2869484.71</f>
        <v>2992959.54</v>
      </c>
      <c r="N589" s="178">
        <f t="shared" si="255"/>
        <v>2869484.71</v>
      </c>
    </row>
    <row r="590" spans="1:14" s="184" customFormat="1" ht="55.7" customHeight="1" outlineLevel="7" x14ac:dyDescent="0.3">
      <c r="A590" s="186" t="s">
        <v>995</v>
      </c>
      <c r="B590" s="392" t="s">
        <v>490</v>
      </c>
      <c r="C590" s="392" t="s">
        <v>72</v>
      </c>
      <c r="D590" s="392" t="s">
        <v>998</v>
      </c>
      <c r="E590" s="392" t="s">
        <v>6</v>
      </c>
      <c r="F590" s="462"/>
      <c r="G590" s="449">
        <f t="shared" ref="G590:J592" si="270">G591</f>
        <v>0</v>
      </c>
      <c r="H590" s="449"/>
      <c r="I590" s="449">
        <f t="shared" si="270"/>
        <v>0</v>
      </c>
      <c r="J590" s="449">
        <f t="shared" si="270"/>
        <v>0</v>
      </c>
      <c r="K590" s="462" t="e">
        <f t="shared" si="256"/>
        <v>#DIV/0!</v>
      </c>
      <c r="L590" s="462">
        <f t="shared" si="257"/>
        <v>0</v>
      </c>
      <c r="M590" s="449">
        <f t="shared" ref="M590:M592" si="271">M591</f>
        <v>4081377.3</v>
      </c>
      <c r="N590" s="178">
        <f t="shared" si="255"/>
        <v>4081377.3</v>
      </c>
    </row>
    <row r="591" spans="1:14" s="184" customFormat="1" ht="53.7" customHeight="1" outlineLevel="7" x14ac:dyDescent="0.3">
      <c r="A591" s="180" t="s">
        <v>996</v>
      </c>
      <c r="B591" s="392" t="s">
        <v>490</v>
      </c>
      <c r="C591" s="392" t="s">
        <v>72</v>
      </c>
      <c r="D591" s="392" t="s">
        <v>997</v>
      </c>
      <c r="E591" s="392" t="s">
        <v>6</v>
      </c>
      <c r="F591" s="462"/>
      <c r="G591" s="449">
        <f t="shared" si="270"/>
        <v>0</v>
      </c>
      <c r="H591" s="449"/>
      <c r="I591" s="449">
        <f t="shared" si="270"/>
        <v>0</v>
      </c>
      <c r="J591" s="449">
        <f t="shared" si="270"/>
        <v>0</v>
      </c>
      <c r="K591" s="462" t="e">
        <f t="shared" si="256"/>
        <v>#DIV/0!</v>
      </c>
      <c r="L591" s="462">
        <f t="shared" si="257"/>
        <v>0</v>
      </c>
      <c r="M591" s="449">
        <f t="shared" si="271"/>
        <v>4081377.3</v>
      </c>
      <c r="N591" s="178">
        <f t="shared" si="255"/>
        <v>4081377.3</v>
      </c>
    </row>
    <row r="592" spans="1:14" s="184" customFormat="1" ht="40.75" customHeight="1" outlineLevel="7" x14ac:dyDescent="0.3">
      <c r="A592" s="189" t="s">
        <v>37</v>
      </c>
      <c r="B592" s="392" t="s">
        <v>490</v>
      </c>
      <c r="C592" s="392" t="s">
        <v>72</v>
      </c>
      <c r="D592" s="392" t="s">
        <v>997</v>
      </c>
      <c r="E592" s="392" t="s">
        <v>38</v>
      </c>
      <c r="F592" s="462"/>
      <c r="G592" s="449">
        <f t="shared" si="270"/>
        <v>0</v>
      </c>
      <c r="H592" s="449"/>
      <c r="I592" s="449">
        <f t="shared" si="270"/>
        <v>0</v>
      </c>
      <c r="J592" s="449">
        <f t="shared" si="270"/>
        <v>0</v>
      </c>
      <c r="K592" s="462" t="e">
        <f t="shared" si="256"/>
        <v>#DIV/0!</v>
      </c>
      <c r="L592" s="462">
        <f t="shared" si="257"/>
        <v>0</v>
      </c>
      <c r="M592" s="449">
        <f t="shared" si="271"/>
        <v>4081377.3</v>
      </c>
      <c r="N592" s="178">
        <f t="shared" si="255"/>
        <v>4081377.3</v>
      </c>
    </row>
    <row r="593" spans="1:14" s="184" customFormat="1" ht="23.8" customHeight="1" outlineLevel="7" x14ac:dyDescent="0.3">
      <c r="A593" s="189" t="s">
        <v>74</v>
      </c>
      <c r="B593" s="392" t="s">
        <v>490</v>
      </c>
      <c r="C593" s="392" t="s">
        <v>72</v>
      </c>
      <c r="D593" s="392" t="s">
        <v>997</v>
      </c>
      <c r="E593" s="392" t="s">
        <v>75</v>
      </c>
      <c r="F593" s="462"/>
      <c r="G593" s="449">
        <v>0</v>
      </c>
      <c r="H593" s="449"/>
      <c r="I593" s="449">
        <v>0</v>
      </c>
      <c r="J593" s="449"/>
      <c r="K593" s="462" t="e">
        <f t="shared" si="256"/>
        <v>#DIV/0!</v>
      </c>
      <c r="L593" s="462">
        <f t="shared" si="257"/>
        <v>0</v>
      </c>
      <c r="M593" s="449">
        <v>4081377.3</v>
      </c>
      <c r="N593" s="178">
        <f t="shared" si="255"/>
        <v>4081377.3</v>
      </c>
    </row>
    <row r="594" spans="1:14" s="184" customFormat="1" ht="19.7" customHeight="1" outlineLevel="5" x14ac:dyDescent="0.3">
      <c r="A594" s="189" t="s">
        <v>251</v>
      </c>
      <c r="B594" s="392" t="s">
        <v>490</v>
      </c>
      <c r="C594" s="392" t="s">
        <v>250</v>
      </c>
      <c r="D594" s="392" t="s">
        <v>126</v>
      </c>
      <c r="E594" s="392" t="s">
        <v>6</v>
      </c>
      <c r="F594" s="476" t="e">
        <f>F595</f>
        <v>#REF!</v>
      </c>
      <c r="G594" s="449" t="e">
        <f t="shared" ref="G594:J595" si="272">G595</f>
        <v>#REF!</v>
      </c>
      <c r="H594" s="449"/>
      <c r="I594" s="449" t="e">
        <f t="shared" si="272"/>
        <v>#REF!</v>
      </c>
      <c r="J594" s="449">
        <f t="shared" si="272"/>
        <v>32534882</v>
      </c>
      <c r="K594" s="462" t="e">
        <f t="shared" si="256"/>
        <v>#REF!</v>
      </c>
      <c r="L594" s="462" t="e">
        <f t="shared" si="257"/>
        <v>#REF!</v>
      </c>
      <c r="M594" s="449">
        <f t="shared" ref="M594:M595" si="273">M595</f>
        <v>28502775.140000001</v>
      </c>
      <c r="N594" s="178">
        <f t="shared" si="255"/>
        <v>-4032106.8599999994</v>
      </c>
    </row>
    <row r="595" spans="1:14" s="184" customFormat="1" ht="32.6" customHeight="1" outlineLevel="6" x14ac:dyDescent="0.3">
      <c r="A595" s="233" t="s">
        <v>1017</v>
      </c>
      <c r="B595" s="397" t="s">
        <v>490</v>
      </c>
      <c r="C595" s="397" t="s">
        <v>250</v>
      </c>
      <c r="D595" s="397" t="s">
        <v>138</v>
      </c>
      <c r="E595" s="397" t="s">
        <v>6</v>
      </c>
      <c r="F595" s="477" t="e">
        <f>F596</f>
        <v>#REF!</v>
      </c>
      <c r="G595" s="467" t="e">
        <f t="shared" si="272"/>
        <v>#REF!</v>
      </c>
      <c r="H595" s="467"/>
      <c r="I595" s="467" t="e">
        <f t="shared" si="272"/>
        <v>#REF!</v>
      </c>
      <c r="J595" s="467">
        <f t="shared" si="272"/>
        <v>32534882</v>
      </c>
      <c r="K595" s="462" t="e">
        <f t="shared" si="256"/>
        <v>#REF!</v>
      </c>
      <c r="L595" s="462" t="e">
        <f t="shared" si="257"/>
        <v>#REF!</v>
      </c>
      <c r="M595" s="467">
        <f t="shared" si="273"/>
        <v>28502775.140000001</v>
      </c>
      <c r="N595" s="178">
        <f t="shared" si="255"/>
        <v>-4032106.8599999994</v>
      </c>
    </row>
    <row r="596" spans="1:14" s="184" customFormat="1" ht="43.5" customHeight="1" outlineLevel="7" x14ac:dyDescent="0.3">
      <c r="A596" s="189" t="s">
        <v>1018</v>
      </c>
      <c r="B596" s="392" t="s">
        <v>490</v>
      </c>
      <c r="C596" s="392" t="s">
        <v>250</v>
      </c>
      <c r="D596" s="392" t="s">
        <v>149</v>
      </c>
      <c r="E596" s="392" t="s">
        <v>6</v>
      </c>
      <c r="F596" s="471" t="e">
        <f>F597+F601+#REF!</f>
        <v>#REF!</v>
      </c>
      <c r="G596" s="462" t="e">
        <f>G597+G601+#REF!+G611</f>
        <v>#REF!</v>
      </c>
      <c r="H596" s="462"/>
      <c r="I596" s="462" t="e">
        <f>I597+I601+#REF!+I611</f>
        <v>#REF!</v>
      </c>
      <c r="J596" s="462">
        <f>J597+J601+J611</f>
        <v>32534882</v>
      </c>
      <c r="K596" s="462" t="e">
        <f t="shared" si="256"/>
        <v>#REF!</v>
      </c>
      <c r="L596" s="462" t="e">
        <f t="shared" si="257"/>
        <v>#REF!</v>
      </c>
      <c r="M596" s="462">
        <f>M597+M601+M611</f>
        <v>28502775.140000001</v>
      </c>
      <c r="N596" s="178">
        <f t="shared" si="255"/>
        <v>-4032106.8599999994</v>
      </c>
    </row>
    <row r="597" spans="1:14" s="184" customFormat="1" ht="44.85" customHeight="1" outlineLevel="7" x14ac:dyDescent="0.3">
      <c r="A597" s="189" t="s">
        <v>205</v>
      </c>
      <c r="B597" s="392" t="s">
        <v>490</v>
      </c>
      <c r="C597" s="392" t="s">
        <v>250</v>
      </c>
      <c r="D597" s="392" t="s">
        <v>221</v>
      </c>
      <c r="E597" s="392" t="s">
        <v>6</v>
      </c>
      <c r="F597" s="471">
        <f t="shared" ref="F597:J599" si="274">F598</f>
        <v>23936037.59</v>
      </c>
      <c r="G597" s="462">
        <f t="shared" si="274"/>
        <v>24935323.960000001</v>
      </c>
      <c r="H597" s="462"/>
      <c r="I597" s="462">
        <f t="shared" si="274"/>
        <v>24942762</v>
      </c>
      <c r="J597" s="462">
        <f t="shared" si="274"/>
        <v>29267092</v>
      </c>
      <c r="K597" s="462">
        <f t="shared" si="256"/>
        <v>117.37201428362754</v>
      </c>
      <c r="L597" s="462">
        <f t="shared" si="257"/>
        <v>4331768.0399999991</v>
      </c>
      <c r="M597" s="462">
        <f t="shared" ref="M597:M599" si="275">M598</f>
        <v>26734985.140000001</v>
      </c>
      <c r="N597" s="178">
        <f t="shared" si="255"/>
        <v>-2532106.8599999994</v>
      </c>
    </row>
    <row r="598" spans="1:14" s="184" customFormat="1" ht="46.9" customHeight="1" outlineLevel="7" x14ac:dyDescent="0.3">
      <c r="A598" s="189" t="s">
        <v>115</v>
      </c>
      <c r="B598" s="392" t="s">
        <v>490</v>
      </c>
      <c r="C598" s="392" t="s">
        <v>250</v>
      </c>
      <c r="D598" s="392" t="s">
        <v>151</v>
      </c>
      <c r="E598" s="392" t="s">
        <v>6</v>
      </c>
      <c r="F598" s="471">
        <f t="shared" si="274"/>
        <v>23936037.59</v>
      </c>
      <c r="G598" s="462">
        <f t="shared" si="274"/>
        <v>24935323.960000001</v>
      </c>
      <c r="H598" s="462"/>
      <c r="I598" s="462">
        <f t="shared" si="274"/>
        <v>24942762</v>
      </c>
      <c r="J598" s="462">
        <f t="shared" si="274"/>
        <v>29267092</v>
      </c>
      <c r="K598" s="462">
        <f t="shared" si="256"/>
        <v>117.37201428362754</v>
      </c>
      <c r="L598" s="462">
        <f t="shared" si="257"/>
        <v>4331768.0399999991</v>
      </c>
      <c r="M598" s="462">
        <f t="shared" si="275"/>
        <v>26734985.140000001</v>
      </c>
      <c r="N598" s="178">
        <f t="shared" si="255"/>
        <v>-2532106.8599999994</v>
      </c>
    </row>
    <row r="599" spans="1:14" s="184" customFormat="1" ht="57.75" customHeight="1" outlineLevel="7" x14ac:dyDescent="0.3">
      <c r="A599" s="189" t="s">
        <v>37</v>
      </c>
      <c r="B599" s="392" t="s">
        <v>490</v>
      </c>
      <c r="C599" s="392" t="s">
        <v>250</v>
      </c>
      <c r="D599" s="392" t="s">
        <v>151</v>
      </c>
      <c r="E599" s="392" t="s">
        <v>38</v>
      </c>
      <c r="F599" s="471">
        <f t="shared" si="274"/>
        <v>23936037.59</v>
      </c>
      <c r="G599" s="462">
        <f t="shared" si="274"/>
        <v>24935323.960000001</v>
      </c>
      <c r="H599" s="462"/>
      <c r="I599" s="462">
        <f t="shared" si="274"/>
        <v>24942762</v>
      </c>
      <c r="J599" s="462">
        <f t="shared" si="274"/>
        <v>29267092</v>
      </c>
      <c r="K599" s="462">
        <f t="shared" si="256"/>
        <v>117.37201428362754</v>
      </c>
      <c r="L599" s="462">
        <f t="shared" si="257"/>
        <v>4331768.0399999991</v>
      </c>
      <c r="M599" s="462">
        <f t="shared" si="275"/>
        <v>26734985.140000001</v>
      </c>
      <c r="N599" s="178">
        <f t="shared" si="255"/>
        <v>-2532106.8599999994</v>
      </c>
    </row>
    <row r="600" spans="1:14" s="184" customFormat="1" ht="28.05" customHeight="1" outlineLevel="7" x14ac:dyDescent="0.3">
      <c r="A600" s="189" t="s">
        <v>74</v>
      </c>
      <c r="B600" s="392" t="s">
        <v>490</v>
      </c>
      <c r="C600" s="392" t="s">
        <v>250</v>
      </c>
      <c r="D600" s="392" t="s">
        <v>151</v>
      </c>
      <c r="E600" s="392" t="s">
        <v>75</v>
      </c>
      <c r="F600" s="475">
        <v>23936037.59</v>
      </c>
      <c r="G600" s="449">
        <f>'потребность 2023 (5)'!K639-243700+342846+110600</f>
        <v>24935323.960000001</v>
      </c>
      <c r="H600" s="449"/>
      <c r="I600" s="449">
        <v>24942762</v>
      </c>
      <c r="J600" s="449">
        <v>29267092</v>
      </c>
      <c r="K600" s="462">
        <f t="shared" si="256"/>
        <v>117.37201428362754</v>
      </c>
      <c r="L600" s="462">
        <f t="shared" si="257"/>
        <v>4331768.0399999991</v>
      </c>
      <c r="M600" s="449">
        <f>29267092-521730-2095357.78+84980.92</f>
        <v>26734985.140000001</v>
      </c>
      <c r="N600" s="178">
        <f t="shared" si="255"/>
        <v>-2532106.8599999994</v>
      </c>
    </row>
    <row r="601" spans="1:14" ht="42.3" customHeight="1" outlineLevel="7" x14ac:dyDescent="0.3">
      <c r="A601" s="189" t="s">
        <v>377</v>
      </c>
      <c r="B601" s="392" t="s">
        <v>490</v>
      </c>
      <c r="C601" s="392" t="s">
        <v>250</v>
      </c>
      <c r="D601" s="392" t="s">
        <v>222</v>
      </c>
      <c r="E601" s="392" t="s">
        <v>6</v>
      </c>
      <c r="F601" s="476" t="e">
        <f>F602+#REF!+F608</f>
        <v>#REF!</v>
      </c>
      <c r="G601" s="449">
        <f>G602+G605</f>
        <v>130020</v>
      </c>
      <c r="H601" s="449"/>
      <c r="I601" s="449" t="e">
        <f>I602+#REF!+I605</f>
        <v>#REF!</v>
      </c>
      <c r="J601" s="449">
        <f>J602+J605</f>
        <v>1531600</v>
      </c>
      <c r="K601" s="462">
        <f t="shared" si="256"/>
        <v>1177.9726195969849</v>
      </c>
      <c r="L601" s="462">
        <f t="shared" si="257"/>
        <v>1401580</v>
      </c>
      <c r="M601" s="449">
        <f>M602+M605</f>
        <v>31600</v>
      </c>
      <c r="N601" s="178">
        <f t="shared" si="255"/>
        <v>-1500000</v>
      </c>
    </row>
    <row r="602" spans="1:14" ht="29.9" customHeight="1" outlineLevel="7" x14ac:dyDescent="0.3">
      <c r="A602" s="189" t="s">
        <v>262</v>
      </c>
      <c r="B602" s="392" t="s">
        <v>490</v>
      </c>
      <c r="C602" s="392" t="s">
        <v>250</v>
      </c>
      <c r="D602" s="392" t="s">
        <v>280</v>
      </c>
      <c r="E602" s="392" t="s">
        <v>6</v>
      </c>
      <c r="F602" s="476">
        <f>F603</f>
        <v>17771.2</v>
      </c>
      <c r="G602" s="449">
        <f t="shared" ref="G602:J603" si="276">G603</f>
        <v>31600</v>
      </c>
      <c r="H602" s="449"/>
      <c r="I602" s="449">
        <f t="shared" si="276"/>
        <v>31600</v>
      </c>
      <c r="J602" s="449">
        <f t="shared" si="276"/>
        <v>31600</v>
      </c>
      <c r="K602" s="462">
        <f t="shared" si="256"/>
        <v>100</v>
      </c>
      <c r="L602" s="462">
        <f t="shared" si="257"/>
        <v>0</v>
      </c>
      <c r="M602" s="449">
        <f t="shared" ref="M602:M603" si="277">M603</f>
        <v>31600</v>
      </c>
      <c r="N602" s="178">
        <f t="shared" si="255"/>
        <v>0</v>
      </c>
    </row>
    <row r="603" spans="1:14" ht="49.75" customHeight="1" outlineLevel="7" x14ac:dyDescent="0.3">
      <c r="A603" s="189" t="s">
        <v>37</v>
      </c>
      <c r="B603" s="392" t="s">
        <v>490</v>
      </c>
      <c r="C603" s="392" t="s">
        <v>250</v>
      </c>
      <c r="D603" s="392" t="s">
        <v>280</v>
      </c>
      <c r="E603" s="392" t="s">
        <v>38</v>
      </c>
      <c r="F603" s="476">
        <f>F604</f>
        <v>17771.2</v>
      </c>
      <c r="G603" s="449">
        <f t="shared" si="276"/>
        <v>31600</v>
      </c>
      <c r="H603" s="449"/>
      <c r="I603" s="449">
        <f t="shared" si="276"/>
        <v>31600</v>
      </c>
      <c r="J603" s="449">
        <f t="shared" si="276"/>
        <v>31600</v>
      </c>
      <c r="K603" s="462">
        <f t="shared" si="256"/>
        <v>100</v>
      </c>
      <c r="L603" s="462">
        <f t="shared" si="257"/>
        <v>0</v>
      </c>
      <c r="M603" s="449">
        <f t="shared" si="277"/>
        <v>31600</v>
      </c>
      <c r="N603" s="178">
        <f t="shared" si="255"/>
        <v>0</v>
      </c>
    </row>
    <row r="604" spans="1:14" ht="22.6" customHeight="1" outlineLevel="2" x14ac:dyDescent="0.3">
      <c r="A604" s="189" t="s">
        <v>74</v>
      </c>
      <c r="B604" s="392" t="s">
        <v>490</v>
      </c>
      <c r="C604" s="392" t="s">
        <v>250</v>
      </c>
      <c r="D604" s="392" t="s">
        <v>280</v>
      </c>
      <c r="E604" s="392" t="s">
        <v>75</v>
      </c>
      <c r="F604" s="496">
        <v>17771.2</v>
      </c>
      <c r="G604" s="449">
        <f>'потребность 2023 (5)'!K642</f>
        <v>31600</v>
      </c>
      <c r="H604" s="449"/>
      <c r="I604" s="449">
        <v>31600</v>
      </c>
      <c r="J604" s="449">
        <v>31600</v>
      </c>
      <c r="K604" s="462">
        <f t="shared" si="256"/>
        <v>100</v>
      </c>
      <c r="L604" s="462">
        <f t="shared" si="257"/>
        <v>0</v>
      </c>
      <c r="M604" s="449">
        <v>31600</v>
      </c>
      <c r="N604" s="178">
        <f t="shared" si="255"/>
        <v>0</v>
      </c>
    </row>
    <row r="605" spans="1:14" s="224" customFormat="1" ht="46.2" customHeight="1" outlineLevel="3" x14ac:dyDescent="0.3">
      <c r="A605" s="189" t="s">
        <v>461</v>
      </c>
      <c r="B605" s="392" t="s">
        <v>490</v>
      </c>
      <c r="C605" s="392" t="s">
        <v>250</v>
      </c>
      <c r="D605" s="392" t="s">
        <v>666</v>
      </c>
      <c r="E605" s="392" t="s">
        <v>6</v>
      </c>
      <c r="F605" s="467">
        <v>0</v>
      </c>
      <c r="G605" s="449">
        <f t="shared" ref="G605:J606" si="278">G606</f>
        <v>98420</v>
      </c>
      <c r="H605" s="449"/>
      <c r="I605" s="449">
        <f t="shared" si="278"/>
        <v>0</v>
      </c>
      <c r="J605" s="449">
        <f t="shared" si="278"/>
        <v>1500000</v>
      </c>
      <c r="K605" s="462">
        <f t="shared" si="256"/>
        <v>1524.0804714488925</v>
      </c>
      <c r="L605" s="462">
        <f t="shared" si="257"/>
        <v>1401580</v>
      </c>
      <c r="M605" s="449">
        <f t="shared" ref="M605:M606" si="279">M606</f>
        <v>0</v>
      </c>
      <c r="N605" s="178">
        <f t="shared" si="255"/>
        <v>-1500000</v>
      </c>
    </row>
    <row r="606" spans="1:14" ht="24.45" customHeight="1" outlineLevel="3" x14ac:dyDescent="0.3">
      <c r="A606" s="189" t="s">
        <v>37</v>
      </c>
      <c r="B606" s="392" t="s">
        <v>490</v>
      </c>
      <c r="C606" s="392" t="s">
        <v>250</v>
      </c>
      <c r="D606" s="392" t="s">
        <v>666</v>
      </c>
      <c r="E606" s="392" t="s">
        <v>38</v>
      </c>
      <c r="F606" s="449">
        <v>0</v>
      </c>
      <c r="G606" s="449">
        <f t="shared" si="278"/>
        <v>98420</v>
      </c>
      <c r="H606" s="449"/>
      <c r="I606" s="449">
        <f t="shared" si="278"/>
        <v>0</v>
      </c>
      <c r="J606" s="449">
        <f t="shared" si="278"/>
        <v>1500000</v>
      </c>
      <c r="K606" s="462">
        <f t="shared" si="256"/>
        <v>1524.0804714488925</v>
      </c>
      <c r="L606" s="462">
        <f t="shared" si="257"/>
        <v>1401580</v>
      </c>
      <c r="M606" s="449">
        <f t="shared" si="279"/>
        <v>0</v>
      </c>
      <c r="N606" s="178">
        <f t="shared" si="255"/>
        <v>-1500000</v>
      </c>
    </row>
    <row r="607" spans="1:14" ht="29.9" customHeight="1" outlineLevel="3" thickBot="1" x14ac:dyDescent="0.35">
      <c r="A607" s="189" t="s">
        <v>74</v>
      </c>
      <c r="B607" s="392" t="s">
        <v>490</v>
      </c>
      <c r="C607" s="392" t="s">
        <v>250</v>
      </c>
      <c r="D607" s="392" t="s">
        <v>666</v>
      </c>
      <c r="E607" s="392" t="s">
        <v>75</v>
      </c>
      <c r="F607" s="449">
        <v>0</v>
      </c>
      <c r="G607" s="449">
        <f>14000+84420</f>
        <v>98420</v>
      </c>
      <c r="H607" s="449"/>
      <c r="I607" s="449">
        <v>0</v>
      </c>
      <c r="J607" s="449">
        <v>1500000</v>
      </c>
      <c r="K607" s="462">
        <f t="shared" si="256"/>
        <v>1524.0804714488925</v>
      </c>
      <c r="L607" s="462">
        <f t="shared" si="257"/>
        <v>1401580</v>
      </c>
      <c r="M607" s="449">
        <f>1500000-1500000</f>
        <v>0</v>
      </c>
      <c r="N607" s="178">
        <f t="shared" si="255"/>
        <v>-1500000</v>
      </c>
    </row>
    <row r="608" spans="1:14" ht="48.9" customHeight="1" outlineLevel="3" thickBot="1" x14ac:dyDescent="0.35">
      <c r="A608" s="450" t="s">
        <v>806</v>
      </c>
      <c r="B608" s="451" t="s">
        <v>490</v>
      </c>
      <c r="C608" s="451" t="s">
        <v>250</v>
      </c>
      <c r="D608" s="561" t="s">
        <v>843</v>
      </c>
      <c r="E608" s="451" t="s">
        <v>6</v>
      </c>
      <c r="F608" s="476">
        <f>F609</f>
        <v>442000</v>
      </c>
      <c r="G608" s="449"/>
      <c r="H608" s="449"/>
      <c r="I608" s="449"/>
      <c r="J608" s="449"/>
      <c r="K608" s="462" t="e">
        <f t="shared" si="256"/>
        <v>#DIV/0!</v>
      </c>
      <c r="L608" s="462">
        <f t="shared" si="257"/>
        <v>0</v>
      </c>
      <c r="M608" s="449"/>
      <c r="N608" s="178">
        <f t="shared" si="255"/>
        <v>0</v>
      </c>
    </row>
    <row r="609" spans="1:14" ht="34.65" customHeight="1" outlineLevel="3" x14ac:dyDescent="0.3">
      <c r="A609" s="452" t="s">
        <v>37</v>
      </c>
      <c r="B609" s="451" t="s">
        <v>490</v>
      </c>
      <c r="C609" s="451" t="s">
        <v>250</v>
      </c>
      <c r="D609" s="561" t="s">
        <v>843</v>
      </c>
      <c r="E609" s="451" t="s">
        <v>38</v>
      </c>
      <c r="F609" s="476">
        <f>F610</f>
        <v>442000</v>
      </c>
      <c r="G609" s="449"/>
      <c r="H609" s="449"/>
      <c r="I609" s="449"/>
      <c r="J609" s="449"/>
      <c r="K609" s="462" t="e">
        <f t="shared" si="256"/>
        <v>#DIV/0!</v>
      </c>
      <c r="L609" s="462">
        <f t="shared" si="257"/>
        <v>0</v>
      </c>
      <c r="M609" s="449"/>
      <c r="N609" s="178">
        <f t="shared" si="255"/>
        <v>0</v>
      </c>
    </row>
    <row r="610" spans="1:14" ht="34.65" customHeight="1" outlineLevel="3" x14ac:dyDescent="0.3">
      <c r="A610" s="452" t="s">
        <v>74</v>
      </c>
      <c r="B610" s="451" t="s">
        <v>490</v>
      </c>
      <c r="C610" s="451" t="s">
        <v>250</v>
      </c>
      <c r="D610" s="561" t="s">
        <v>843</v>
      </c>
      <c r="E610" s="451" t="s">
        <v>75</v>
      </c>
      <c r="F610" s="475">
        <v>442000</v>
      </c>
      <c r="G610" s="449"/>
      <c r="H610" s="449"/>
      <c r="I610" s="449"/>
      <c r="J610" s="449"/>
      <c r="K610" s="462" t="e">
        <f t="shared" si="256"/>
        <v>#DIV/0!</v>
      </c>
      <c r="L610" s="462">
        <f t="shared" si="257"/>
        <v>0</v>
      </c>
      <c r="M610" s="449"/>
      <c r="N610" s="178">
        <f t="shared" si="255"/>
        <v>0</v>
      </c>
    </row>
    <row r="611" spans="1:14" ht="54.35" customHeight="1" outlineLevel="3" x14ac:dyDescent="0.3">
      <c r="A611" s="189" t="s">
        <v>1087</v>
      </c>
      <c r="B611" s="392" t="s">
        <v>490</v>
      </c>
      <c r="C611" s="392" t="s">
        <v>250</v>
      </c>
      <c r="D611" s="392" t="s">
        <v>1088</v>
      </c>
      <c r="E611" s="392" t="s">
        <v>6</v>
      </c>
      <c r="F611" s="462" t="s">
        <v>838</v>
      </c>
      <c r="G611" s="449">
        <f t="shared" ref="G611:J613" si="280">G612</f>
        <v>1131783.3500000001</v>
      </c>
      <c r="H611" s="449"/>
      <c r="I611" s="449">
        <f t="shared" si="280"/>
        <v>1736190</v>
      </c>
      <c r="J611" s="449">
        <f t="shared" si="280"/>
        <v>1736190</v>
      </c>
      <c r="K611" s="462">
        <f t="shared" si="256"/>
        <v>153.40303424679288</v>
      </c>
      <c r="L611" s="462">
        <f t="shared" si="257"/>
        <v>604406.64999999991</v>
      </c>
      <c r="M611" s="449">
        <f t="shared" ref="M611:M613" si="281">M612</f>
        <v>1736190</v>
      </c>
      <c r="N611" s="178">
        <f t="shared" si="255"/>
        <v>0</v>
      </c>
    </row>
    <row r="612" spans="1:14" ht="67.95" outlineLevel="3" x14ac:dyDescent="0.3">
      <c r="A612" s="189" t="s">
        <v>1089</v>
      </c>
      <c r="B612" s="392" t="s">
        <v>490</v>
      </c>
      <c r="C612" s="392" t="s">
        <v>250</v>
      </c>
      <c r="D612" s="392" t="s">
        <v>1090</v>
      </c>
      <c r="E612" s="392" t="s">
        <v>6</v>
      </c>
      <c r="F612" s="462" t="s">
        <v>838</v>
      </c>
      <c r="G612" s="449">
        <f t="shared" si="280"/>
        <v>1131783.3500000001</v>
      </c>
      <c r="H612" s="449"/>
      <c r="I612" s="449">
        <f t="shared" si="280"/>
        <v>1736190</v>
      </c>
      <c r="J612" s="449">
        <f t="shared" si="280"/>
        <v>1736190</v>
      </c>
      <c r="K612" s="462">
        <f t="shared" si="256"/>
        <v>153.40303424679288</v>
      </c>
      <c r="L612" s="462">
        <f t="shared" si="257"/>
        <v>604406.64999999991</v>
      </c>
      <c r="M612" s="449">
        <f t="shared" si="281"/>
        <v>1736190</v>
      </c>
      <c r="N612" s="178">
        <f t="shared" si="255"/>
        <v>0</v>
      </c>
    </row>
    <row r="613" spans="1:14" ht="50.95" outlineLevel="3" x14ac:dyDescent="0.3">
      <c r="A613" s="189" t="s">
        <v>37</v>
      </c>
      <c r="B613" s="392" t="s">
        <v>490</v>
      </c>
      <c r="C613" s="392" t="s">
        <v>250</v>
      </c>
      <c r="D613" s="392" t="s">
        <v>1090</v>
      </c>
      <c r="E613" s="392" t="s">
        <v>38</v>
      </c>
      <c r="F613" s="462" t="s">
        <v>838</v>
      </c>
      <c r="G613" s="449">
        <f t="shared" si="280"/>
        <v>1131783.3500000001</v>
      </c>
      <c r="H613" s="449"/>
      <c r="I613" s="449">
        <f t="shared" si="280"/>
        <v>1736190</v>
      </c>
      <c r="J613" s="449">
        <f t="shared" si="280"/>
        <v>1736190</v>
      </c>
      <c r="K613" s="462">
        <f t="shared" si="256"/>
        <v>153.40303424679288</v>
      </c>
      <c r="L613" s="462">
        <f t="shared" si="257"/>
        <v>604406.64999999991</v>
      </c>
      <c r="M613" s="449">
        <f t="shared" si="281"/>
        <v>1736190</v>
      </c>
      <c r="N613" s="178">
        <f t="shared" si="255"/>
        <v>0</v>
      </c>
    </row>
    <row r="614" spans="1:14" outlineLevel="3" x14ac:dyDescent="0.3">
      <c r="A614" s="189" t="s">
        <v>74</v>
      </c>
      <c r="B614" s="392" t="s">
        <v>490</v>
      </c>
      <c r="C614" s="392" t="s">
        <v>250</v>
      </c>
      <c r="D614" s="392" t="s">
        <v>1090</v>
      </c>
      <c r="E614" s="392" t="s">
        <v>75</v>
      </c>
      <c r="F614" s="462" t="s">
        <v>838</v>
      </c>
      <c r="G614" s="449">
        <v>1131783.3500000001</v>
      </c>
      <c r="H614" s="449"/>
      <c r="I614" s="449">
        <v>1736190</v>
      </c>
      <c r="J614" s="449">
        <v>1736190</v>
      </c>
      <c r="K614" s="462">
        <f t="shared" si="256"/>
        <v>153.40303424679288</v>
      </c>
      <c r="L614" s="462">
        <f t="shared" si="257"/>
        <v>604406.64999999991</v>
      </c>
      <c r="M614" s="449">
        <f>1736190</f>
        <v>1736190</v>
      </c>
      <c r="N614" s="178">
        <f t="shared" si="255"/>
        <v>0</v>
      </c>
    </row>
    <row r="615" spans="1:14" outlineLevel="3" x14ac:dyDescent="0.3">
      <c r="A615" s="189" t="s">
        <v>1072</v>
      </c>
      <c r="B615" s="392" t="s">
        <v>490</v>
      </c>
      <c r="C615" s="392" t="s">
        <v>77</v>
      </c>
      <c r="D615" s="392" t="s">
        <v>126</v>
      </c>
      <c r="E615" s="392" t="s">
        <v>6</v>
      </c>
      <c r="F615" s="471">
        <f>F616</f>
        <v>6961063.8300000001</v>
      </c>
      <c r="G615" s="462">
        <f>G616</f>
        <v>195000</v>
      </c>
      <c r="H615" s="462"/>
      <c r="I615" s="462">
        <f>I616</f>
        <v>195000</v>
      </c>
      <c r="J615" s="462">
        <f>J616</f>
        <v>195000</v>
      </c>
      <c r="K615" s="462">
        <f t="shared" si="256"/>
        <v>100</v>
      </c>
      <c r="L615" s="462">
        <f t="shared" si="257"/>
        <v>0</v>
      </c>
      <c r="M615" s="462">
        <f>M616</f>
        <v>195000</v>
      </c>
      <c r="N615" s="178">
        <f t="shared" si="255"/>
        <v>0</v>
      </c>
    </row>
    <row r="616" spans="1:14" ht="50.95" outlineLevel="3" x14ac:dyDescent="0.3">
      <c r="A616" s="233" t="s">
        <v>1017</v>
      </c>
      <c r="B616" s="397" t="s">
        <v>490</v>
      </c>
      <c r="C616" s="397" t="s">
        <v>77</v>
      </c>
      <c r="D616" s="397" t="s">
        <v>138</v>
      </c>
      <c r="E616" s="397" t="s">
        <v>6</v>
      </c>
      <c r="F616" s="473">
        <f>F617+F637</f>
        <v>6961063.8300000001</v>
      </c>
      <c r="G616" s="465">
        <f>G617+G634</f>
        <v>195000</v>
      </c>
      <c r="H616" s="465"/>
      <c r="I616" s="465">
        <f>I617+I634</f>
        <v>195000</v>
      </c>
      <c r="J616" s="465">
        <f>J617+J634</f>
        <v>195000</v>
      </c>
      <c r="K616" s="462">
        <f t="shared" si="256"/>
        <v>100</v>
      </c>
      <c r="L616" s="462">
        <f t="shared" si="257"/>
        <v>0</v>
      </c>
      <c r="M616" s="465">
        <f>M617+M634</f>
        <v>195000</v>
      </c>
      <c r="N616" s="178">
        <f t="shared" si="255"/>
        <v>0</v>
      </c>
    </row>
    <row r="617" spans="1:14" ht="50.95" outlineLevel="3" x14ac:dyDescent="0.3">
      <c r="A617" s="189" t="s">
        <v>1040</v>
      </c>
      <c r="B617" s="392" t="s">
        <v>490</v>
      </c>
      <c r="C617" s="392" t="s">
        <v>77</v>
      </c>
      <c r="D617" s="392" t="s">
        <v>146</v>
      </c>
      <c r="E617" s="392" t="s">
        <v>6</v>
      </c>
      <c r="F617" s="471">
        <f>F618+F628</f>
        <v>64995.03</v>
      </c>
      <c r="G617" s="462">
        <f>G618+G625</f>
        <v>70000</v>
      </c>
      <c r="H617" s="462"/>
      <c r="I617" s="462">
        <f>I618+I625</f>
        <v>70000</v>
      </c>
      <c r="J617" s="462">
        <f>J618+J625</f>
        <v>70000</v>
      </c>
      <c r="K617" s="462">
        <f t="shared" si="256"/>
        <v>100</v>
      </c>
      <c r="L617" s="462">
        <f t="shared" si="257"/>
        <v>0</v>
      </c>
      <c r="M617" s="462">
        <f>M618+M625</f>
        <v>70000</v>
      </c>
      <c r="N617" s="178">
        <f t="shared" si="255"/>
        <v>0</v>
      </c>
    </row>
    <row r="618" spans="1:14" ht="34" outlineLevel="7" x14ac:dyDescent="0.3">
      <c r="A618" s="189" t="s">
        <v>204</v>
      </c>
      <c r="B618" s="392" t="s">
        <v>490</v>
      </c>
      <c r="C618" s="392" t="s">
        <v>77</v>
      </c>
      <c r="D618" s="392" t="s">
        <v>217</v>
      </c>
      <c r="E618" s="392" t="s">
        <v>6</v>
      </c>
      <c r="F618" s="471">
        <f>F619+F625</f>
        <v>64995.03</v>
      </c>
      <c r="G618" s="462">
        <f t="shared" ref="G618:J620" si="282">G619</f>
        <v>70000</v>
      </c>
      <c r="H618" s="462"/>
      <c r="I618" s="462">
        <f t="shared" si="282"/>
        <v>70000</v>
      </c>
      <c r="J618" s="462">
        <f t="shared" si="282"/>
        <v>70000</v>
      </c>
      <c r="K618" s="462">
        <f t="shared" si="256"/>
        <v>100</v>
      </c>
      <c r="L618" s="462">
        <f t="shared" si="257"/>
        <v>0</v>
      </c>
      <c r="M618" s="462">
        <f t="shared" ref="M618:M620" si="283">M619</f>
        <v>70000</v>
      </c>
      <c r="N618" s="178">
        <f t="shared" si="255"/>
        <v>0</v>
      </c>
    </row>
    <row r="619" spans="1:14" ht="34" outlineLevel="7" x14ac:dyDescent="0.3">
      <c r="A619" s="189" t="s">
        <v>395</v>
      </c>
      <c r="B619" s="392" t="s">
        <v>490</v>
      </c>
      <c r="C619" s="392" t="s">
        <v>77</v>
      </c>
      <c r="D619" s="392" t="s">
        <v>232</v>
      </c>
      <c r="E619" s="392" t="s">
        <v>6</v>
      </c>
      <c r="F619" s="471">
        <f>F620</f>
        <v>64995.03</v>
      </c>
      <c r="G619" s="462">
        <f t="shared" si="282"/>
        <v>70000</v>
      </c>
      <c r="H619" s="462"/>
      <c r="I619" s="462">
        <f t="shared" si="282"/>
        <v>70000</v>
      </c>
      <c r="J619" s="462">
        <f t="shared" si="282"/>
        <v>70000</v>
      </c>
      <c r="K619" s="462">
        <f t="shared" si="256"/>
        <v>100</v>
      </c>
      <c r="L619" s="462">
        <f t="shared" si="257"/>
        <v>0</v>
      </c>
      <c r="M619" s="462">
        <f t="shared" si="283"/>
        <v>70000</v>
      </c>
      <c r="N619" s="178">
        <f t="shared" si="255"/>
        <v>0</v>
      </c>
    </row>
    <row r="620" spans="1:14" ht="23.3" customHeight="1" outlineLevel="7" x14ac:dyDescent="0.3">
      <c r="A620" s="189" t="s">
        <v>15</v>
      </c>
      <c r="B620" s="392" t="s">
        <v>490</v>
      </c>
      <c r="C620" s="392" t="s">
        <v>77</v>
      </c>
      <c r="D620" s="392" t="s">
        <v>232</v>
      </c>
      <c r="E620" s="392" t="s">
        <v>16</v>
      </c>
      <c r="F620" s="471">
        <f>F621</f>
        <v>64995.03</v>
      </c>
      <c r="G620" s="462">
        <f t="shared" si="282"/>
        <v>70000</v>
      </c>
      <c r="H620" s="462"/>
      <c r="I620" s="462">
        <f t="shared" si="282"/>
        <v>70000</v>
      </c>
      <c r="J620" s="462">
        <f t="shared" si="282"/>
        <v>70000</v>
      </c>
      <c r="K620" s="462">
        <f t="shared" si="256"/>
        <v>100</v>
      </c>
      <c r="L620" s="462">
        <f t="shared" si="257"/>
        <v>0</v>
      </c>
      <c r="M620" s="462">
        <f t="shared" si="283"/>
        <v>70000</v>
      </c>
      <c r="N620" s="178">
        <f t="shared" si="255"/>
        <v>0</v>
      </c>
    </row>
    <row r="621" spans="1:14" ht="50.95" outlineLevel="2" x14ac:dyDescent="0.3">
      <c r="A621" s="189" t="s">
        <v>17</v>
      </c>
      <c r="B621" s="392" t="s">
        <v>490</v>
      </c>
      <c r="C621" s="392" t="s">
        <v>77</v>
      </c>
      <c r="D621" s="392" t="s">
        <v>232</v>
      </c>
      <c r="E621" s="392" t="s">
        <v>18</v>
      </c>
      <c r="F621" s="475">
        <v>64995.03</v>
      </c>
      <c r="G621" s="449">
        <f>'потребность 2023 (5)'!K665</f>
        <v>70000</v>
      </c>
      <c r="H621" s="449"/>
      <c r="I621" s="449">
        <v>70000</v>
      </c>
      <c r="J621" s="449">
        <v>70000</v>
      </c>
      <c r="K621" s="462">
        <f t="shared" si="256"/>
        <v>100</v>
      </c>
      <c r="L621" s="462">
        <f t="shared" si="257"/>
        <v>0</v>
      </c>
      <c r="M621" s="449">
        <v>70000</v>
      </c>
      <c r="N621" s="178">
        <f t="shared" si="255"/>
        <v>0</v>
      </c>
    </row>
    <row r="622" spans="1:14" ht="67.95" outlineLevel="2" x14ac:dyDescent="0.3">
      <c r="A622" s="452" t="s">
        <v>1103</v>
      </c>
      <c r="B622" s="451" t="s">
        <v>490</v>
      </c>
      <c r="C622" s="451" t="s">
        <v>77</v>
      </c>
      <c r="D622" s="562" t="s">
        <v>1104</v>
      </c>
      <c r="E622" s="451" t="s">
        <v>6</v>
      </c>
      <c r="F622" s="476">
        <f>F624</f>
        <v>5000</v>
      </c>
      <c r="G622" s="449"/>
      <c r="H622" s="449"/>
      <c r="I622" s="449"/>
      <c r="J622" s="449"/>
      <c r="K622" s="462" t="e">
        <f t="shared" si="256"/>
        <v>#DIV/0!</v>
      </c>
      <c r="L622" s="462">
        <f t="shared" si="257"/>
        <v>0</v>
      </c>
      <c r="M622" s="449"/>
      <c r="N622" s="178">
        <f t="shared" si="255"/>
        <v>0</v>
      </c>
    </row>
    <row r="623" spans="1:14" ht="34" outlineLevel="2" x14ac:dyDescent="0.3">
      <c r="A623" s="452" t="s">
        <v>15</v>
      </c>
      <c r="B623" s="451" t="s">
        <v>490</v>
      </c>
      <c r="C623" s="451" t="s">
        <v>77</v>
      </c>
      <c r="D623" s="562" t="s">
        <v>1104</v>
      </c>
      <c r="E623" s="451" t="s">
        <v>16</v>
      </c>
      <c r="F623" s="476">
        <f>F624</f>
        <v>5000</v>
      </c>
      <c r="G623" s="449"/>
      <c r="H623" s="449"/>
      <c r="I623" s="449"/>
      <c r="J623" s="449"/>
      <c r="K623" s="462" t="e">
        <f t="shared" si="256"/>
        <v>#DIV/0!</v>
      </c>
      <c r="L623" s="462">
        <f t="shared" si="257"/>
        <v>0</v>
      </c>
      <c r="M623" s="449"/>
      <c r="N623" s="178">
        <f t="shared" si="255"/>
        <v>0</v>
      </c>
    </row>
    <row r="624" spans="1:14" ht="50.95" outlineLevel="2" x14ac:dyDescent="0.3">
      <c r="A624" s="452" t="s">
        <v>17</v>
      </c>
      <c r="B624" s="451" t="s">
        <v>490</v>
      </c>
      <c r="C624" s="451" t="s">
        <v>77</v>
      </c>
      <c r="D624" s="562" t="s">
        <v>1104</v>
      </c>
      <c r="E624" s="451" t="s">
        <v>18</v>
      </c>
      <c r="F624" s="475">
        <v>5000</v>
      </c>
      <c r="G624" s="449"/>
      <c r="H624" s="449"/>
      <c r="I624" s="449"/>
      <c r="J624" s="449"/>
      <c r="K624" s="462" t="e">
        <f t="shared" si="256"/>
        <v>#DIV/0!</v>
      </c>
      <c r="L624" s="462">
        <f t="shared" si="257"/>
        <v>0</v>
      </c>
      <c r="M624" s="449"/>
      <c r="N624" s="178">
        <f t="shared" si="255"/>
        <v>0</v>
      </c>
    </row>
    <row r="625" spans="1:14" s="224" customFormat="1" ht="34" outlineLevel="3" x14ac:dyDescent="0.3">
      <c r="A625" s="189" t="s">
        <v>267</v>
      </c>
      <c r="B625" s="392" t="s">
        <v>490</v>
      </c>
      <c r="C625" s="392" t="s">
        <v>77</v>
      </c>
      <c r="D625" s="392" t="s">
        <v>220</v>
      </c>
      <c r="E625" s="392" t="s">
        <v>6</v>
      </c>
      <c r="F625" s="476"/>
      <c r="G625" s="449">
        <f>G626</f>
        <v>0</v>
      </c>
      <c r="H625" s="449"/>
      <c r="I625" s="449">
        <f>I626</f>
        <v>0</v>
      </c>
      <c r="J625" s="467"/>
      <c r="K625" s="462" t="e">
        <f t="shared" si="256"/>
        <v>#DIV/0!</v>
      </c>
      <c r="L625" s="462">
        <f t="shared" si="257"/>
        <v>0</v>
      </c>
      <c r="M625" s="467"/>
      <c r="N625" s="178">
        <f t="shared" si="255"/>
        <v>0</v>
      </c>
    </row>
    <row r="626" spans="1:14" s="224" customFormat="1" ht="61.15" customHeight="1" outlineLevel="3" x14ac:dyDescent="0.3">
      <c r="A626" s="185" t="s">
        <v>937</v>
      </c>
      <c r="B626" s="392" t="s">
        <v>490</v>
      </c>
      <c r="C626" s="392" t="s">
        <v>77</v>
      </c>
      <c r="D626" s="392" t="s">
        <v>152</v>
      </c>
      <c r="E626" s="392" t="s">
        <v>6</v>
      </c>
      <c r="F626" s="476"/>
      <c r="G626" s="462">
        <f>G627+G631+G629</f>
        <v>0</v>
      </c>
      <c r="H626" s="462"/>
      <c r="I626" s="462">
        <f>I627+I631+I629</f>
        <v>0</v>
      </c>
      <c r="J626" s="467"/>
      <c r="K626" s="462" t="e">
        <f t="shared" si="256"/>
        <v>#DIV/0!</v>
      </c>
      <c r="L626" s="462">
        <f t="shared" si="257"/>
        <v>0</v>
      </c>
      <c r="M626" s="467"/>
      <c r="N626" s="178">
        <f t="shared" si="255"/>
        <v>0</v>
      </c>
    </row>
    <row r="627" spans="1:14" ht="34" outlineLevel="5" x14ac:dyDescent="0.3">
      <c r="A627" s="189" t="s">
        <v>15</v>
      </c>
      <c r="B627" s="392" t="s">
        <v>490</v>
      </c>
      <c r="C627" s="392" t="s">
        <v>77</v>
      </c>
      <c r="D627" s="392" t="s">
        <v>152</v>
      </c>
      <c r="E627" s="392" t="s">
        <v>16</v>
      </c>
      <c r="F627" s="475"/>
      <c r="G627" s="462">
        <v>0</v>
      </c>
      <c r="H627" s="462"/>
      <c r="I627" s="462">
        <v>0</v>
      </c>
      <c r="J627" s="449"/>
      <c r="K627" s="462" t="e">
        <f t="shared" si="256"/>
        <v>#DIV/0!</v>
      </c>
      <c r="L627" s="462">
        <f t="shared" si="257"/>
        <v>0</v>
      </c>
      <c r="M627" s="449"/>
      <c r="N627" s="178">
        <f t="shared" si="255"/>
        <v>0</v>
      </c>
    </row>
    <row r="628" spans="1:14" ht="50.95" outlineLevel="6" x14ac:dyDescent="0.3">
      <c r="A628" s="189" t="s">
        <v>17</v>
      </c>
      <c r="B628" s="392" t="s">
        <v>490</v>
      </c>
      <c r="C628" s="392" t="s">
        <v>77</v>
      </c>
      <c r="D628" s="392" t="s">
        <v>152</v>
      </c>
      <c r="E628" s="392" t="s">
        <v>18</v>
      </c>
      <c r="F628" s="462"/>
      <c r="G628" s="449">
        <v>0</v>
      </c>
      <c r="H628" s="449"/>
      <c r="I628" s="449">
        <v>0</v>
      </c>
      <c r="J628" s="449"/>
      <c r="K628" s="462" t="e">
        <f t="shared" si="256"/>
        <v>#DIV/0!</v>
      </c>
      <c r="L628" s="462">
        <f t="shared" si="257"/>
        <v>0</v>
      </c>
      <c r="M628" s="449"/>
      <c r="N628" s="178">
        <f t="shared" si="255"/>
        <v>0</v>
      </c>
    </row>
    <row r="629" spans="1:14" ht="34" outlineLevel="7" x14ac:dyDescent="0.3">
      <c r="A629" s="189" t="s">
        <v>90</v>
      </c>
      <c r="B629" s="392" t="s">
        <v>490</v>
      </c>
      <c r="C629" s="392" t="s">
        <v>77</v>
      </c>
      <c r="D629" s="392" t="s">
        <v>152</v>
      </c>
      <c r="E629" s="392" t="s">
        <v>91</v>
      </c>
      <c r="F629" s="462"/>
      <c r="G629" s="462">
        <v>0</v>
      </c>
      <c r="H629" s="462"/>
      <c r="I629" s="462">
        <v>0</v>
      </c>
      <c r="J629" s="449"/>
      <c r="K629" s="462" t="e">
        <f t="shared" si="256"/>
        <v>#DIV/0!</v>
      </c>
      <c r="L629" s="462">
        <f t="shared" si="257"/>
        <v>0</v>
      </c>
      <c r="M629" s="449"/>
      <c r="N629" s="178">
        <f t="shared" ref="N629:N692" si="284">M629-J629</f>
        <v>0</v>
      </c>
    </row>
    <row r="630" spans="1:14" ht="34" outlineLevel="6" x14ac:dyDescent="0.3">
      <c r="A630" s="189" t="s">
        <v>97</v>
      </c>
      <c r="B630" s="392" t="s">
        <v>490</v>
      </c>
      <c r="C630" s="392" t="s">
        <v>77</v>
      </c>
      <c r="D630" s="392" t="s">
        <v>152</v>
      </c>
      <c r="E630" s="392" t="s">
        <v>98</v>
      </c>
      <c r="F630" s="462"/>
      <c r="G630" s="449">
        <v>0</v>
      </c>
      <c r="H630" s="449"/>
      <c r="I630" s="449">
        <v>0</v>
      </c>
      <c r="J630" s="449"/>
      <c r="K630" s="462" t="e">
        <f t="shared" ref="K630:K693" si="285">J630/G630*100</f>
        <v>#DIV/0!</v>
      </c>
      <c r="L630" s="462">
        <f t="shared" ref="L630:L693" si="286">J630-G630</f>
        <v>0</v>
      </c>
      <c r="M630" s="449"/>
      <c r="N630" s="178">
        <f t="shared" si="284"/>
        <v>0</v>
      </c>
    </row>
    <row r="631" spans="1:14" ht="21.25" customHeight="1" outlineLevel="7" x14ac:dyDescent="0.3">
      <c r="A631" s="189" t="s">
        <v>37</v>
      </c>
      <c r="B631" s="392" t="s">
        <v>490</v>
      </c>
      <c r="C631" s="392" t="s">
        <v>77</v>
      </c>
      <c r="D631" s="392" t="s">
        <v>152</v>
      </c>
      <c r="E631" s="392" t="s">
        <v>38</v>
      </c>
      <c r="F631" s="462"/>
      <c r="G631" s="462">
        <v>0</v>
      </c>
      <c r="H631" s="462"/>
      <c r="I631" s="462">
        <v>0</v>
      </c>
      <c r="J631" s="449"/>
      <c r="K631" s="462" t="e">
        <f t="shared" si="285"/>
        <v>#DIV/0!</v>
      </c>
      <c r="L631" s="462">
        <f t="shared" si="286"/>
        <v>0</v>
      </c>
      <c r="M631" s="449"/>
      <c r="N631" s="178">
        <f t="shared" si="284"/>
        <v>0</v>
      </c>
    </row>
    <row r="632" spans="1:14" outlineLevel="7" x14ac:dyDescent="0.3">
      <c r="A632" s="189" t="s">
        <v>74</v>
      </c>
      <c r="B632" s="392" t="s">
        <v>490</v>
      </c>
      <c r="C632" s="392" t="s">
        <v>77</v>
      </c>
      <c r="D632" s="392" t="s">
        <v>152</v>
      </c>
      <c r="E632" s="392" t="s">
        <v>75</v>
      </c>
      <c r="F632" s="462"/>
      <c r="G632" s="449">
        <v>0</v>
      </c>
      <c r="H632" s="449"/>
      <c r="I632" s="449">
        <v>0</v>
      </c>
      <c r="J632" s="449"/>
      <c r="K632" s="462" t="e">
        <f t="shared" si="285"/>
        <v>#DIV/0!</v>
      </c>
      <c r="L632" s="462">
        <f t="shared" si="286"/>
        <v>0</v>
      </c>
      <c r="M632" s="449"/>
      <c r="N632" s="178">
        <f t="shared" si="284"/>
        <v>0</v>
      </c>
    </row>
    <row r="633" spans="1:14" ht="34" outlineLevel="7" x14ac:dyDescent="0.3">
      <c r="A633" s="189" t="s">
        <v>234</v>
      </c>
      <c r="B633" s="392" t="s">
        <v>490</v>
      </c>
      <c r="C633" s="392" t="s">
        <v>77</v>
      </c>
      <c r="D633" s="392" t="s">
        <v>233</v>
      </c>
      <c r="E633" s="392" t="s">
        <v>6</v>
      </c>
      <c r="F633" s="476">
        <f t="shared" ref="F633:J635" si="287">F634</f>
        <v>125000</v>
      </c>
      <c r="G633" s="449">
        <f t="shared" si="287"/>
        <v>125000</v>
      </c>
      <c r="H633" s="449"/>
      <c r="I633" s="449">
        <f t="shared" si="287"/>
        <v>125000</v>
      </c>
      <c r="J633" s="449">
        <f t="shared" si="287"/>
        <v>125000</v>
      </c>
      <c r="K633" s="462">
        <f t="shared" si="285"/>
        <v>100</v>
      </c>
      <c r="L633" s="462">
        <f t="shared" si="286"/>
        <v>0</v>
      </c>
      <c r="M633" s="449">
        <f t="shared" ref="M633:M635" si="288">M634</f>
        <v>125000</v>
      </c>
      <c r="N633" s="178">
        <f t="shared" si="284"/>
        <v>0</v>
      </c>
    </row>
    <row r="634" spans="1:14" ht="34" outlineLevel="5" x14ac:dyDescent="0.3">
      <c r="A634" s="189" t="s">
        <v>78</v>
      </c>
      <c r="B634" s="392" t="s">
        <v>490</v>
      </c>
      <c r="C634" s="392" t="s">
        <v>77</v>
      </c>
      <c r="D634" s="392" t="s">
        <v>153</v>
      </c>
      <c r="E634" s="392" t="s">
        <v>6</v>
      </c>
      <c r="F634" s="471">
        <f t="shared" si="287"/>
        <v>125000</v>
      </c>
      <c r="G634" s="462">
        <f t="shared" si="287"/>
        <v>125000</v>
      </c>
      <c r="H634" s="462"/>
      <c r="I634" s="462">
        <f t="shared" si="287"/>
        <v>125000</v>
      </c>
      <c r="J634" s="462">
        <f t="shared" si="287"/>
        <v>125000</v>
      </c>
      <c r="K634" s="462">
        <f t="shared" si="285"/>
        <v>100</v>
      </c>
      <c r="L634" s="462">
        <f t="shared" si="286"/>
        <v>0</v>
      </c>
      <c r="M634" s="462">
        <f t="shared" si="288"/>
        <v>125000</v>
      </c>
      <c r="N634" s="178">
        <f t="shared" si="284"/>
        <v>0</v>
      </c>
    </row>
    <row r="635" spans="1:14" ht="34" outlineLevel="6" x14ac:dyDescent="0.3">
      <c r="A635" s="189" t="s">
        <v>15</v>
      </c>
      <c r="B635" s="392" t="s">
        <v>490</v>
      </c>
      <c r="C635" s="392" t="s">
        <v>77</v>
      </c>
      <c r="D635" s="392" t="s">
        <v>153</v>
      </c>
      <c r="E635" s="392" t="s">
        <v>16</v>
      </c>
      <c r="F635" s="471">
        <f t="shared" si="287"/>
        <v>125000</v>
      </c>
      <c r="G635" s="462">
        <f t="shared" si="287"/>
        <v>125000</v>
      </c>
      <c r="H635" s="462"/>
      <c r="I635" s="462">
        <f t="shared" si="287"/>
        <v>125000</v>
      </c>
      <c r="J635" s="462">
        <f t="shared" si="287"/>
        <v>125000</v>
      </c>
      <c r="K635" s="462">
        <f t="shared" si="285"/>
        <v>100</v>
      </c>
      <c r="L635" s="462">
        <f t="shared" si="286"/>
        <v>0</v>
      </c>
      <c r="M635" s="462">
        <f t="shared" si="288"/>
        <v>125000</v>
      </c>
      <c r="N635" s="178">
        <f t="shared" si="284"/>
        <v>0</v>
      </c>
    </row>
    <row r="636" spans="1:14" ht="50.95" outlineLevel="7" x14ac:dyDescent="0.3">
      <c r="A636" s="189" t="s">
        <v>17</v>
      </c>
      <c r="B636" s="392" t="s">
        <v>490</v>
      </c>
      <c r="C636" s="392" t="s">
        <v>77</v>
      </c>
      <c r="D636" s="392" t="s">
        <v>153</v>
      </c>
      <c r="E636" s="392" t="s">
        <v>18</v>
      </c>
      <c r="F636" s="475">
        <v>125000</v>
      </c>
      <c r="G636" s="449">
        <f>'потребность 2023 (5)'!K677</f>
        <v>125000</v>
      </c>
      <c r="H636" s="449"/>
      <c r="I636" s="449">
        <v>125000</v>
      </c>
      <c r="J636" s="449">
        <v>125000</v>
      </c>
      <c r="K636" s="462">
        <f t="shared" si="285"/>
        <v>100</v>
      </c>
      <c r="L636" s="462">
        <f t="shared" si="286"/>
        <v>0</v>
      </c>
      <c r="M636" s="449">
        <v>125000</v>
      </c>
      <c r="N636" s="178">
        <f t="shared" si="284"/>
        <v>0</v>
      </c>
    </row>
    <row r="637" spans="1:14" outlineLevel="6" x14ac:dyDescent="0.3">
      <c r="A637" s="189" t="s">
        <v>116</v>
      </c>
      <c r="B637" s="392" t="s">
        <v>490</v>
      </c>
      <c r="C637" s="392" t="s">
        <v>117</v>
      </c>
      <c r="D637" s="392" t="s">
        <v>126</v>
      </c>
      <c r="E637" s="392" t="s">
        <v>6</v>
      </c>
      <c r="F637" s="471">
        <f>F638</f>
        <v>6896068.7999999998</v>
      </c>
      <c r="G637" s="462">
        <f>G638</f>
        <v>24167309</v>
      </c>
      <c r="H637" s="462"/>
      <c r="I637" s="462">
        <f>I638</f>
        <v>22693236</v>
      </c>
      <c r="J637" s="462">
        <f>J638</f>
        <v>27221706</v>
      </c>
      <c r="K637" s="462">
        <f t="shared" si="285"/>
        <v>112.63854821403574</v>
      </c>
      <c r="L637" s="462">
        <f t="shared" si="286"/>
        <v>3054397</v>
      </c>
      <c r="M637" s="462">
        <f>M638</f>
        <v>30670080</v>
      </c>
      <c r="N637" s="178">
        <f t="shared" si="284"/>
        <v>3448374</v>
      </c>
    </row>
    <row r="638" spans="1:14" ht="46.55" customHeight="1" outlineLevel="7" x14ac:dyDescent="0.3">
      <c r="A638" s="233" t="s">
        <v>1041</v>
      </c>
      <c r="B638" s="397" t="s">
        <v>490</v>
      </c>
      <c r="C638" s="397" t="s">
        <v>117</v>
      </c>
      <c r="D638" s="397" t="s">
        <v>138</v>
      </c>
      <c r="E638" s="397" t="s">
        <v>6</v>
      </c>
      <c r="F638" s="501">
        <f>F639</f>
        <v>6896068.7999999998</v>
      </c>
      <c r="G638" s="485">
        <f>G639+G657</f>
        <v>24167309</v>
      </c>
      <c r="H638" s="485"/>
      <c r="I638" s="485">
        <f>I639+I657</f>
        <v>22693236</v>
      </c>
      <c r="J638" s="485">
        <f>J639+J657</f>
        <v>27221706</v>
      </c>
      <c r="K638" s="462">
        <f t="shared" si="285"/>
        <v>112.63854821403574</v>
      </c>
      <c r="L638" s="462">
        <f t="shared" si="286"/>
        <v>3054397</v>
      </c>
      <c r="M638" s="485">
        <f>M639+M657</f>
        <v>30670080</v>
      </c>
      <c r="N638" s="178">
        <f t="shared" si="284"/>
        <v>3448374</v>
      </c>
    </row>
    <row r="639" spans="1:14" ht="50.95" outlineLevel="6" x14ac:dyDescent="0.3">
      <c r="A639" s="189" t="s">
        <v>206</v>
      </c>
      <c r="B639" s="392" t="s">
        <v>490</v>
      </c>
      <c r="C639" s="392" t="s">
        <v>117</v>
      </c>
      <c r="D639" s="392" t="s">
        <v>223</v>
      </c>
      <c r="E639" s="392" t="s">
        <v>6</v>
      </c>
      <c r="F639" s="473">
        <f>F640+F645+F652</f>
        <v>6896068.7999999998</v>
      </c>
      <c r="G639" s="465">
        <f>G640+G647+G654</f>
        <v>24167309</v>
      </c>
      <c r="H639" s="465"/>
      <c r="I639" s="465">
        <f>I640+I647+I654</f>
        <v>22693236</v>
      </c>
      <c r="J639" s="465">
        <f>J640+J647+J654</f>
        <v>27221706</v>
      </c>
      <c r="K639" s="462">
        <f t="shared" si="285"/>
        <v>112.63854821403574</v>
      </c>
      <c r="L639" s="462">
        <f t="shared" si="286"/>
        <v>3054397</v>
      </c>
      <c r="M639" s="465">
        <f>M640+M647+M654</f>
        <v>26621706</v>
      </c>
      <c r="N639" s="178">
        <f t="shared" si="284"/>
        <v>-600000</v>
      </c>
    </row>
    <row r="640" spans="1:14" ht="39.75" customHeight="1" outlineLevel="7" x14ac:dyDescent="0.3">
      <c r="A640" s="189" t="s">
        <v>449</v>
      </c>
      <c r="B640" s="392" t="s">
        <v>490</v>
      </c>
      <c r="C640" s="392" t="s">
        <v>117</v>
      </c>
      <c r="D640" s="392" t="s">
        <v>489</v>
      </c>
      <c r="E640" s="392" t="s">
        <v>6</v>
      </c>
      <c r="F640" s="471">
        <f>F641+F643</f>
        <v>6864576.7999999998</v>
      </c>
      <c r="G640" s="462">
        <f>G641+G643+G645</f>
        <v>5629844</v>
      </c>
      <c r="H640" s="462"/>
      <c r="I640" s="462">
        <f>I641+I643+I645</f>
        <v>5442427</v>
      </c>
      <c r="J640" s="462">
        <f>J641+J643+J645</f>
        <v>6139000</v>
      </c>
      <c r="K640" s="462">
        <f t="shared" si="285"/>
        <v>109.04387403984906</v>
      </c>
      <c r="L640" s="462">
        <f t="shared" si="286"/>
        <v>509156</v>
      </c>
      <c r="M640" s="462">
        <f>M641+M643+M645</f>
        <v>6139000</v>
      </c>
      <c r="N640" s="178">
        <f t="shared" si="284"/>
        <v>0</v>
      </c>
    </row>
    <row r="641" spans="1:14" ht="101.9" outlineLevel="3" x14ac:dyDescent="0.3">
      <c r="A641" s="189" t="s">
        <v>11</v>
      </c>
      <c r="B641" s="392" t="s">
        <v>490</v>
      </c>
      <c r="C641" s="392" t="s">
        <v>117</v>
      </c>
      <c r="D641" s="392" t="s">
        <v>489</v>
      </c>
      <c r="E641" s="392" t="s">
        <v>12</v>
      </c>
      <c r="F641" s="471">
        <f>F642</f>
        <v>5344225</v>
      </c>
      <c r="G641" s="462">
        <f>G642</f>
        <v>5300410</v>
      </c>
      <c r="H641" s="462"/>
      <c r="I641" s="462">
        <f>I642</f>
        <v>5312427</v>
      </c>
      <c r="J641" s="462">
        <f>J642</f>
        <v>5859000</v>
      </c>
      <c r="K641" s="462">
        <f t="shared" si="285"/>
        <v>110.53861871062804</v>
      </c>
      <c r="L641" s="462">
        <f t="shared" si="286"/>
        <v>558590</v>
      </c>
      <c r="M641" s="462">
        <f>M642</f>
        <v>5859000</v>
      </c>
      <c r="N641" s="178">
        <f t="shared" si="284"/>
        <v>0</v>
      </c>
    </row>
    <row r="642" spans="1:14" ht="34" outlineLevel="3" x14ac:dyDescent="0.3">
      <c r="A642" s="189" t="s">
        <v>13</v>
      </c>
      <c r="B642" s="392" t="s">
        <v>490</v>
      </c>
      <c r="C642" s="392" t="s">
        <v>117</v>
      </c>
      <c r="D642" s="392" t="s">
        <v>489</v>
      </c>
      <c r="E642" s="392" t="s">
        <v>14</v>
      </c>
      <c r="F642" s="475">
        <v>5344225</v>
      </c>
      <c r="G642" s="449">
        <f>'потребность 2023 (5)'!K683</f>
        <v>5300410</v>
      </c>
      <c r="H642" s="449"/>
      <c r="I642" s="449">
        <v>5312427</v>
      </c>
      <c r="J642" s="449">
        <v>5859000</v>
      </c>
      <c r="K642" s="462">
        <f t="shared" si="285"/>
        <v>110.53861871062804</v>
      </c>
      <c r="L642" s="462">
        <f t="shared" si="286"/>
        <v>558590</v>
      </c>
      <c r="M642" s="449">
        <v>5859000</v>
      </c>
      <c r="N642" s="178">
        <f t="shared" si="284"/>
        <v>0</v>
      </c>
    </row>
    <row r="643" spans="1:14" ht="34" outlineLevel="3" x14ac:dyDescent="0.3">
      <c r="A643" s="189" t="s">
        <v>15</v>
      </c>
      <c r="B643" s="392" t="s">
        <v>490</v>
      </c>
      <c r="C643" s="392" t="s">
        <v>117</v>
      </c>
      <c r="D643" s="392" t="s">
        <v>489</v>
      </c>
      <c r="E643" s="392" t="s">
        <v>16</v>
      </c>
      <c r="F643" s="471">
        <f>F644</f>
        <v>1520351.8</v>
      </c>
      <c r="G643" s="462">
        <f>G644</f>
        <v>329434</v>
      </c>
      <c r="H643" s="462"/>
      <c r="I643" s="462">
        <f>I644</f>
        <v>130000</v>
      </c>
      <c r="J643" s="462">
        <f>J644</f>
        <v>280000</v>
      </c>
      <c r="K643" s="462">
        <f t="shared" si="285"/>
        <v>84.994262887255118</v>
      </c>
      <c r="L643" s="462">
        <f t="shared" si="286"/>
        <v>-49434</v>
      </c>
      <c r="M643" s="462">
        <f>M644</f>
        <v>280000</v>
      </c>
      <c r="N643" s="178">
        <f t="shared" si="284"/>
        <v>0</v>
      </c>
    </row>
    <row r="644" spans="1:14" s="224" customFormat="1" ht="46.2" customHeight="1" outlineLevel="3" x14ac:dyDescent="0.3">
      <c r="A644" s="189" t="s">
        <v>17</v>
      </c>
      <c r="B644" s="392" t="s">
        <v>490</v>
      </c>
      <c r="C644" s="392" t="s">
        <v>117</v>
      </c>
      <c r="D644" s="392" t="s">
        <v>489</v>
      </c>
      <c r="E644" s="392" t="s">
        <v>18</v>
      </c>
      <c r="F644" s="475">
        <v>1520351.8</v>
      </c>
      <c r="G644" s="449">
        <f>'потребность 2023 (5)'!K685+135774+93660</f>
        <v>329434</v>
      </c>
      <c r="H644" s="449"/>
      <c r="I644" s="449">
        <v>130000</v>
      </c>
      <c r="J644" s="467">
        <v>280000</v>
      </c>
      <c r="K644" s="462">
        <f t="shared" si="285"/>
        <v>84.994262887255118</v>
      </c>
      <c r="L644" s="462">
        <f t="shared" si="286"/>
        <v>-49434</v>
      </c>
      <c r="M644" s="467">
        <v>280000</v>
      </c>
      <c r="N644" s="178">
        <f t="shared" si="284"/>
        <v>0</v>
      </c>
    </row>
    <row r="645" spans="1:14" outlineLevel="3" x14ac:dyDescent="0.3">
      <c r="A645" s="189" t="s">
        <v>19</v>
      </c>
      <c r="B645" s="392" t="s">
        <v>490</v>
      </c>
      <c r="C645" s="392" t="s">
        <v>117</v>
      </c>
      <c r="D645" s="392" t="s">
        <v>489</v>
      </c>
      <c r="E645" s="392" t="s">
        <v>20</v>
      </c>
      <c r="F645" s="462" t="s">
        <v>838</v>
      </c>
      <c r="G645" s="449">
        <f>G646</f>
        <v>0</v>
      </c>
      <c r="H645" s="449"/>
      <c r="I645" s="449">
        <f>I646</f>
        <v>0</v>
      </c>
      <c r="J645" s="449">
        <f>J646</f>
        <v>0</v>
      </c>
      <c r="K645" s="462" t="e">
        <f t="shared" si="285"/>
        <v>#DIV/0!</v>
      </c>
      <c r="L645" s="462">
        <f t="shared" si="286"/>
        <v>0</v>
      </c>
      <c r="M645" s="449">
        <f>M646</f>
        <v>0</v>
      </c>
      <c r="N645" s="178">
        <f t="shared" si="284"/>
        <v>0</v>
      </c>
    </row>
    <row r="646" spans="1:14" s="224" customFormat="1" outlineLevel="3" x14ac:dyDescent="0.3">
      <c r="A646" s="189" t="s">
        <v>21</v>
      </c>
      <c r="B646" s="392" t="s">
        <v>490</v>
      </c>
      <c r="C646" s="392" t="s">
        <v>117</v>
      </c>
      <c r="D646" s="392" t="s">
        <v>489</v>
      </c>
      <c r="E646" s="392" t="s">
        <v>22</v>
      </c>
      <c r="F646" s="462" t="s">
        <v>838</v>
      </c>
      <c r="G646" s="449">
        <f>'потребность 2023 (5)'!K687</f>
        <v>0</v>
      </c>
      <c r="H646" s="449"/>
      <c r="I646" s="449">
        <f>'потребность 2023 (5)'!L687</f>
        <v>0</v>
      </c>
      <c r="J646" s="467">
        <v>0</v>
      </c>
      <c r="K646" s="462" t="e">
        <f t="shared" si="285"/>
        <v>#DIV/0!</v>
      </c>
      <c r="L646" s="462">
        <f t="shared" si="286"/>
        <v>0</v>
      </c>
      <c r="M646" s="467">
        <v>0</v>
      </c>
      <c r="N646" s="178">
        <f t="shared" si="284"/>
        <v>0</v>
      </c>
    </row>
    <row r="647" spans="1:14" ht="50.95" outlineLevel="3" x14ac:dyDescent="0.3">
      <c r="A647" s="189" t="s">
        <v>33</v>
      </c>
      <c r="B647" s="392" t="s">
        <v>490</v>
      </c>
      <c r="C647" s="392" t="s">
        <v>117</v>
      </c>
      <c r="D647" s="392" t="s">
        <v>154</v>
      </c>
      <c r="E647" s="392" t="s">
        <v>6</v>
      </c>
      <c r="F647" s="471">
        <f>F648+F650+F652</f>
        <v>15427760.949999999</v>
      </c>
      <c r="G647" s="462">
        <f>G648+G650+G652</f>
        <v>15964460</v>
      </c>
      <c r="H647" s="462"/>
      <c r="I647" s="462">
        <f>I648+I650+I652</f>
        <v>14893909</v>
      </c>
      <c r="J647" s="462">
        <f>J648+J650+J652</f>
        <v>18208682</v>
      </c>
      <c r="K647" s="462">
        <f t="shared" si="285"/>
        <v>114.05761297281587</v>
      </c>
      <c r="L647" s="462">
        <f t="shared" si="286"/>
        <v>2244222</v>
      </c>
      <c r="M647" s="462">
        <f>M648+M650+M652</f>
        <v>17608682</v>
      </c>
      <c r="N647" s="178">
        <f t="shared" si="284"/>
        <v>-600000</v>
      </c>
    </row>
    <row r="648" spans="1:14" ht="101.9" outlineLevel="3" x14ac:dyDescent="0.3">
      <c r="A648" s="189" t="s">
        <v>11</v>
      </c>
      <c r="B648" s="392" t="s">
        <v>490</v>
      </c>
      <c r="C648" s="392" t="s">
        <v>117</v>
      </c>
      <c r="D648" s="392" t="s">
        <v>154</v>
      </c>
      <c r="E648" s="392" t="s">
        <v>12</v>
      </c>
      <c r="F648" s="471">
        <f>F649</f>
        <v>12735228.189999999</v>
      </c>
      <c r="G648" s="462">
        <f>G649</f>
        <v>12697995</v>
      </c>
      <c r="H648" s="462"/>
      <c r="I648" s="462">
        <f>I649</f>
        <v>12715139</v>
      </c>
      <c r="J648" s="462">
        <f>J649</f>
        <v>14549508</v>
      </c>
      <c r="K648" s="462">
        <f t="shared" si="285"/>
        <v>114.58114450352201</v>
      </c>
      <c r="L648" s="462">
        <f t="shared" si="286"/>
        <v>1851513</v>
      </c>
      <c r="M648" s="462">
        <f>M649</f>
        <v>14549508</v>
      </c>
      <c r="N648" s="178">
        <f t="shared" si="284"/>
        <v>0</v>
      </c>
    </row>
    <row r="649" spans="1:14" ht="34" outlineLevel="3" x14ac:dyDescent="0.3">
      <c r="A649" s="189" t="s">
        <v>34</v>
      </c>
      <c r="B649" s="392" t="s">
        <v>490</v>
      </c>
      <c r="C649" s="392" t="s">
        <v>117</v>
      </c>
      <c r="D649" s="392" t="s">
        <v>154</v>
      </c>
      <c r="E649" s="392" t="s">
        <v>35</v>
      </c>
      <c r="F649" s="475">
        <v>12735228.189999999</v>
      </c>
      <c r="G649" s="449">
        <f>'потребность 2023 (5)'!K690+45140</f>
        <v>12697995</v>
      </c>
      <c r="H649" s="449"/>
      <c r="I649" s="449">
        <v>12715139</v>
      </c>
      <c r="J649" s="449">
        <v>14549508</v>
      </c>
      <c r="K649" s="462">
        <f t="shared" si="285"/>
        <v>114.58114450352201</v>
      </c>
      <c r="L649" s="462">
        <f t="shared" si="286"/>
        <v>1851513</v>
      </c>
      <c r="M649" s="449">
        <v>14549508</v>
      </c>
      <c r="N649" s="178">
        <f t="shared" si="284"/>
        <v>0</v>
      </c>
    </row>
    <row r="650" spans="1:14" ht="34" outlineLevel="3" x14ac:dyDescent="0.3">
      <c r="A650" s="189" t="s">
        <v>15</v>
      </c>
      <c r="B650" s="392" t="s">
        <v>490</v>
      </c>
      <c r="C650" s="392" t="s">
        <v>117</v>
      </c>
      <c r="D650" s="392" t="s">
        <v>154</v>
      </c>
      <c r="E650" s="392" t="s">
        <v>16</v>
      </c>
      <c r="F650" s="471">
        <f>F651</f>
        <v>2661040.7599999998</v>
      </c>
      <c r="G650" s="462">
        <f>G651</f>
        <v>3228400</v>
      </c>
      <c r="H650" s="462"/>
      <c r="I650" s="462">
        <f>I651</f>
        <v>2141434</v>
      </c>
      <c r="J650" s="462">
        <f>J651</f>
        <v>3627694</v>
      </c>
      <c r="K650" s="462">
        <f t="shared" si="285"/>
        <v>112.36816999132697</v>
      </c>
      <c r="L650" s="462">
        <f t="shared" si="286"/>
        <v>399294</v>
      </c>
      <c r="M650" s="462">
        <f>M651</f>
        <v>3027694</v>
      </c>
      <c r="N650" s="178">
        <f t="shared" si="284"/>
        <v>-600000</v>
      </c>
    </row>
    <row r="651" spans="1:14" ht="50.95" outlineLevel="3" x14ac:dyDescent="0.3">
      <c r="A651" s="189" t="s">
        <v>17</v>
      </c>
      <c r="B651" s="392" t="s">
        <v>490</v>
      </c>
      <c r="C651" s="392" t="s">
        <v>117</v>
      </c>
      <c r="D651" s="392" t="s">
        <v>154</v>
      </c>
      <c r="E651" s="392" t="s">
        <v>18</v>
      </c>
      <c r="F651" s="475">
        <v>2661040.7599999998</v>
      </c>
      <c r="G651" s="449">
        <f>'потребность 2023 (5)'!K692+28400</f>
        <v>3228400</v>
      </c>
      <c r="H651" s="449"/>
      <c r="I651" s="449">
        <v>2141434</v>
      </c>
      <c r="J651" s="449">
        <v>3627694</v>
      </c>
      <c r="K651" s="462">
        <f t="shared" si="285"/>
        <v>112.36816999132697</v>
      </c>
      <c r="L651" s="462">
        <f t="shared" si="286"/>
        <v>399294</v>
      </c>
      <c r="M651" s="449">
        <f>3627694-600000</f>
        <v>3027694</v>
      </c>
      <c r="N651" s="178">
        <f t="shared" si="284"/>
        <v>-600000</v>
      </c>
    </row>
    <row r="652" spans="1:14" s="224" customFormat="1" ht="36.700000000000003" customHeight="1" outlineLevel="3" x14ac:dyDescent="0.3">
      <c r="A652" s="189" t="s">
        <v>19</v>
      </c>
      <c r="B652" s="392" t="s">
        <v>490</v>
      </c>
      <c r="C652" s="392" t="s">
        <v>117</v>
      </c>
      <c r="D652" s="392" t="s">
        <v>154</v>
      </c>
      <c r="E652" s="392" t="s">
        <v>20</v>
      </c>
      <c r="F652" s="475">
        <v>31492</v>
      </c>
      <c r="G652" s="462">
        <f>G653</f>
        <v>38065</v>
      </c>
      <c r="H652" s="462"/>
      <c r="I652" s="462">
        <f>I653</f>
        <v>37336</v>
      </c>
      <c r="J652" s="462">
        <f>J653</f>
        <v>31480</v>
      </c>
      <c r="K652" s="462">
        <f t="shared" si="285"/>
        <v>82.700643635885982</v>
      </c>
      <c r="L652" s="462">
        <f t="shared" si="286"/>
        <v>-6585</v>
      </c>
      <c r="M652" s="462">
        <f>M653</f>
        <v>31480</v>
      </c>
      <c r="N652" s="178">
        <f t="shared" si="284"/>
        <v>0</v>
      </c>
    </row>
    <row r="653" spans="1:14" ht="34.65" customHeight="1" outlineLevel="3" x14ac:dyDescent="0.3">
      <c r="A653" s="189" t="s">
        <v>21</v>
      </c>
      <c r="B653" s="392" t="s">
        <v>490</v>
      </c>
      <c r="C653" s="392" t="s">
        <v>117</v>
      </c>
      <c r="D653" s="392" t="s">
        <v>154</v>
      </c>
      <c r="E653" s="392" t="s">
        <v>22</v>
      </c>
      <c r="F653" s="475">
        <v>31492</v>
      </c>
      <c r="G653" s="449">
        <f>'потребность 2023 (5)'!K694</f>
        <v>38065</v>
      </c>
      <c r="H653" s="449"/>
      <c r="I653" s="449">
        <v>37336</v>
      </c>
      <c r="J653" s="449">
        <v>31480</v>
      </c>
      <c r="K653" s="462">
        <f t="shared" si="285"/>
        <v>82.700643635885982</v>
      </c>
      <c r="L653" s="462">
        <f t="shared" si="286"/>
        <v>-6585</v>
      </c>
      <c r="M653" s="449">
        <v>31480</v>
      </c>
      <c r="N653" s="178">
        <f t="shared" si="284"/>
        <v>0</v>
      </c>
    </row>
    <row r="654" spans="1:14" ht="48.9" customHeight="1" outlineLevel="3" x14ac:dyDescent="0.3">
      <c r="A654" s="189" t="s">
        <v>36</v>
      </c>
      <c r="B654" s="392" t="s">
        <v>490</v>
      </c>
      <c r="C654" s="392" t="s">
        <v>117</v>
      </c>
      <c r="D654" s="392" t="s">
        <v>155</v>
      </c>
      <c r="E654" s="392" t="s">
        <v>6</v>
      </c>
      <c r="F654" s="471">
        <f>F655</f>
        <v>2283362.3199999998</v>
      </c>
      <c r="G654" s="462">
        <f t="shared" ref="G654:J655" si="289">G655</f>
        <v>2573005</v>
      </c>
      <c r="H654" s="462"/>
      <c r="I654" s="462">
        <f t="shared" si="289"/>
        <v>2356900</v>
      </c>
      <c r="J654" s="462">
        <f t="shared" si="289"/>
        <v>2874024</v>
      </c>
      <c r="K654" s="462">
        <f t="shared" si="285"/>
        <v>111.69912223256463</v>
      </c>
      <c r="L654" s="462">
        <f t="shared" si="286"/>
        <v>301019</v>
      </c>
      <c r="M654" s="462">
        <f t="shared" ref="M654:M655" si="290">M655</f>
        <v>2874024</v>
      </c>
      <c r="N654" s="178">
        <f t="shared" si="284"/>
        <v>0</v>
      </c>
    </row>
    <row r="655" spans="1:14" ht="45.7" customHeight="1" outlineLevel="3" x14ac:dyDescent="0.3">
      <c r="A655" s="189" t="s">
        <v>37</v>
      </c>
      <c r="B655" s="392" t="s">
        <v>490</v>
      </c>
      <c r="C655" s="392" t="s">
        <v>117</v>
      </c>
      <c r="D655" s="392" t="s">
        <v>155</v>
      </c>
      <c r="E655" s="392" t="s">
        <v>38</v>
      </c>
      <c r="F655" s="471">
        <f>F656</f>
        <v>2283362.3199999998</v>
      </c>
      <c r="G655" s="462">
        <f t="shared" si="289"/>
        <v>2573005</v>
      </c>
      <c r="H655" s="462"/>
      <c r="I655" s="462">
        <f t="shared" si="289"/>
        <v>2356900</v>
      </c>
      <c r="J655" s="462">
        <f t="shared" si="289"/>
        <v>2874024</v>
      </c>
      <c r="K655" s="462">
        <f t="shared" si="285"/>
        <v>111.69912223256463</v>
      </c>
      <c r="L655" s="462">
        <f t="shared" si="286"/>
        <v>301019</v>
      </c>
      <c r="M655" s="462">
        <f t="shared" si="290"/>
        <v>2874024</v>
      </c>
      <c r="N655" s="178">
        <f t="shared" si="284"/>
        <v>0</v>
      </c>
    </row>
    <row r="656" spans="1:14" ht="22.75" customHeight="1" outlineLevel="3" x14ac:dyDescent="0.3">
      <c r="A656" s="189" t="s">
        <v>39</v>
      </c>
      <c r="B656" s="392" t="s">
        <v>490</v>
      </c>
      <c r="C656" s="392" t="s">
        <v>117</v>
      </c>
      <c r="D656" s="392" t="s">
        <v>155</v>
      </c>
      <c r="E656" s="392" t="s">
        <v>40</v>
      </c>
      <c r="F656" s="475">
        <v>2283362.3199999998</v>
      </c>
      <c r="G656" s="449">
        <f>'потребность 2023 (5)'!K697+306770</f>
        <v>2573005</v>
      </c>
      <c r="H656" s="449"/>
      <c r="I656" s="449">
        <v>2356900</v>
      </c>
      <c r="J656" s="449">
        <v>2874024</v>
      </c>
      <c r="K656" s="462">
        <f t="shared" si="285"/>
        <v>111.69912223256463</v>
      </c>
      <c r="L656" s="462">
        <f t="shared" si="286"/>
        <v>301019</v>
      </c>
      <c r="M656" s="449">
        <v>2874024</v>
      </c>
      <c r="N656" s="178">
        <f t="shared" si="284"/>
        <v>0</v>
      </c>
    </row>
    <row r="657" spans="1:14" ht="52.3" customHeight="1" outlineLevel="3" x14ac:dyDescent="0.3">
      <c r="A657" s="189" t="s">
        <v>1040</v>
      </c>
      <c r="B657" s="392" t="s">
        <v>490</v>
      </c>
      <c r="C657" s="392" t="s">
        <v>117</v>
      </c>
      <c r="D657" s="392" t="s">
        <v>146</v>
      </c>
      <c r="E657" s="392" t="s">
        <v>6</v>
      </c>
      <c r="F657" s="462">
        <f>F658</f>
        <v>0</v>
      </c>
      <c r="G657" s="449">
        <f t="shared" ref="G657:J658" si="291">G658</f>
        <v>0</v>
      </c>
      <c r="H657" s="449"/>
      <c r="I657" s="449">
        <f t="shared" si="291"/>
        <v>0</v>
      </c>
      <c r="J657" s="449">
        <f t="shared" si="291"/>
        <v>0</v>
      </c>
      <c r="K657" s="462" t="e">
        <f t="shared" si="285"/>
        <v>#DIV/0!</v>
      </c>
      <c r="L657" s="462">
        <f t="shared" si="286"/>
        <v>0</v>
      </c>
      <c r="M657" s="449">
        <f t="shared" ref="M657:M658" si="292">M658</f>
        <v>4048374</v>
      </c>
      <c r="N657" s="178">
        <f t="shared" si="284"/>
        <v>4048374</v>
      </c>
    </row>
    <row r="658" spans="1:14" ht="47.75" customHeight="1" outlineLevel="3" x14ac:dyDescent="0.3">
      <c r="A658" s="189" t="s">
        <v>267</v>
      </c>
      <c r="B658" s="392" t="s">
        <v>490</v>
      </c>
      <c r="C658" s="392" t="s">
        <v>117</v>
      </c>
      <c r="D658" s="392" t="s">
        <v>220</v>
      </c>
      <c r="E658" s="392" t="s">
        <v>6</v>
      </c>
      <c r="F658" s="476">
        <f>F659</f>
        <v>0</v>
      </c>
      <c r="G658" s="449">
        <f t="shared" si="291"/>
        <v>0</v>
      </c>
      <c r="H658" s="449"/>
      <c r="I658" s="449">
        <f t="shared" si="291"/>
        <v>0</v>
      </c>
      <c r="J658" s="449">
        <f t="shared" si="291"/>
        <v>0</v>
      </c>
      <c r="K658" s="462" t="e">
        <f t="shared" si="285"/>
        <v>#DIV/0!</v>
      </c>
      <c r="L658" s="462">
        <f t="shared" si="286"/>
        <v>0</v>
      </c>
      <c r="M658" s="449">
        <f t="shared" si="292"/>
        <v>4048374</v>
      </c>
      <c r="N658" s="178">
        <f t="shared" si="284"/>
        <v>4048374</v>
      </c>
    </row>
    <row r="659" spans="1:14" ht="86.3" customHeight="1" outlineLevel="3" x14ac:dyDescent="0.3">
      <c r="A659" s="185" t="s">
        <v>937</v>
      </c>
      <c r="B659" s="392" t="s">
        <v>490</v>
      </c>
      <c r="C659" s="392" t="s">
        <v>117</v>
      </c>
      <c r="D659" s="392" t="s">
        <v>152</v>
      </c>
      <c r="E659" s="392" t="s">
        <v>6</v>
      </c>
      <c r="F659" s="471">
        <v>0</v>
      </c>
      <c r="G659" s="449">
        <v>0</v>
      </c>
      <c r="H659" s="449"/>
      <c r="I659" s="449">
        <v>0</v>
      </c>
      <c r="J659" s="449">
        <f>J660+J662+J664</f>
        <v>0</v>
      </c>
      <c r="K659" s="462" t="e">
        <f t="shared" si="285"/>
        <v>#DIV/0!</v>
      </c>
      <c r="L659" s="462">
        <f t="shared" si="286"/>
        <v>0</v>
      </c>
      <c r="M659" s="449">
        <f>M660+M662+M664</f>
        <v>4048374</v>
      </c>
      <c r="N659" s="178">
        <f t="shared" si="284"/>
        <v>4048374</v>
      </c>
    </row>
    <row r="660" spans="1:14" ht="22.75" customHeight="1" outlineLevel="3" x14ac:dyDescent="0.3">
      <c r="A660" s="189" t="s">
        <v>15</v>
      </c>
      <c r="B660" s="392" t="s">
        <v>490</v>
      </c>
      <c r="C660" s="392" t="s">
        <v>117</v>
      </c>
      <c r="D660" s="392" t="s">
        <v>152</v>
      </c>
      <c r="E660" s="392" t="s">
        <v>16</v>
      </c>
      <c r="F660" s="471">
        <f>F661</f>
        <v>0</v>
      </c>
      <c r="G660" s="449">
        <f>G661</f>
        <v>0</v>
      </c>
      <c r="H660" s="449"/>
      <c r="I660" s="449">
        <f>I661</f>
        <v>0</v>
      </c>
      <c r="J660" s="449">
        <f>J661</f>
        <v>0</v>
      </c>
      <c r="K660" s="462" t="e">
        <f t="shared" si="285"/>
        <v>#DIV/0!</v>
      </c>
      <c r="L660" s="462">
        <f t="shared" si="286"/>
        <v>0</v>
      </c>
      <c r="M660" s="449">
        <f>M661</f>
        <v>4048374</v>
      </c>
      <c r="N660" s="178">
        <f t="shared" si="284"/>
        <v>4048374</v>
      </c>
    </row>
    <row r="661" spans="1:14" s="184" customFormat="1" ht="22.75" customHeight="1" outlineLevel="3" x14ac:dyDescent="0.3">
      <c r="A661" s="189" t="s">
        <v>17</v>
      </c>
      <c r="B661" s="392" t="s">
        <v>490</v>
      </c>
      <c r="C661" s="392" t="s">
        <v>117</v>
      </c>
      <c r="D661" s="392" t="s">
        <v>152</v>
      </c>
      <c r="E661" s="392" t="s">
        <v>18</v>
      </c>
      <c r="F661" s="486">
        <v>0</v>
      </c>
      <c r="G661" s="449">
        <v>0</v>
      </c>
      <c r="H661" s="449"/>
      <c r="I661" s="449">
        <v>0</v>
      </c>
      <c r="J661" s="449"/>
      <c r="K661" s="462" t="e">
        <f t="shared" si="285"/>
        <v>#DIV/0!</v>
      </c>
      <c r="L661" s="462">
        <f t="shared" si="286"/>
        <v>0</v>
      </c>
      <c r="M661" s="449">
        <v>4048374</v>
      </c>
      <c r="N661" s="178">
        <f t="shared" si="284"/>
        <v>4048374</v>
      </c>
    </row>
    <row r="662" spans="1:14" s="184" customFormat="1" ht="54.35" customHeight="1" outlineLevel="3" x14ac:dyDescent="0.3">
      <c r="A662" s="189" t="s">
        <v>90</v>
      </c>
      <c r="B662" s="392" t="s">
        <v>490</v>
      </c>
      <c r="C662" s="392" t="s">
        <v>117</v>
      </c>
      <c r="D662" s="392" t="s">
        <v>152</v>
      </c>
      <c r="E662" s="392" t="s">
        <v>91</v>
      </c>
      <c r="F662" s="471">
        <f>F663</f>
        <v>0</v>
      </c>
      <c r="G662" s="449">
        <f>G663</f>
        <v>0</v>
      </c>
      <c r="H662" s="449"/>
      <c r="I662" s="449">
        <f>I663</f>
        <v>0</v>
      </c>
      <c r="J662" s="449">
        <f>J663</f>
        <v>0</v>
      </c>
      <c r="K662" s="462" t="e">
        <f t="shared" si="285"/>
        <v>#DIV/0!</v>
      </c>
      <c r="L662" s="462">
        <f t="shared" si="286"/>
        <v>0</v>
      </c>
      <c r="M662" s="449">
        <f>M663</f>
        <v>0</v>
      </c>
      <c r="N662" s="178">
        <f t="shared" si="284"/>
        <v>0</v>
      </c>
    </row>
    <row r="663" spans="1:14" s="184" customFormat="1" ht="22.75" customHeight="1" outlineLevel="3" x14ac:dyDescent="0.3">
      <c r="A663" s="189" t="s">
        <v>97</v>
      </c>
      <c r="B663" s="392" t="s">
        <v>490</v>
      </c>
      <c r="C663" s="392" t="s">
        <v>117</v>
      </c>
      <c r="D663" s="392" t="s">
        <v>152</v>
      </c>
      <c r="E663" s="392" t="s">
        <v>98</v>
      </c>
      <c r="F663" s="476">
        <v>0</v>
      </c>
      <c r="G663" s="449">
        <v>0</v>
      </c>
      <c r="H663" s="449"/>
      <c r="I663" s="449">
        <v>0</v>
      </c>
      <c r="J663" s="449"/>
      <c r="K663" s="462" t="e">
        <f t="shared" si="285"/>
        <v>#DIV/0!</v>
      </c>
      <c r="L663" s="462">
        <f t="shared" si="286"/>
        <v>0</v>
      </c>
      <c r="M663" s="449"/>
      <c r="N663" s="178">
        <f t="shared" si="284"/>
        <v>0</v>
      </c>
    </row>
    <row r="664" spans="1:14" s="184" customFormat="1" ht="22.75" customHeight="1" outlineLevel="3" x14ac:dyDescent="0.3">
      <c r="A664" s="189" t="s">
        <v>37</v>
      </c>
      <c r="B664" s="392" t="s">
        <v>490</v>
      </c>
      <c r="C664" s="392" t="s">
        <v>117</v>
      </c>
      <c r="D664" s="392" t="s">
        <v>152</v>
      </c>
      <c r="E664" s="392" t="s">
        <v>38</v>
      </c>
      <c r="F664" s="471">
        <f>F665</f>
        <v>0</v>
      </c>
      <c r="G664" s="449">
        <f>G665</f>
        <v>0</v>
      </c>
      <c r="H664" s="449"/>
      <c r="I664" s="449">
        <f>I665</f>
        <v>0</v>
      </c>
      <c r="J664" s="449">
        <f>J665</f>
        <v>0</v>
      </c>
      <c r="K664" s="462" t="e">
        <f t="shared" si="285"/>
        <v>#DIV/0!</v>
      </c>
      <c r="L664" s="462">
        <f t="shared" si="286"/>
        <v>0</v>
      </c>
      <c r="M664" s="449">
        <f>M665</f>
        <v>0</v>
      </c>
      <c r="N664" s="178">
        <f t="shared" si="284"/>
        <v>0</v>
      </c>
    </row>
    <row r="665" spans="1:14" s="184" customFormat="1" ht="22.75" customHeight="1" outlineLevel="3" x14ac:dyDescent="0.3">
      <c r="A665" s="189" t="s">
        <v>74</v>
      </c>
      <c r="B665" s="392" t="s">
        <v>490</v>
      </c>
      <c r="C665" s="392" t="s">
        <v>117</v>
      </c>
      <c r="D665" s="392" t="s">
        <v>152</v>
      </c>
      <c r="E665" s="392" t="s">
        <v>75</v>
      </c>
      <c r="F665" s="475">
        <v>0</v>
      </c>
      <c r="G665" s="449">
        <v>0</v>
      </c>
      <c r="H665" s="449"/>
      <c r="I665" s="449">
        <v>0</v>
      </c>
      <c r="J665" s="449"/>
      <c r="K665" s="462" t="e">
        <f t="shared" si="285"/>
        <v>#DIV/0!</v>
      </c>
      <c r="L665" s="462">
        <f t="shared" si="286"/>
        <v>0</v>
      </c>
      <c r="M665" s="449"/>
      <c r="N665" s="178">
        <f t="shared" si="284"/>
        <v>0</v>
      </c>
    </row>
    <row r="666" spans="1:14" s="184" customFormat="1" ht="23.3" customHeight="1" outlineLevel="3" x14ac:dyDescent="0.3">
      <c r="A666" s="233" t="s">
        <v>85</v>
      </c>
      <c r="B666" s="397" t="s">
        <v>490</v>
      </c>
      <c r="C666" s="397" t="s">
        <v>86</v>
      </c>
      <c r="D666" s="397" t="s">
        <v>126</v>
      </c>
      <c r="E666" s="397" t="s">
        <v>6</v>
      </c>
      <c r="F666" s="473">
        <f>F667+F673</f>
        <v>0</v>
      </c>
      <c r="G666" s="465">
        <f>G667+G673</f>
        <v>0</v>
      </c>
      <c r="H666" s="465"/>
      <c r="I666" s="465">
        <f>I667+I673</f>
        <v>0</v>
      </c>
      <c r="J666" s="465">
        <f>J667+J673</f>
        <v>0</v>
      </c>
      <c r="K666" s="462" t="e">
        <f t="shared" si="285"/>
        <v>#DIV/0!</v>
      </c>
      <c r="L666" s="462">
        <f t="shared" si="286"/>
        <v>0</v>
      </c>
      <c r="M666" s="465">
        <f>M667+M673</f>
        <v>5085411</v>
      </c>
      <c r="N666" s="178">
        <f t="shared" si="284"/>
        <v>5085411</v>
      </c>
    </row>
    <row r="667" spans="1:14" s="184" customFormat="1" outlineLevel="3" x14ac:dyDescent="0.3">
      <c r="A667" s="189" t="s">
        <v>94</v>
      </c>
      <c r="B667" s="392" t="s">
        <v>490</v>
      </c>
      <c r="C667" s="392" t="s">
        <v>95</v>
      </c>
      <c r="D667" s="392" t="s">
        <v>126</v>
      </c>
      <c r="E667" s="392" t="s">
        <v>6</v>
      </c>
      <c r="F667" s="471">
        <f t="shared" ref="F667:J671" si="293">F668</f>
        <v>0</v>
      </c>
      <c r="G667" s="462">
        <f t="shared" si="293"/>
        <v>0</v>
      </c>
      <c r="H667" s="462"/>
      <c r="I667" s="462">
        <f t="shared" si="293"/>
        <v>0</v>
      </c>
      <c r="J667" s="462">
        <f t="shared" si="293"/>
        <v>0</v>
      </c>
      <c r="K667" s="462" t="e">
        <f t="shared" si="285"/>
        <v>#DIV/0!</v>
      </c>
      <c r="L667" s="462">
        <f t="shared" si="286"/>
        <v>0</v>
      </c>
      <c r="M667" s="462">
        <f t="shared" ref="M667:M671" si="294">M668</f>
        <v>1160000</v>
      </c>
      <c r="N667" s="178">
        <f t="shared" si="284"/>
        <v>1160000</v>
      </c>
    </row>
    <row r="668" spans="1:14" s="184" customFormat="1" ht="50.95" outlineLevel="3" x14ac:dyDescent="0.3">
      <c r="A668" s="233" t="s">
        <v>1017</v>
      </c>
      <c r="B668" s="397" t="s">
        <v>490</v>
      </c>
      <c r="C668" s="397" t="s">
        <v>95</v>
      </c>
      <c r="D668" s="397" t="s">
        <v>138</v>
      </c>
      <c r="E668" s="397" t="s">
        <v>6</v>
      </c>
      <c r="F668" s="473">
        <f t="shared" si="293"/>
        <v>0</v>
      </c>
      <c r="G668" s="465">
        <f t="shared" si="293"/>
        <v>0</v>
      </c>
      <c r="H668" s="465"/>
      <c r="I668" s="465">
        <f t="shared" si="293"/>
        <v>0</v>
      </c>
      <c r="J668" s="465">
        <f t="shared" si="293"/>
        <v>0</v>
      </c>
      <c r="K668" s="462" t="e">
        <f t="shared" si="285"/>
        <v>#DIV/0!</v>
      </c>
      <c r="L668" s="462">
        <f t="shared" si="286"/>
        <v>0</v>
      </c>
      <c r="M668" s="465">
        <f t="shared" si="294"/>
        <v>1160000</v>
      </c>
      <c r="N668" s="178">
        <f t="shared" si="284"/>
        <v>1160000</v>
      </c>
    </row>
    <row r="669" spans="1:14" s="184" customFormat="1" outlineLevel="3" x14ac:dyDescent="0.3">
      <c r="A669" s="189" t="s">
        <v>886</v>
      </c>
      <c r="B669" s="392" t="s">
        <v>490</v>
      </c>
      <c r="C669" s="392" t="s">
        <v>95</v>
      </c>
      <c r="D669" s="392" t="s">
        <v>667</v>
      </c>
      <c r="E669" s="392" t="s">
        <v>6</v>
      </c>
      <c r="F669" s="471">
        <f t="shared" si="293"/>
        <v>0</v>
      </c>
      <c r="G669" s="462">
        <f t="shared" si="293"/>
        <v>0</v>
      </c>
      <c r="H669" s="462"/>
      <c r="I669" s="462">
        <f t="shared" si="293"/>
        <v>0</v>
      </c>
      <c r="J669" s="462">
        <f t="shared" si="293"/>
        <v>0</v>
      </c>
      <c r="K669" s="462" t="e">
        <f t="shared" si="285"/>
        <v>#DIV/0!</v>
      </c>
      <c r="L669" s="462">
        <f t="shared" si="286"/>
        <v>0</v>
      </c>
      <c r="M669" s="462">
        <f t="shared" si="294"/>
        <v>1160000</v>
      </c>
      <c r="N669" s="178">
        <f t="shared" si="284"/>
        <v>1160000</v>
      </c>
    </row>
    <row r="670" spans="1:14" s="184" customFormat="1" ht="87.65" customHeight="1" outlineLevel="3" x14ac:dyDescent="0.3">
      <c r="A670" s="185" t="s">
        <v>941</v>
      </c>
      <c r="B670" s="392" t="s">
        <v>490</v>
      </c>
      <c r="C670" s="392" t="s">
        <v>95</v>
      </c>
      <c r="D670" s="392" t="s">
        <v>668</v>
      </c>
      <c r="E670" s="392" t="s">
        <v>6</v>
      </c>
      <c r="F670" s="471">
        <f t="shared" si="293"/>
        <v>0</v>
      </c>
      <c r="G670" s="462">
        <f t="shared" si="293"/>
        <v>0</v>
      </c>
      <c r="H670" s="462"/>
      <c r="I670" s="462">
        <f t="shared" si="293"/>
        <v>0</v>
      </c>
      <c r="J670" s="462">
        <f t="shared" si="293"/>
        <v>0</v>
      </c>
      <c r="K670" s="462" t="e">
        <f t="shared" si="285"/>
        <v>#DIV/0!</v>
      </c>
      <c r="L670" s="462">
        <f t="shared" si="286"/>
        <v>0</v>
      </c>
      <c r="M670" s="462">
        <f t="shared" si="294"/>
        <v>1160000</v>
      </c>
      <c r="N670" s="178">
        <f t="shared" si="284"/>
        <v>1160000</v>
      </c>
    </row>
    <row r="671" spans="1:14" s="184" customFormat="1" ht="23.3" customHeight="1" outlineLevel="3" x14ac:dyDescent="0.3">
      <c r="A671" s="189" t="s">
        <v>90</v>
      </c>
      <c r="B671" s="392" t="s">
        <v>490</v>
      </c>
      <c r="C671" s="392" t="s">
        <v>95</v>
      </c>
      <c r="D671" s="392" t="s">
        <v>668</v>
      </c>
      <c r="E671" s="392" t="s">
        <v>91</v>
      </c>
      <c r="F671" s="471">
        <f t="shared" si="293"/>
        <v>0</v>
      </c>
      <c r="G671" s="462">
        <f t="shared" si="293"/>
        <v>0</v>
      </c>
      <c r="H671" s="462"/>
      <c r="I671" s="462">
        <f t="shared" si="293"/>
        <v>0</v>
      </c>
      <c r="J671" s="462">
        <f t="shared" si="293"/>
        <v>0</v>
      </c>
      <c r="K671" s="462" t="e">
        <f t="shared" si="285"/>
        <v>#DIV/0!</v>
      </c>
      <c r="L671" s="462">
        <f t="shared" si="286"/>
        <v>0</v>
      </c>
      <c r="M671" s="462">
        <f t="shared" si="294"/>
        <v>1160000</v>
      </c>
      <c r="N671" s="178">
        <f t="shared" si="284"/>
        <v>1160000</v>
      </c>
    </row>
    <row r="672" spans="1:14" s="184" customFormat="1" ht="34" outlineLevel="3" x14ac:dyDescent="0.3">
      <c r="A672" s="189" t="s">
        <v>97</v>
      </c>
      <c r="B672" s="392" t="s">
        <v>490</v>
      </c>
      <c r="C672" s="392" t="s">
        <v>95</v>
      </c>
      <c r="D672" s="392" t="s">
        <v>668</v>
      </c>
      <c r="E672" s="392" t="s">
        <v>98</v>
      </c>
      <c r="F672" s="475">
        <v>0</v>
      </c>
      <c r="G672" s="449">
        <v>0</v>
      </c>
      <c r="H672" s="449"/>
      <c r="I672" s="449">
        <v>0</v>
      </c>
      <c r="J672" s="449"/>
      <c r="K672" s="462" t="e">
        <f t="shared" si="285"/>
        <v>#DIV/0!</v>
      </c>
      <c r="L672" s="462">
        <f t="shared" si="286"/>
        <v>0</v>
      </c>
      <c r="M672" s="449">
        <v>1160000</v>
      </c>
      <c r="N672" s="178">
        <f t="shared" si="284"/>
        <v>1160000</v>
      </c>
    </row>
    <row r="673" spans="1:14" s="184" customFormat="1" outlineLevel="3" x14ac:dyDescent="0.3">
      <c r="A673" s="189" t="s">
        <v>123</v>
      </c>
      <c r="B673" s="392" t="s">
        <v>490</v>
      </c>
      <c r="C673" s="392" t="s">
        <v>124</v>
      </c>
      <c r="D673" s="392" t="s">
        <v>126</v>
      </c>
      <c r="E673" s="392" t="s">
        <v>6</v>
      </c>
      <c r="F673" s="471">
        <f t="shared" ref="F673:J676" si="295">F674</f>
        <v>0</v>
      </c>
      <c r="G673" s="462">
        <f t="shared" si="295"/>
        <v>0</v>
      </c>
      <c r="H673" s="462"/>
      <c r="I673" s="462">
        <f t="shared" si="295"/>
        <v>0</v>
      </c>
      <c r="J673" s="462">
        <f t="shared" si="295"/>
        <v>0</v>
      </c>
      <c r="K673" s="462" t="e">
        <f t="shared" si="285"/>
        <v>#DIV/0!</v>
      </c>
      <c r="L673" s="462">
        <f t="shared" si="286"/>
        <v>0</v>
      </c>
      <c r="M673" s="462">
        <f t="shared" ref="M673:M676" si="296">M674</f>
        <v>3925411</v>
      </c>
      <c r="N673" s="178">
        <f t="shared" si="284"/>
        <v>3925411</v>
      </c>
    </row>
    <row r="674" spans="1:14" s="184" customFormat="1" ht="39.75" customHeight="1" outlineLevel="3" x14ac:dyDescent="0.3">
      <c r="A674" s="233" t="s">
        <v>1041</v>
      </c>
      <c r="B674" s="397" t="s">
        <v>490</v>
      </c>
      <c r="C674" s="397" t="s">
        <v>124</v>
      </c>
      <c r="D674" s="397" t="s">
        <v>138</v>
      </c>
      <c r="E674" s="397" t="s">
        <v>6</v>
      </c>
      <c r="F674" s="473">
        <f t="shared" si="295"/>
        <v>0</v>
      </c>
      <c r="G674" s="465">
        <f t="shared" si="295"/>
        <v>0</v>
      </c>
      <c r="H674" s="465"/>
      <c r="I674" s="465">
        <f t="shared" si="295"/>
        <v>0</v>
      </c>
      <c r="J674" s="465">
        <f t="shared" si="295"/>
        <v>0</v>
      </c>
      <c r="K674" s="462" t="e">
        <f t="shared" si="285"/>
        <v>#DIV/0!</v>
      </c>
      <c r="L674" s="462">
        <f t="shared" si="286"/>
        <v>0</v>
      </c>
      <c r="M674" s="465">
        <f t="shared" si="296"/>
        <v>3925411</v>
      </c>
      <c r="N674" s="178">
        <f t="shared" si="284"/>
        <v>3925411</v>
      </c>
    </row>
    <row r="675" spans="1:14" s="184" customFormat="1" ht="50.95" outlineLevel="3" x14ac:dyDescent="0.3">
      <c r="A675" s="189" t="s">
        <v>1038</v>
      </c>
      <c r="B675" s="392" t="s">
        <v>490</v>
      </c>
      <c r="C675" s="392" t="s">
        <v>124</v>
      </c>
      <c r="D675" s="392" t="s">
        <v>139</v>
      </c>
      <c r="E675" s="392" t="s">
        <v>6</v>
      </c>
      <c r="F675" s="471">
        <f t="shared" si="295"/>
        <v>0</v>
      </c>
      <c r="G675" s="462">
        <f t="shared" si="295"/>
        <v>0</v>
      </c>
      <c r="H675" s="462"/>
      <c r="I675" s="462">
        <f t="shared" si="295"/>
        <v>0</v>
      </c>
      <c r="J675" s="462">
        <f t="shared" si="295"/>
        <v>0</v>
      </c>
      <c r="K675" s="462" t="e">
        <f t="shared" si="285"/>
        <v>#DIV/0!</v>
      </c>
      <c r="L675" s="462">
        <f t="shared" si="286"/>
        <v>0</v>
      </c>
      <c r="M675" s="462">
        <f t="shared" si="296"/>
        <v>3925411</v>
      </c>
      <c r="N675" s="178">
        <f t="shared" si="284"/>
        <v>3925411</v>
      </c>
    </row>
    <row r="676" spans="1:14" s="184" customFormat="1" ht="40.75" customHeight="1" outlineLevel="3" x14ac:dyDescent="0.3">
      <c r="A676" s="189" t="s">
        <v>202</v>
      </c>
      <c r="B676" s="392" t="s">
        <v>490</v>
      </c>
      <c r="C676" s="392" t="s">
        <v>124</v>
      </c>
      <c r="D676" s="392" t="s">
        <v>231</v>
      </c>
      <c r="E676" s="392" t="s">
        <v>6</v>
      </c>
      <c r="F676" s="471">
        <f t="shared" si="295"/>
        <v>0</v>
      </c>
      <c r="G676" s="462">
        <f t="shared" si="295"/>
        <v>0</v>
      </c>
      <c r="H676" s="462"/>
      <c r="I676" s="462">
        <f t="shared" si="295"/>
        <v>0</v>
      </c>
      <c r="J676" s="462">
        <f t="shared" si="295"/>
        <v>0</v>
      </c>
      <c r="K676" s="462" t="e">
        <f t="shared" si="285"/>
        <v>#DIV/0!</v>
      </c>
      <c r="L676" s="462">
        <f t="shared" si="286"/>
        <v>0</v>
      </c>
      <c r="M676" s="462">
        <f t="shared" si="296"/>
        <v>3925411</v>
      </c>
      <c r="N676" s="178">
        <f t="shared" si="284"/>
        <v>3925411</v>
      </c>
    </row>
    <row r="677" spans="1:14" s="461" customFormat="1" ht="79.5" customHeight="1" x14ac:dyDescent="0.3">
      <c r="A677" s="185" t="s">
        <v>938</v>
      </c>
      <c r="B677" s="392" t="s">
        <v>490</v>
      </c>
      <c r="C677" s="392" t="s">
        <v>124</v>
      </c>
      <c r="D677" s="392" t="s">
        <v>156</v>
      </c>
      <c r="E677" s="392" t="s">
        <v>6</v>
      </c>
      <c r="F677" s="471">
        <f>F680+F678</f>
        <v>0</v>
      </c>
      <c r="G677" s="462">
        <f>G680+G678</f>
        <v>0</v>
      </c>
      <c r="H677" s="462"/>
      <c r="I677" s="462">
        <f>I680+I678</f>
        <v>0</v>
      </c>
      <c r="J677" s="462">
        <f>J680+J678</f>
        <v>0</v>
      </c>
      <c r="K677" s="462" t="e">
        <f t="shared" si="285"/>
        <v>#DIV/0!</v>
      </c>
      <c r="L677" s="462">
        <f t="shared" si="286"/>
        <v>0</v>
      </c>
      <c r="M677" s="462">
        <f>M680+M678</f>
        <v>3925411</v>
      </c>
      <c r="N677" s="178">
        <f t="shared" si="284"/>
        <v>3925411</v>
      </c>
    </row>
    <row r="678" spans="1:14" s="461" customFormat="1" ht="34" x14ac:dyDescent="0.3">
      <c r="A678" s="189" t="s">
        <v>15</v>
      </c>
      <c r="B678" s="392" t="s">
        <v>490</v>
      </c>
      <c r="C678" s="392" t="s">
        <v>124</v>
      </c>
      <c r="D678" s="392" t="s">
        <v>156</v>
      </c>
      <c r="E678" s="392" t="s">
        <v>16</v>
      </c>
      <c r="F678" s="471">
        <f>F679</f>
        <v>0</v>
      </c>
      <c r="G678" s="462">
        <f>G679</f>
        <v>0</v>
      </c>
      <c r="H678" s="462"/>
      <c r="I678" s="462">
        <f>I679</f>
        <v>0</v>
      </c>
      <c r="J678" s="462">
        <f>J679</f>
        <v>0</v>
      </c>
      <c r="K678" s="462" t="e">
        <f t="shared" si="285"/>
        <v>#DIV/0!</v>
      </c>
      <c r="L678" s="462">
        <f t="shared" si="286"/>
        <v>0</v>
      </c>
      <c r="M678" s="462">
        <f>M679</f>
        <v>3925411</v>
      </c>
      <c r="N678" s="178">
        <f t="shared" si="284"/>
        <v>3925411</v>
      </c>
    </row>
    <row r="679" spans="1:14" s="461" customFormat="1" ht="50.95" x14ac:dyDescent="0.3">
      <c r="A679" s="189" t="s">
        <v>17</v>
      </c>
      <c r="B679" s="392" t="s">
        <v>490</v>
      </c>
      <c r="C679" s="392" t="s">
        <v>124</v>
      </c>
      <c r="D679" s="392" t="s">
        <v>156</v>
      </c>
      <c r="E679" s="392" t="s">
        <v>18</v>
      </c>
      <c r="F679" s="475">
        <v>0</v>
      </c>
      <c r="G679" s="462">
        <v>0</v>
      </c>
      <c r="H679" s="462"/>
      <c r="I679" s="462">
        <v>0</v>
      </c>
      <c r="J679" s="489"/>
      <c r="K679" s="462" t="e">
        <f t="shared" si="285"/>
        <v>#DIV/0!</v>
      </c>
      <c r="L679" s="462">
        <f t="shared" si="286"/>
        <v>0</v>
      </c>
      <c r="M679" s="449">
        <v>3925411</v>
      </c>
      <c r="N679" s="178">
        <f t="shared" si="284"/>
        <v>3925411</v>
      </c>
    </row>
    <row r="680" spans="1:14" s="461" customFormat="1" ht="34" x14ac:dyDescent="0.3">
      <c r="A680" s="189" t="s">
        <v>90</v>
      </c>
      <c r="B680" s="392" t="s">
        <v>490</v>
      </c>
      <c r="C680" s="392" t="s">
        <v>124</v>
      </c>
      <c r="D680" s="392" t="s">
        <v>156</v>
      </c>
      <c r="E680" s="392" t="s">
        <v>91</v>
      </c>
      <c r="F680" s="471">
        <f>F681</f>
        <v>0</v>
      </c>
      <c r="G680" s="462">
        <f>G681</f>
        <v>0</v>
      </c>
      <c r="H680" s="462"/>
      <c r="I680" s="462">
        <f>I681</f>
        <v>0</v>
      </c>
      <c r="J680" s="462">
        <f>J681</f>
        <v>0</v>
      </c>
      <c r="K680" s="462" t="e">
        <f t="shared" si="285"/>
        <v>#DIV/0!</v>
      </c>
      <c r="L680" s="462">
        <f t="shared" si="286"/>
        <v>0</v>
      </c>
      <c r="M680" s="462">
        <f>M681</f>
        <v>0</v>
      </c>
      <c r="N680" s="178">
        <f t="shared" si="284"/>
        <v>0</v>
      </c>
    </row>
    <row r="681" spans="1:14" s="461" customFormat="1" ht="39.25" customHeight="1" x14ac:dyDescent="0.3">
      <c r="A681" s="189" t="s">
        <v>92</v>
      </c>
      <c r="B681" s="392" t="s">
        <v>490</v>
      </c>
      <c r="C681" s="392" t="s">
        <v>124</v>
      </c>
      <c r="D681" s="392" t="s">
        <v>156</v>
      </c>
      <c r="E681" s="392" t="s">
        <v>93</v>
      </c>
      <c r="F681" s="475">
        <v>0</v>
      </c>
      <c r="G681" s="449">
        <v>0</v>
      </c>
      <c r="H681" s="449"/>
      <c r="I681" s="449">
        <v>0</v>
      </c>
      <c r="J681" s="489"/>
      <c r="K681" s="462" t="e">
        <f t="shared" si="285"/>
        <v>#DIV/0!</v>
      </c>
      <c r="L681" s="462">
        <f t="shared" si="286"/>
        <v>0</v>
      </c>
      <c r="M681" s="489"/>
      <c r="N681" s="178">
        <f t="shared" si="284"/>
        <v>0</v>
      </c>
    </row>
    <row r="682" spans="1:14" s="461" customFormat="1" x14ac:dyDescent="0.3">
      <c r="A682" s="233" t="s">
        <v>100</v>
      </c>
      <c r="B682" s="392" t="s">
        <v>490</v>
      </c>
      <c r="C682" s="392" t="s">
        <v>101</v>
      </c>
      <c r="D682" s="397" t="s">
        <v>126</v>
      </c>
      <c r="E682" s="392" t="s">
        <v>6</v>
      </c>
      <c r="F682" s="476">
        <f t="shared" ref="F682:J684" si="297">F683</f>
        <v>1925454.14</v>
      </c>
      <c r="G682" s="449">
        <f t="shared" si="297"/>
        <v>1615300</v>
      </c>
      <c r="H682" s="449"/>
      <c r="I682" s="449">
        <f t="shared" si="297"/>
        <v>0</v>
      </c>
      <c r="J682" s="449">
        <f t="shared" si="297"/>
        <v>1900000</v>
      </c>
      <c r="K682" s="462">
        <f t="shared" si="285"/>
        <v>117.62520893951587</v>
      </c>
      <c r="L682" s="462">
        <f t="shared" si="286"/>
        <v>284700</v>
      </c>
      <c r="M682" s="449">
        <f t="shared" ref="M682:M684" si="298">M683</f>
        <v>1900000</v>
      </c>
      <c r="N682" s="178">
        <f t="shared" si="284"/>
        <v>0</v>
      </c>
    </row>
    <row r="683" spans="1:14" x14ac:dyDescent="0.3">
      <c r="A683" s="189" t="s">
        <v>291</v>
      </c>
      <c r="B683" s="392" t="s">
        <v>490</v>
      </c>
      <c r="C683" s="392" t="s">
        <v>290</v>
      </c>
      <c r="D683" s="397" t="s">
        <v>126</v>
      </c>
      <c r="E683" s="392" t="s">
        <v>6</v>
      </c>
      <c r="F683" s="476">
        <f t="shared" si="297"/>
        <v>1925454.14</v>
      </c>
      <c r="G683" s="449">
        <f t="shared" si="297"/>
        <v>1615300</v>
      </c>
      <c r="H683" s="449"/>
      <c r="I683" s="449">
        <f t="shared" si="297"/>
        <v>0</v>
      </c>
      <c r="J683" s="449">
        <f t="shared" si="297"/>
        <v>1900000</v>
      </c>
      <c r="K683" s="462">
        <f t="shared" si="285"/>
        <v>117.62520893951587</v>
      </c>
      <c r="L683" s="462">
        <f t="shared" si="286"/>
        <v>284700</v>
      </c>
      <c r="M683" s="449">
        <f t="shared" si="298"/>
        <v>1900000</v>
      </c>
      <c r="N683" s="178">
        <f t="shared" si="284"/>
        <v>0</v>
      </c>
    </row>
    <row r="684" spans="1:14" ht="44.5" customHeight="1" x14ac:dyDescent="0.3">
      <c r="A684" s="233" t="s">
        <v>1042</v>
      </c>
      <c r="B684" s="392" t="s">
        <v>490</v>
      </c>
      <c r="C684" s="392" t="s">
        <v>290</v>
      </c>
      <c r="D684" s="397" t="s">
        <v>198</v>
      </c>
      <c r="E684" s="392" t="s">
        <v>6</v>
      </c>
      <c r="F684" s="476">
        <f t="shared" si="297"/>
        <v>1925454.14</v>
      </c>
      <c r="G684" s="449">
        <f t="shared" si="297"/>
        <v>1615300</v>
      </c>
      <c r="H684" s="449"/>
      <c r="I684" s="449">
        <f t="shared" si="297"/>
        <v>0</v>
      </c>
      <c r="J684" s="449">
        <f t="shared" si="297"/>
        <v>1900000</v>
      </c>
      <c r="K684" s="462">
        <f t="shared" si="285"/>
        <v>117.62520893951587</v>
      </c>
      <c r="L684" s="462">
        <f t="shared" si="286"/>
        <v>284700</v>
      </c>
      <c r="M684" s="449">
        <f t="shared" si="298"/>
        <v>1900000</v>
      </c>
      <c r="N684" s="178">
        <f t="shared" si="284"/>
        <v>0</v>
      </c>
    </row>
    <row r="685" spans="1:14" ht="50.95" x14ac:dyDescent="0.3">
      <c r="A685" s="189" t="s">
        <v>1014</v>
      </c>
      <c r="B685" s="392" t="s">
        <v>490</v>
      </c>
      <c r="C685" s="392" t="s">
        <v>290</v>
      </c>
      <c r="D685" s="392" t="s">
        <v>227</v>
      </c>
      <c r="E685" s="392" t="s">
        <v>6</v>
      </c>
      <c r="F685" s="476">
        <f>F686+F689</f>
        <v>1925454.14</v>
      </c>
      <c r="G685" s="449">
        <f>G686+G692+G695</f>
        <v>1615300</v>
      </c>
      <c r="H685" s="449"/>
      <c r="I685" s="449">
        <f>I686+I692+I695</f>
        <v>0</v>
      </c>
      <c r="J685" s="449">
        <f>J686+J692+J695</f>
        <v>1900000</v>
      </c>
      <c r="K685" s="462">
        <f t="shared" si="285"/>
        <v>117.62520893951587</v>
      </c>
      <c r="L685" s="462">
        <f t="shared" si="286"/>
        <v>284700</v>
      </c>
      <c r="M685" s="449">
        <f>M686+M692+M695</f>
        <v>1900000</v>
      </c>
      <c r="N685" s="178">
        <f t="shared" si="284"/>
        <v>0</v>
      </c>
    </row>
    <row r="686" spans="1:14" ht="50.95" x14ac:dyDescent="0.3">
      <c r="A686" s="189" t="s">
        <v>797</v>
      </c>
      <c r="B686" s="392" t="s">
        <v>490</v>
      </c>
      <c r="C686" s="392" t="s">
        <v>290</v>
      </c>
      <c r="D686" s="392" t="s">
        <v>798</v>
      </c>
      <c r="E686" s="392" t="s">
        <v>6</v>
      </c>
      <c r="F686" s="476">
        <f>F687</f>
        <v>1610023.44</v>
      </c>
      <c r="G686" s="449">
        <f t="shared" ref="G686:J687" si="299">G687</f>
        <v>1600000</v>
      </c>
      <c r="H686" s="449"/>
      <c r="I686" s="449">
        <f t="shared" si="299"/>
        <v>0</v>
      </c>
      <c r="J686" s="449">
        <f t="shared" si="299"/>
        <v>1900000</v>
      </c>
      <c r="K686" s="462">
        <f t="shared" si="285"/>
        <v>118.75</v>
      </c>
      <c r="L686" s="462">
        <f t="shared" si="286"/>
        <v>300000</v>
      </c>
      <c r="M686" s="449">
        <f t="shared" ref="M686:M687" si="300">M687</f>
        <v>1900000</v>
      </c>
      <c r="N686" s="178">
        <f t="shared" si="284"/>
        <v>0</v>
      </c>
    </row>
    <row r="687" spans="1:14" ht="50.95" x14ac:dyDescent="0.3">
      <c r="A687" s="189" t="s">
        <v>37</v>
      </c>
      <c r="B687" s="392" t="s">
        <v>490</v>
      </c>
      <c r="C687" s="392" t="s">
        <v>290</v>
      </c>
      <c r="D687" s="392" t="s">
        <v>798</v>
      </c>
      <c r="E687" s="392" t="s">
        <v>38</v>
      </c>
      <c r="F687" s="476">
        <f>F688</f>
        <v>1610023.44</v>
      </c>
      <c r="G687" s="449">
        <f t="shared" si="299"/>
        <v>1600000</v>
      </c>
      <c r="H687" s="449"/>
      <c r="I687" s="449">
        <f t="shared" si="299"/>
        <v>0</v>
      </c>
      <c r="J687" s="449">
        <f t="shared" si="299"/>
        <v>1900000</v>
      </c>
      <c r="K687" s="462">
        <f t="shared" si="285"/>
        <v>118.75</v>
      </c>
      <c r="L687" s="462">
        <f t="shared" si="286"/>
        <v>300000</v>
      </c>
      <c r="M687" s="449">
        <f t="shared" si="300"/>
        <v>1900000</v>
      </c>
      <c r="N687" s="178">
        <f t="shared" si="284"/>
        <v>0</v>
      </c>
    </row>
    <row r="688" spans="1:14" x14ac:dyDescent="0.3">
      <c r="A688" s="189" t="s">
        <v>74</v>
      </c>
      <c r="B688" s="392" t="s">
        <v>490</v>
      </c>
      <c r="C688" s="392" t="s">
        <v>290</v>
      </c>
      <c r="D688" s="392" t="s">
        <v>798</v>
      </c>
      <c r="E688" s="392" t="s">
        <v>75</v>
      </c>
      <c r="F688" s="475">
        <v>1610023.44</v>
      </c>
      <c r="G688" s="449">
        <v>1600000</v>
      </c>
      <c r="H688" s="449"/>
      <c r="I688" s="449">
        <v>0</v>
      </c>
      <c r="J688" s="449">
        <v>1900000</v>
      </c>
      <c r="K688" s="462">
        <f t="shared" si="285"/>
        <v>118.75</v>
      </c>
      <c r="L688" s="462">
        <f t="shared" si="286"/>
        <v>300000</v>
      </c>
      <c r="M688" s="449">
        <v>1900000</v>
      </c>
      <c r="N688" s="178">
        <f t="shared" si="284"/>
        <v>0</v>
      </c>
    </row>
    <row r="689" spans="1:14" ht="34" x14ac:dyDescent="0.3">
      <c r="A689" s="452" t="s">
        <v>102</v>
      </c>
      <c r="B689" s="451" t="s">
        <v>490</v>
      </c>
      <c r="C689" s="451" t="s">
        <v>290</v>
      </c>
      <c r="D689" s="561" t="s">
        <v>199</v>
      </c>
      <c r="E689" s="451" t="s">
        <v>6</v>
      </c>
      <c r="F689" s="476">
        <f>F690</f>
        <v>315430.7</v>
      </c>
      <c r="G689" s="449"/>
      <c r="H689" s="449"/>
      <c r="I689" s="449"/>
      <c r="J689" s="449"/>
      <c r="K689" s="462" t="e">
        <f t="shared" si="285"/>
        <v>#DIV/0!</v>
      </c>
      <c r="L689" s="462">
        <f t="shared" si="286"/>
        <v>0</v>
      </c>
      <c r="M689" s="449"/>
      <c r="N689" s="178">
        <f t="shared" si="284"/>
        <v>0</v>
      </c>
    </row>
    <row r="690" spans="1:14" ht="50.95" x14ac:dyDescent="0.3">
      <c r="A690" s="452" t="s">
        <v>37</v>
      </c>
      <c r="B690" s="451" t="s">
        <v>490</v>
      </c>
      <c r="C690" s="451" t="s">
        <v>290</v>
      </c>
      <c r="D690" s="561" t="s">
        <v>199</v>
      </c>
      <c r="E690" s="451" t="s">
        <v>38</v>
      </c>
      <c r="F690" s="476">
        <f>F691</f>
        <v>315430.7</v>
      </c>
      <c r="G690" s="449"/>
      <c r="H690" s="449"/>
      <c r="I690" s="449"/>
      <c r="J690" s="449"/>
      <c r="K690" s="462" t="e">
        <f t="shared" si="285"/>
        <v>#DIV/0!</v>
      </c>
      <c r="L690" s="462">
        <f t="shared" si="286"/>
        <v>0</v>
      </c>
      <c r="M690" s="449"/>
      <c r="N690" s="178">
        <f t="shared" si="284"/>
        <v>0</v>
      </c>
    </row>
    <row r="691" spans="1:14" x14ac:dyDescent="0.3">
      <c r="A691" s="452" t="s">
        <v>74</v>
      </c>
      <c r="B691" s="451" t="s">
        <v>490</v>
      </c>
      <c r="C691" s="451" t="s">
        <v>290</v>
      </c>
      <c r="D691" s="561" t="s">
        <v>199</v>
      </c>
      <c r="E691" s="451" t="s">
        <v>75</v>
      </c>
      <c r="F691" s="496">
        <v>315430.7</v>
      </c>
      <c r="G691" s="449"/>
      <c r="H691" s="449"/>
      <c r="I691" s="449"/>
      <c r="J691" s="449"/>
      <c r="K691" s="462" t="e">
        <f t="shared" si="285"/>
        <v>#DIV/0!</v>
      </c>
      <c r="L691" s="462">
        <f t="shared" si="286"/>
        <v>0</v>
      </c>
      <c r="M691" s="449"/>
      <c r="N691" s="178">
        <f t="shared" si="284"/>
        <v>0</v>
      </c>
    </row>
    <row r="692" spans="1:14" ht="50.95" x14ac:dyDescent="0.3">
      <c r="A692" s="189" t="s">
        <v>848</v>
      </c>
      <c r="B692" s="392" t="s">
        <v>490</v>
      </c>
      <c r="C692" s="392" t="s">
        <v>290</v>
      </c>
      <c r="D692" s="392" t="s">
        <v>867</v>
      </c>
      <c r="E692" s="392" t="s">
        <v>6</v>
      </c>
      <c r="F692" s="449">
        <v>0</v>
      </c>
      <c r="G692" s="449">
        <f>G694</f>
        <v>0</v>
      </c>
      <c r="H692" s="449"/>
      <c r="I692" s="449">
        <f>I694</f>
        <v>0</v>
      </c>
      <c r="J692" s="449">
        <f>J694</f>
        <v>0</v>
      </c>
      <c r="K692" s="462" t="e">
        <f t="shared" si="285"/>
        <v>#DIV/0!</v>
      </c>
      <c r="L692" s="462">
        <f t="shared" si="286"/>
        <v>0</v>
      </c>
      <c r="M692" s="449">
        <f>M694</f>
        <v>0</v>
      </c>
      <c r="N692" s="178">
        <f t="shared" si="284"/>
        <v>0</v>
      </c>
    </row>
    <row r="693" spans="1:14" ht="50.95" x14ac:dyDescent="0.3">
      <c r="A693" s="189" t="s">
        <v>37</v>
      </c>
      <c r="B693" s="392" t="s">
        <v>490</v>
      </c>
      <c r="C693" s="392" t="s">
        <v>290</v>
      </c>
      <c r="D693" s="392" t="s">
        <v>867</v>
      </c>
      <c r="E693" s="392" t="s">
        <v>38</v>
      </c>
      <c r="F693" s="449">
        <v>0</v>
      </c>
      <c r="G693" s="449">
        <f>G694</f>
        <v>0</v>
      </c>
      <c r="H693" s="449"/>
      <c r="I693" s="449">
        <f>I694</f>
        <v>0</v>
      </c>
      <c r="J693" s="449">
        <f>J694</f>
        <v>0</v>
      </c>
      <c r="K693" s="462" t="e">
        <f t="shared" si="285"/>
        <v>#DIV/0!</v>
      </c>
      <c r="L693" s="462">
        <f t="shared" si="286"/>
        <v>0</v>
      </c>
      <c r="M693" s="449">
        <f>M694</f>
        <v>0</v>
      </c>
      <c r="N693" s="178">
        <f t="shared" ref="N693:N723" si="301">M693-J693</f>
        <v>0</v>
      </c>
    </row>
    <row r="694" spans="1:14" x14ac:dyDescent="0.3">
      <c r="A694" s="189" t="s">
        <v>74</v>
      </c>
      <c r="B694" s="392" t="s">
        <v>490</v>
      </c>
      <c r="C694" s="392" t="s">
        <v>290</v>
      </c>
      <c r="D694" s="392" t="s">
        <v>867</v>
      </c>
      <c r="E694" s="392" t="s">
        <v>75</v>
      </c>
      <c r="F694" s="449">
        <v>0</v>
      </c>
      <c r="G694" s="449">
        <v>0</v>
      </c>
      <c r="H694" s="449"/>
      <c r="I694" s="449">
        <v>0</v>
      </c>
      <c r="J694" s="449"/>
      <c r="K694" s="462" t="e">
        <f t="shared" ref="K694:K723" si="302">J694/G694*100</f>
        <v>#DIV/0!</v>
      </c>
      <c r="L694" s="462">
        <f t="shared" ref="L694:L723" si="303">J694-G694</f>
        <v>0</v>
      </c>
      <c r="M694" s="449"/>
      <c r="N694" s="178">
        <f t="shared" si="301"/>
        <v>0</v>
      </c>
    </row>
    <row r="695" spans="1:14" ht="67.95" x14ac:dyDescent="0.3">
      <c r="A695" s="189" t="s">
        <v>787</v>
      </c>
      <c r="B695" s="392" t="s">
        <v>490</v>
      </c>
      <c r="C695" s="392" t="s">
        <v>290</v>
      </c>
      <c r="D695" s="392" t="s">
        <v>868</v>
      </c>
      <c r="E695" s="392" t="s">
        <v>6</v>
      </c>
      <c r="F695" s="462">
        <v>0</v>
      </c>
      <c r="G695" s="449">
        <f t="shared" ref="G695:J696" si="304">G696</f>
        <v>15300</v>
      </c>
      <c r="H695" s="449"/>
      <c r="I695" s="449">
        <f t="shared" si="304"/>
        <v>0</v>
      </c>
      <c r="J695" s="449">
        <f t="shared" si="304"/>
        <v>0</v>
      </c>
      <c r="K695" s="462">
        <f t="shared" si="302"/>
        <v>0</v>
      </c>
      <c r="L695" s="462">
        <f t="shared" si="303"/>
        <v>-15300</v>
      </c>
      <c r="M695" s="449">
        <f t="shared" ref="M695:M696" si="305">M696</f>
        <v>0</v>
      </c>
      <c r="N695" s="178">
        <f t="shared" si="301"/>
        <v>0</v>
      </c>
    </row>
    <row r="696" spans="1:14" s="184" customFormat="1" ht="50.95" x14ac:dyDescent="0.3">
      <c r="A696" s="189" t="s">
        <v>37</v>
      </c>
      <c r="B696" s="392" t="s">
        <v>490</v>
      </c>
      <c r="C696" s="392" t="s">
        <v>290</v>
      </c>
      <c r="D696" s="392" t="s">
        <v>868</v>
      </c>
      <c r="E696" s="392" t="s">
        <v>38</v>
      </c>
      <c r="F696" s="462">
        <v>0</v>
      </c>
      <c r="G696" s="449">
        <f t="shared" si="304"/>
        <v>15300</v>
      </c>
      <c r="H696" s="449"/>
      <c r="I696" s="449">
        <f t="shared" si="304"/>
        <v>0</v>
      </c>
      <c r="J696" s="449">
        <f t="shared" si="304"/>
        <v>0</v>
      </c>
      <c r="K696" s="462">
        <f t="shared" si="302"/>
        <v>0</v>
      </c>
      <c r="L696" s="462">
        <f t="shared" si="303"/>
        <v>-15300</v>
      </c>
      <c r="M696" s="449">
        <f t="shared" si="305"/>
        <v>0</v>
      </c>
      <c r="N696" s="178">
        <f t="shared" si="301"/>
        <v>0</v>
      </c>
    </row>
    <row r="697" spans="1:14" s="184" customFormat="1" x14ac:dyDescent="0.3">
      <c r="A697" s="189" t="s">
        <v>74</v>
      </c>
      <c r="B697" s="392" t="s">
        <v>490</v>
      </c>
      <c r="C697" s="392" t="s">
        <v>290</v>
      </c>
      <c r="D697" s="392" t="s">
        <v>868</v>
      </c>
      <c r="E697" s="392" t="s">
        <v>75</v>
      </c>
      <c r="F697" s="462">
        <v>0</v>
      </c>
      <c r="G697" s="449">
        <v>15300</v>
      </c>
      <c r="H697" s="449"/>
      <c r="I697" s="449">
        <v>0</v>
      </c>
      <c r="J697" s="449"/>
      <c r="K697" s="462">
        <f t="shared" si="302"/>
        <v>0</v>
      </c>
      <c r="L697" s="462">
        <f t="shared" si="303"/>
        <v>-15300</v>
      </c>
      <c r="M697" s="449"/>
      <c r="N697" s="178">
        <f t="shared" si="301"/>
        <v>0</v>
      </c>
    </row>
    <row r="698" spans="1:14" s="184" customFormat="1" ht="34" x14ac:dyDescent="0.3">
      <c r="A698" s="208" t="s">
        <v>671</v>
      </c>
      <c r="B698" s="487">
        <v>959</v>
      </c>
      <c r="C698" s="488" t="s">
        <v>5</v>
      </c>
      <c r="D698" s="458" t="s">
        <v>126</v>
      </c>
      <c r="E698" s="488" t="s">
        <v>6</v>
      </c>
      <c r="F698" s="502">
        <f t="shared" ref="F698:F700" si="306">F699</f>
        <v>1619115.8599999999</v>
      </c>
      <c r="G698" s="489">
        <f>G699</f>
        <v>1787622</v>
      </c>
      <c r="H698" s="489"/>
      <c r="I698" s="489">
        <f>I699</f>
        <v>1768008</v>
      </c>
      <c r="J698" s="489">
        <f>J699</f>
        <v>1912374.3199999998</v>
      </c>
      <c r="K698" s="462">
        <f t="shared" si="302"/>
        <v>106.97867446249822</v>
      </c>
      <c r="L698" s="462">
        <f t="shared" si="303"/>
        <v>124752.31999999983</v>
      </c>
      <c r="M698" s="489">
        <f>M699</f>
        <v>1912374.3199999998</v>
      </c>
      <c r="N698" s="178">
        <f t="shared" si="301"/>
        <v>0</v>
      </c>
    </row>
    <row r="699" spans="1:14" s="184" customFormat="1" x14ac:dyDescent="0.3">
      <c r="A699" s="189" t="s">
        <v>7</v>
      </c>
      <c r="B699" s="392" t="s">
        <v>672</v>
      </c>
      <c r="C699" s="392" t="s">
        <v>8</v>
      </c>
      <c r="D699" s="392" t="s">
        <v>126</v>
      </c>
      <c r="E699" s="392" t="s">
        <v>6</v>
      </c>
      <c r="F699" s="476">
        <f t="shared" si="306"/>
        <v>1619115.8599999999</v>
      </c>
      <c r="G699" s="449">
        <f>G700+G712</f>
        <v>1787622</v>
      </c>
      <c r="H699" s="449"/>
      <c r="I699" s="449">
        <f>I700+I712</f>
        <v>1768008</v>
      </c>
      <c r="J699" s="449">
        <f>J700+J712</f>
        <v>1912374.3199999998</v>
      </c>
      <c r="K699" s="462">
        <f t="shared" si="302"/>
        <v>106.97867446249822</v>
      </c>
      <c r="L699" s="462">
        <f t="shared" si="303"/>
        <v>124752.31999999983</v>
      </c>
      <c r="M699" s="449">
        <f>M700+M712</f>
        <v>1912374.3199999998</v>
      </c>
      <c r="N699" s="178">
        <f t="shared" si="301"/>
        <v>0</v>
      </c>
    </row>
    <row r="700" spans="1:14" s="184" customFormat="1" ht="50.95" x14ac:dyDescent="0.3">
      <c r="A700" s="189" t="s">
        <v>9</v>
      </c>
      <c r="B700" s="392" t="s">
        <v>672</v>
      </c>
      <c r="C700" s="392" t="s">
        <v>10</v>
      </c>
      <c r="D700" s="392" t="s">
        <v>126</v>
      </c>
      <c r="E700" s="392" t="s">
        <v>6</v>
      </c>
      <c r="F700" s="471">
        <f t="shared" si="306"/>
        <v>1619115.8599999999</v>
      </c>
      <c r="G700" s="462">
        <f>G701</f>
        <v>1767872</v>
      </c>
      <c r="H700" s="462"/>
      <c r="I700" s="462">
        <f>I701</f>
        <v>1748508</v>
      </c>
      <c r="J700" s="462">
        <f>J701</f>
        <v>1893374.3199999998</v>
      </c>
      <c r="K700" s="462">
        <f t="shared" si="302"/>
        <v>107.09906147051369</v>
      </c>
      <c r="L700" s="462">
        <f t="shared" si="303"/>
        <v>125502.31999999983</v>
      </c>
      <c r="M700" s="462">
        <f>M701</f>
        <v>1893374.3199999998</v>
      </c>
      <c r="N700" s="178">
        <f t="shared" si="301"/>
        <v>0</v>
      </c>
    </row>
    <row r="701" spans="1:14" s="184" customFormat="1" ht="34" x14ac:dyDescent="0.3">
      <c r="A701" s="189" t="s">
        <v>132</v>
      </c>
      <c r="B701" s="392" t="s">
        <v>672</v>
      </c>
      <c r="C701" s="392" t="s">
        <v>10</v>
      </c>
      <c r="D701" s="392" t="s">
        <v>127</v>
      </c>
      <c r="E701" s="392" t="s">
        <v>6</v>
      </c>
      <c r="F701" s="471">
        <f>F702+F705</f>
        <v>1619115.8599999999</v>
      </c>
      <c r="G701" s="462">
        <f>G702+G705</f>
        <v>1767872</v>
      </c>
      <c r="H701" s="462"/>
      <c r="I701" s="462">
        <f>I702+I705</f>
        <v>1748508</v>
      </c>
      <c r="J701" s="462">
        <f>J702+J705</f>
        <v>1893374.3199999998</v>
      </c>
      <c r="K701" s="462">
        <f t="shared" si="302"/>
        <v>107.09906147051369</v>
      </c>
      <c r="L701" s="462">
        <f t="shared" si="303"/>
        <v>125502.31999999983</v>
      </c>
      <c r="M701" s="462">
        <f>M702+M705</f>
        <v>1893374.3199999998</v>
      </c>
      <c r="N701" s="178">
        <f t="shared" si="301"/>
        <v>0</v>
      </c>
    </row>
    <row r="702" spans="1:14" s="184" customFormat="1" x14ac:dyDescent="0.3">
      <c r="A702" s="189" t="s">
        <v>673</v>
      </c>
      <c r="B702" s="392" t="s">
        <v>672</v>
      </c>
      <c r="C702" s="392" t="s">
        <v>10</v>
      </c>
      <c r="D702" s="392" t="s">
        <v>143</v>
      </c>
      <c r="E702" s="392" t="s">
        <v>6</v>
      </c>
      <c r="F702" s="471">
        <f>F703</f>
        <v>1379932.18</v>
      </c>
      <c r="G702" s="462">
        <f t="shared" ref="G702:J703" si="307">G703</f>
        <v>1484637</v>
      </c>
      <c r="H702" s="462"/>
      <c r="I702" s="462">
        <f t="shared" si="307"/>
        <v>1439461</v>
      </c>
      <c r="J702" s="462">
        <f t="shared" si="307"/>
        <v>1611254.16</v>
      </c>
      <c r="K702" s="462">
        <f t="shared" si="302"/>
        <v>108.52849282349825</v>
      </c>
      <c r="L702" s="462">
        <f t="shared" si="303"/>
        <v>126617.15999999992</v>
      </c>
      <c r="M702" s="462">
        <f t="shared" ref="M702:M703" si="308">M703</f>
        <v>1611254.16</v>
      </c>
      <c r="N702" s="178">
        <f t="shared" si="301"/>
        <v>0</v>
      </c>
    </row>
    <row r="703" spans="1:14" s="184" customFormat="1" ht="101.9" x14ac:dyDescent="0.3">
      <c r="A703" s="189" t="s">
        <v>11</v>
      </c>
      <c r="B703" s="392" t="s">
        <v>672</v>
      </c>
      <c r="C703" s="392" t="s">
        <v>10</v>
      </c>
      <c r="D703" s="392" t="s">
        <v>143</v>
      </c>
      <c r="E703" s="392" t="s">
        <v>12</v>
      </c>
      <c r="F703" s="471">
        <f>F704</f>
        <v>1379932.18</v>
      </c>
      <c r="G703" s="462">
        <f t="shared" si="307"/>
        <v>1484637</v>
      </c>
      <c r="H703" s="462"/>
      <c r="I703" s="462">
        <f t="shared" si="307"/>
        <v>1439461</v>
      </c>
      <c r="J703" s="462">
        <f t="shared" si="307"/>
        <v>1611254.16</v>
      </c>
      <c r="K703" s="462">
        <f t="shared" si="302"/>
        <v>108.52849282349825</v>
      </c>
      <c r="L703" s="462">
        <f t="shared" si="303"/>
        <v>126617.15999999992</v>
      </c>
      <c r="M703" s="462">
        <f t="shared" si="308"/>
        <v>1611254.16</v>
      </c>
      <c r="N703" s="178">
        <f t="shared" si="301"/>
        <v>0</v>
      </c>
    </row>
    <row r="704" spans="1:14" s="184" customFormat="1" ht="34" x14ac:dyDescent="0.3">
      <c r="A704" s="189" t="s">
        <v>13</v>
      </c>
      <c r="B704" s="392" t="s">
        <v>672</v>
      </c>
      <c r="C704" s="392" t="s">
        <v>10</v>
      </c>
      <c r="D704" s="392" t="s">
        <v>143</v>
      </c>
      <c r="E704" s="392" t="s">
        <v>14</v>
      </c>
      <c r="F704" s="475">
        <v>1379932.18</v>
      </c>
      <c r="G704" s="449">
        <f>'потребность 2023 (5)'!K740</f>
        <v>1484637</v>
      </c>
      <c r="H704" s="449"/>
      <c r="I704" s="449">
        <v>1439461</v>
      </c>
      <c r="J704" s="449">
        <v>1611254.16</v>
      </c>
      <c r="K704" s="462">
        <f t="shared" si="302"/>
        <v>108.52849282349825</v>
      </c>
      <c r="L704" s="462">
        <f t="shared" si="303"/>
        <v>126617.15999999992</v>
      </c>
      <c r="M704" s="449">
        <v>1611254.16</v>
      </c>
      <c r="N704" s="178">
        <f t="shared" si="301"/>
        <v>0</v>
      </c>
    </row>
    <row r="705" spans="1:14" s="184" customFormat="1" ht="45.7" customHeight="1" x14ac:dyDescent="0.3">
      <c r="A705" s="189" t="s">
        <v>449</v>
      </c>
      <c r="B705" s="392" t="s">
        <v>672</v>
      </c>
      <c r="C705" s="392" t="s">
        <v>10</v>
      </c>
      <c r="D705" s="392" t="s">
        <v>450</v>
      </c>
      <c r="E705" s="392" t="s">
        <v>6</v>
      </c>
      <c r="F705" s="476">
        <f>F706+F708</f>
        <v>239183.68</v>
      </c>
      <c r="G705" s="449">
        <f>G706+G708+G710</f>
        <v>283235</v>
      </c>
      <c r="H705" s="449"/>
      <c r="I705" s="449">
        <f>I706+I708+I710</f>
        <v>309047</v>
      </c>
      <c r="J705" s="449">
        <f>J706+J708+J710</f>
        <v>282120.16000000003</v>
      </c>
      <c r="K705" s="462">
        <f t="shared" si="302"/>
        <v>99.606390453157275</v>
      </c>
      <c r="L705" s="462">
        <f t="shared" si="303"/>
        <v>-1114.8399999999674</v>
      </c>
      <c r="M705" s="449">
        <f>M706+M708+M710</f>
        <v>282120.16000000003</v>
      </c>
      <c r="N705" s="178">
        <f t="shared" si="301"/>
        <v>0</v>
      </c>
    </row>
    <row r="706" spans="1:14" s="184" customFormat="1" ht="101.9" x14ac:dyDescent="0.3">
      <c r="A706" s="189" t="s">
        <v>11</v>
      </c>
      <c r="B706" s="392" t="s">
        <v>672</v>
      </c>
      <c r="C706" s="392" t="s">
        <v>10</v>
      </c>
      <c r="D706" s="392" t="s">
        <v>450</v>
      </c>
      <c r="E706" s="392" t="s">
        <v>12</v>
      </c>
      <c r="F706" s="476">
        <f>F707</f>
        <v>207828.68</v>
      </c>
      <c r="G706" s="449">
        <f>G707</f>
        <v>206182</v>
      </c>
      <c r="H706" s="449"/>
      <c r="I706" s="449">
        <f>I707</f>
        <v>213387</v>
      </c>
      <c r="J706" s="449">
        <f>J707</f>
        <v>220620.16</v>
      </c>
      <c r="K706" s="462">
        <f t="shared" si="302"/>
        <v>107.0026287454773</v>
      </c>
      <c r="L706" s="462">
        <f t="shared" si="303"/>
        <v>14438.160000000003</v>
      </c>
      <c r="M706" s="449">
        <f>M707</f>
        <v>220620.16</v>
      </c>
      <c r="N706" s="178">
        <f t="shared" si="301"/>
        <v>0</v>
      </c>
    </row>
    <row r="707" spans="1:14" s="184" customFormat="1" ht="34" x14ac:dyDescent="0.3">
      <c r="A707" s="189" t="s">
        <v>13</v>
      </c>
      <c r="B707" s="392" t="s">
        <v>672</v>
      </c>
      <c r="C707" s="392" t="s">
        <v>10</v>
      </c>
      <c r="D707" s="392" t="s">
        <v>450</v>
      </c>
      <c r="E707" s="392" t="s">
        <v>14</v>
      </c>
      <c r="F707" s="475">
        <v>207828.68</v>
      </c>
      <c r="G707" s="449">
        <f>'потребность 2023 (5)'!K743</f>
        <v>206182</v>
      </c>
      <c r="H707" s="449"/>
      <c r="I707" s="449">
        <v>213387</v>
      </c>
      <c r="J707" s="449">
        <v>220620.16</v>
      </c>
      <c r="K707" s="462">
        <f t="shared" si="302"/>
        <v>107.0026287454773</v>
      </c>
      <c r="L707" s="462">
        <f t="shared" si="303"/>
        <v>14438.160000000003</v>
      </c>
      <c r="M707" s="449">
        <v>220620.16</v>
      </c>
      <c r="N707" s="178">
        <f t="shared" si="301"/>
        <v>0</v>
      </c>
    </row>
    <row r="708" spans="1:14" s="184" customFormat="1" ht="34" x14ac:dyDescent="0.3">
      <c r="A708" s="189" t="s">
        <v>15</v>
      </c>
      <c r="B708" s="392" t="s">
        <v>672</v>
      </c>
      <c r="C708" s="392" t="s">
        <v>10</v>
      </c>
      <c r="D708" s="392" t="s">
        <v>450</v>
      </c>
      <c r="E708" s="392" t="s">
        <v>16</v>
      </c>
      <c r="F708" s="476">
        <f>F709</f>
        <v>31355</v>
      </c>
      <c r="G708" s="449">
        <f>G709</f>
        <v>76553</v>
      </c>
      <c r="H708" s="449"/>
      <c r="I708" s="449">
        <f>I709</f>
        <v>95160</v>
      </c>
      <c r="J708" s="449">
        <f>J709</f>
        <v>61000</v>
      </c>
      <c r="K708" s="462">
        <f t="shared" si="302"/>
        <v>79.683356628740881</v>
      </c>
      <c r="L708" s="462">
        <f t="shared" si="303"/>
        <v>-15553</v>
      </c>
      <c r="M708" s="449">
        <f>M709</f>
        <v>61000</v>
      </c>
      <c r="N708" s="178">
        <f t="shared" si="301"/>
        <v>0</v>
      </c>
    </row>
    <row r="709" spans="1:14" s="184" customFormat="1" ht="50.95" x14ac:dyDescent="0.3">
      <c r="A709" s="189" t="s">
        <v>17</v>
      </c>
      <c r="B709" s="392" t="s">
        <v>672</v>
      </c>
      <c r="C709" s="392" t="s">
        <v>10</v>
      </c>
      <c r="D709" s="392" t="s">
        <v>450</v>
      </c>
      <c r="E709" s="392" t="s">
        <v>18</v>
      </c>
      <c r="F709" s="475">
        <v>31355</v>
      </c>
      <c r="G709" s="449">
        <f>'потребность 2023 (5)'!K745+39000</f>
        <v>76553</v>
      </c>
      <c r="H709" s="449"/>
      <c r="I709" s="449">
        <v>95160</v>
      </c>
      <c r="J709" s="449">
        <v>61000</v>
      </c>
      <c r="K709" s="462">
        <f t="shared" si="302"/>
        <v>79.683356628740881</v>
      </c>
      <c r="L709" s="462">
        <f t="shared" si="303"/>
        <v>-15553</v>
      </c>
      <c r="M709" s="449">
        <v>61000</v>
      </c>
      <c r="N709" s="178">
        <f t="shared" si="301"/>
        <v>0</v>
      </c>
    </row>
    <row r="710" spans="1:14" s="184" customFormat="1" x14ac:dyDescent="0.3">
      <c r="A710" s="189" t="s">
        <v>19</v>
      </c>
      <c r="B710" s="392" t="s">
        <v>672</v>
      </c>
      <c r="C710" s="392" t="s">
        <v>10</v>
      </c>
      <c r="D710" s="392" t="s">
        <v>450</v>
      </c>
      <c r="E710" s="298" t="s">
        <v>20</v>
      </c>
      <c r="F710" s="462">
        <v>0</v>
      </c>
      <c r="G710" s="449">
        <f>G711</f>
        <v>500</v>
      </c>
      <c r="H710" s="449"/>
      <c r="I710" s="449">
        <f>I711</f>
        <v>500</v>
      </c>
      <c r="J710" s="449">
        <f>J711</f>
        <v>500</v>
      </c>
      <c r="K710" s="462">
        <f t="shared" si="302"/>
        <v>100</v>
      </c>
      <c r="L710" s="462">
        <f t="shared" si="303"/>
        <v>0</v>
      </c>
      <c r="M710" s="449">
        <f>M711</f>
        <v>500</v>
      </c>
      <c r="N710" s="178">
        <f t="shared" si="301"/>
        <v>0</v>
      </c>
    </row>
    <row r="711" spans="1:14" s="184" customFormat="1" x14ac:dyDescent="0.3">
      <c r="A711" s="189" t="s">
        <v>21</v>
      </c>
      <c r="B711" s="392" t="s">
        <v>672</v>
      </c>
      <c r="C711" s="392" t="s">
        <v>10</v>
      </c>
      <c r="D711" s="392" t="s">
        <v>450</v>
      </c>
      <c r="E711" s="298" t="s">
        <v>22</v>
      </c>
      <c r="F711" s="462">
        <v>0</v>
      </c>
      <c r="G711" s="449">
        <f>'потребность 2023 (5)'!K747</f>
        <v>500</v>
      </c>
      <c r="H711" s="449"/>
      <c r="I711" s="449">
        <v>500</v>
      </c>
      <c r="J711" s="449">
        <v>500</v>
      </c>
      <c r="K711" s="462">
        <f t="shared" si="302"/>
        <v>100</v>
      </c>
      <c r="L711" s="462">
        <f t="shared" si="303"/>
        <v>0</v>
      </c>
      <c r="M711" s="449">
        <v>500</v>
      </c>
      <c r="N711" s="178">
        <f t="shared" si="301"/>
        <v>0</v>
      </c>
    </row>
    <row r="712" spans="1:14" s="184" customFormat="1" x14ac:dyDescent="0.3">
      <c r="A712" s="189" t="s">
        <v>23</v>
      </c>
      <c r="B712" s="392" t="s">
        <v>672</v>
      </c>
      <c r="C712" s="392" t="s">
        <v>24</v>
      </c>
      <c r="D712" s="392" t="s">
        <v>126</v>
      </c>
      <c r="E712" s="298" t="s">
        <v>6</v>
      </c>
      <c r="F712" s="462">
        <v>0</v>
      </c>
      <c r="G712" s="449">
        <f>G713+G718</f>
        <v>19750</v>
      </c>
      <c r="H712" s="449"/>
      <c r="I712" s="449">
        <f>I713+I718</f>
        <v>19500</v>
      </c>
      <c r="J712" s="449">
        <f>J713+J718</f>
        <v>19000</v>
      </c>
      <c r="K712" s="462">
        <f t="shared" si="302"/>
        <v>96.202531645569621</v>
      </c>
      <c r="L712" s="462">
        <f t="shared" si="303"/>
        <v>-750</v>
      </c>
      <c r="M712" s="449">
        <f>M713+M718</f>
        <v>19000</v>
      </c>
      <c r="N712" s="178">
        <f t="shared" si="301"/>
        <v>0</v>
      </c>
    </row>
    <row r="713" spans="1:14" s="184" customFormat="1" ht="50.95" x14ac:dyDescent="0.3">
      <c r="A713" s="233" t="s">
        <v>1020</v>
      </c>
      <c r="B713" s="397" t="s">
        <v>672</v>
      </c>
      <c r="C713" s="397" t="s">
        <v>24</v>
      </c>
      <c r="D713" s="397" t="s">
        <v>128</v>
      </c>
      <c r="E713" s="398" t="s">
        <v>6</v>
      </c>
      <c r="F713" s="465">
        <v>0</v>
      </c>
      <c r="G713" s="449">
        <f t="shared" ref="G713:J716" si="309">G714</f>
        <v>10000</v>
      </c>
      <c r="H713" s="449"/>
      <c r="I713" s="449">
        <f t="shared" si="309"/>
        <v>10400</v>
      </c>
      <c r="J713" s="449">
        <f t="shared" si="309"/>
        <v>10000</v>
      </c>
      <c r="K713" s="462">
        <f t="shared" si="302"/>
        <v>100</v>
      </c>
      <c r="L713" s="462">
        <f t="shared" si="303"/>
        <v>0</v>
      </c>
      <c r="M713" s="449">
        <f t="shared" ref="M713:M716" si="310">M714</f>
        <v>10000</v>
      </c>
      <c r="N713" s="178">
        <f t="shared" si="301"/>
        <v>0</v>
      </c>
    </row>
    <row r="714" spans="1:14" s="184" customFormat="1" ht="50.95" x14ac:dyDescent="0.3">
      <c r="A714" s="189" t="s">
        <v>729</v>
      </c>
      <c r="B714" s="392" t="s">
        <v>672</v>
      </c>
      <c r="C714" s="392" t="s">
        <v>24</v>
      </c>
      <c r="D714" s="392" t="s">
        <v>303</v>
      </c>
      <c r="E714" s="298" t="s">
        <v>6</v>
      </c>
      <c r="F714" s="462">
        <v>0</v>
      </c>
      <c r="G714" s="449">
        <f t="shared" si="309"/>
        <v>10000</v>
      </c>
      <c r="H714" s="449"/>
      <c r="I714" s="449">
        <f t="shared" si="309"/>
        <v>10400</v>
      </c>
      <c r="J714" s="449">
        <f t="shared" si="309"/>
        <v>10000</v>
      </c>
      <c r="K714" s="462">
        <f t="shared" si="302"/>
        <v>100</v>
      </c>
      <c r="L714" s="462">
        <f t="shared" si="303"/>
        <v>0</v>
      </c>
      <c r="M714" s="449">
        <f t="shared" si="310"/>
        <v>10000</v>
      </c>
      <c r="N714" s="178">
        <f t="shared" si="301"/>
        <v>0</v>
      </c>
    </row>
    <row r="715" spans="1:14" s="184" customFormat="1" x14ac:dyDescent="0.3">
      <c r="A715" s="189" t="s">
        <v>309</v>
      </c>
      <c r="B715" s="392" t="s">
        <v>672</v>
      </c>
      <c r="C715" s="392" t="s">
        <v>24</v>
      </c>
      <c r="D715" s="392" t="s">
        <v>304</v>
      </c>
      <c r="E715" s="298" t="s">
        <v>6</v>
      </c>
      <c r="F715" s="462">
        <v>0</v>
      </c>
      <c r="G715" s="449">
        <f t="shared" si="309"/>
        <v>10000</v>
      </c>
      <c r="H715" s="449"/>
      <c r="I715" s="449">
        <f t="shared" si="309"/>
        <v>10400</v>
      </c>
      <c r="J715" s="449">
        <f t="shared" si="309"/>
        <v>10000</v>
      </c>
      <c r="K715" s="462">
        <f t="shared" si="302"/>
        <v>100</v>
      </c>
      <c r="L715" s="462">
        <f t="shared" si="303"/>
        <v>0</v>
      </c>
      <c r="M715" s="449">
        <f t="shared" si="310"/>
        <v>10000</v>
      </c>
      <c r="N715" s="178">
        <f t="shared" si="301"/>
        <v>0</v>
      </c>
    </row>
    <row r="716" spans="1:14" s="184" customFormat="1" ht="34" x14ac:dyDescent="0.3">
      <c r="A716" s="189" t="s">
        <v>15</v>
      </c>
      <c r="B716" s="392" t="s">
        <v>672</v>
      </c>
      <c r="C716" s="392" t="s">
        <v>24</v>
      </c>
      <c r="D716" s="392" t="s">
        <v>304</v>
      </c>
      <c r="E716" s="298" t="s">
        <v>16</v>
      </c>
      <c r="F716" s="462">
        <v>0</v>
      </c>
      <c r="G716" s="449">
        <f t="shared" si="309"/>
        <v>10000</v>
      </c>
      <c r="H716" s="449"/>
      <c r="I716" s="449">
        <f t="shared" si="309"/>
        <v>10400</v>
      </c>
      <c r="J716" s="449">
        <f t="shared" si="309"/>
        <v>10000</v>
      </c>
      <c r="K716" s="462">
        <f t="shared" si="302"/>
        <v>100</v>
      </c>
      <c r="L716" s="462">
        <f t="shared" si="303"/>
        <v>0</v>
      </c>
      <c r="M716" s="449">
        <f t="shared" si="310"/>
        <v>10000</v>
      </c>
      <c r="N716" s="178">
        <f t="shared" si="301"/>
        <v>0</v>
      </c>
    </row>
    <row r="717" spans="1:14" s="184" customFormat="1" ht="50.95" x14ac:dyDescent="0.3">
      <c r="A717" s="189" t="s">
        <v>17</v>
      </c>
      <c r="B717" s="392" t="s">
        <v>672</v>
      </c>
      <c r="C717" s="392" t="s">
        <v>24</v>
      </c>
      <c r="D717" s="392" t="s">
        <v>304</v>
      </c>
      <c r="E717" s="298" t="s">
        <v>18</v>
      </c>
      <c r="F717" s="462">
        <v>0</v>
      </c>
      <c r="G717" s="449">
        <f>'потребность 2023 (5)'!K753</f>
        <v>10000</v>
      </c>
      <c r="H717" s="449"/>
      <c r="I717" s="449">
        <v>10400</v>
      </c>
      <c r="J717" s="449">
        <v>10000</v>
      </c>
      <c r="K717" s="462">
        <f t="shared" si="302"/>
        <v>100</v>
      </c>
      <c r="L717" s="462">
        <f t="shared" si="303"/>
        <v>0</v>
      </c>
      <c r="M717" s="449">
        <v>10000</v>
      </c>
      <c r="N717" s="178">
        <f t="shared" si="301"/>
        <v>0</v>
      </c>
    </row>
    <row r="718" spans="1:14" s="184" customFormat="1" ht="50.95" x14ac:dyDescent="0.3">
      <c r="A718" s="233" t="s">
        <v>1028</v>
      </c>
      <c r="B718" s="397" t="s">
        <v>672</v>
      </c>
      <c r="C718" s="392" t="s">
        <v>24</v>
      </c>
      <c r="D718" s="397" t="s">
        <v>305</v>
      </c>
      <c r="E718" s="398" t="s">
        <v>6</v>
      </c>
      <c r="F718" s="465">
        <v>0</v>
      </c>
      <c r="G718" s="449">
        <f t="shared" ref="G718:J721" si="311">G719</f>
        <v>9750</v>
      </c>
      <c r="H718" s="449"/>
      <c r="I718" s="449">
        <f t="shared" si="311"/>
        <v>9100</v>
      </c>
      <c r="J718" s="449">
        <f t="shared" si="311"/>
        <v>9000</v>
      </c>
      <c r="K718" s="462">
        <f t="shared" si="302"/>
        <v>92.307692307692307</v>
      </c>
      <c r="L718" s="462">
        <f t="shared" si="303"/>
        <v>-750</v>
      </c>
      <c r="M718" s="449">
        <f t="shared" ref="M718:M721" si="312">M719</f>
        <v>9000</v>
      </c>
      <c r="N718" s="178">
        <f t="shared" si="301"/>
        <v>0</v>
      </c>
    </row>
    <row r="719" spans="1:14" s="184" customFormat="1" ht="50.95" x14ac:dyDescent="0.3">
      <c r="A719" s="189" t="s">
        <v>245</v>
      </c>
      <c r="B719" s="392" t="s">
        <v>672</v>
      </c>
      <c r="C719" s="392" t="s">
        <v>24</v>
      </c>
      <c r="D719" s="392" t="s">
        <v>306</v>
      </c>
      <c r="E719" s="298" t="s">
        <v>6</v>
      </c>
      <c r="F719" s="462">
        <v>0</v>
      </c>
      <c r="G719" s="449">
        <f t="shared" si="311"/>
        <v>9750</v>
      </c>
      <c r="H719" s="449"/>
      <c r="I719" s="449">
        <f t="shared" si="311"/>
        <v>9100</v>
      </c>
      <c r="J719" s="449">
        <f t="shared" si="311"/>
        <v>9000</v>
      </c>
      <c r="K719" s="462">
        <f t="shared" si="302"/>
        <v>92.307692307692307</v>
      </c>
      <c r="L719" s="462">
        <f t="shared" si="303"/>
        <v>-750</v>
      </c>
      <c r="M719" s="449">
        <f t="shared" si="312"/>
        <v>9000</v>
      </c>
      <c r="N719" s="178">
        <f t="shared" si="301"/>
        <v>0</v>
      </c>
    </row>
    <row r="720" spans="1:14" s="184" customFormat="1" ht="45" customHeight="1" x14ac:dyDescent="0.3">
      <c r="A720" s="189" t="s">
        <v>25</v>
      </c>
      <c r="B720" s="392" t="s">
        <v>672</v>
      </c>
      <c r="C720" s="392" t="s">
        <v>24</v>
      </c>
      <c r="D720" s="392" t="s">
        <v>317</v>
      </c>
      <c r="E720" s="298" t="s">
        <v>6</v>
      </c>
      <c r="F720" s="462">
        <v>0</v>
      </c>
      <c r="G720" s="449">
        <f t="shared" si="311"/>
        <v>9750</v>
      </c>
      <c r="H720" s="449"/>
      <c r="I720" s="449">
        <f t="shared" si="311"/>
        <v>9100</v>
      </c>
      <c r="J720" s="449">
        <f t="shared" si="311"/>
        <v>9000</v>
      </c>
      <c r="K720" s="462">
        <f t="shared" si="302"/>
        <v>92.307692307692307</v>
      </c>
      <c r="L720" s="462">
        <f t="shared" si="303"/>
        <v>-750</v>
      </c>
      <c r="M720" s="449">
        <f t="shared" si="312"/>
        <v>9000</v>
      </c>
      <c r="N720" s="178">
        <f t="shared" si="301"/>
        <v>0</v>
      </c>
    </row>
    <row r="721" spans="1:14" s="184" customFormat="1" ht="34" x14ac:dyDescent="0.3">
      <c r="A721" s="189" t="s">
        <v>15</v>
      </c>
      <c r="B721" s="392" t="s">
        <v>672</v>
      </c>
      <c r="C721" s="392" t="s">
        <v>24</v>
      </c>
      <c r="D721" s="392" t="s">
        <v>317</v>
      </c>
      <c r="E721" s="298" t="s">
        <v>16</v>
      </c>
      <c r="F721" s="462">
        <v>0</v>
      </c>
      <c r="G721" s="449">
        <f t="shared" si="311"/>
        <v>9750</v>
      </c>
      <c r="H721" s="449"/>
      <c r="I721" s="449">
        <f t="shared" si="311"/>
        <v>9100</v>
      </c>
      <c r="J721" s="449">
        <f t="shared" si="311"/>
        <v>9000</v>
      </c>
      <c r="K721" s="462">
        <f t="shared" si="302"/>
        <v>92.307692307692307</v>
      </c>
      <c r="L721" s="462">
        <f t="shared" si="303"/>
        <v>-750</v>
      </c>
      <c r="M721" s="449">
        <f t="shared" si="312"/>
        <v>9000</v>
      </c>
      <c r="N721" s="178">
        <f t="shared" si="301"/>
        <v>0</v>
      </c>
    </row>
    <row r="722" spans="1:14" s="184" customFormat="1" ht="50.95" x14ac:dyDescent="0.3">
      <c r="A722" s="189" t="s">
        <v>17</v>
      </c>
      <c r="B722" s="392" t="s">
        <v>672</v>
      </c>
      <c r="C722" s="392" t="s">
        <v>24</v>
      </c>
      <c r="D722" s="392" t="s">
        <v>317</v>
      </c>
      <c r="E722" s="298" t="s">
        <v>18</v>
      </c>
      <c r="F722" s="462">
        <v>0</v>
      </c>
      <c r="G722" s="449">
        <f>'потребность 2023 (5)'!K758+1000</f>
        <v>9750</v>
      </c>
      <c r="H722" s="449"/>
      <c r="I722" s="449">
        <v>9100</v>
      </c>
      <c r="J722" s="449">
        <v>9000</v>
      </c>
      <c r="K722" s="462">
        <f t="shared" si="302"/>
        <v>92.307692307692307</v>
      </c>
      <c r="L722" s="462">
        <f t="shared" si="303"/>
        <v>-750</v>
      </c>
      <c r="M722" s="449">
        <v>9000</v>
      </c>
      <c r="N722" s="178">
        <f t="shared" si="301"/>
        <v>0</v>
      </c>
    </row>
    <row r="723" spans="1:14" s="184" customFormat="1" x14ac:dyDescent="0.3">
      <c r="A723" s="191" t="s">
        <v>685</v>
      </c>
      <c r="B723" s="192"/>
      <c r="C723" s="192"/>
      <c r="D723" s="245"/>
      <c r="E723" s="192"/>
      <c r="F723" s="459" t="e">
        <f>F8+F30+F477+F504+F698</f>
        <v>#REF!</v>
      </c>
      <c r="G723" s="459" t="e">
        <f>G8+G30+G477+G504+G698</f>
        <v>#REF!</v>
      </c>
      <c r="H723" s="459"/>
      <c r="I723" s="459" t="e">
        <f>I8+I30+I477+I504+I698</f>
        <v>#REF!</v>
      </c>
      <c r="J723" s="459">
        <f>J8+J30+J477+J504+J698</f>
        <v>634532154.60000002</v>
      </c>
      <c r="K723" s="462" t="e">
        <f t="shared" si="302"/>
        <v>#REF!</v>
      </c>
      <c r="L723" s="462" t="e">
        <f t="shared" si="303"/>
        <v>#REF!</v>
      </c>
      <c r="M723" s="459">
        <f>M8+M30+M477+M504+M698</f>
        <v>1148426529.2499998</v>
      </c>
      <c r="N723" s="178">
        <f t="shared" si="301"/>
        <v>513894374.64999974</v>
      </c>
    </row>
    <row r="724" spans="1:14" s="184" customFormat="1" x14ac:dyDescent="0.3">
      <c r="A724" s="383"/>
      <c r="B724" s="192"/>
      <c r="C724" s="192"/>
      <c r="D724" s="563" t="s">
        <v>1107</v>
      </c>
      <c r="E724" s="192"/>
      <c r="F724" s="449"/>
      <c r="G724" s="449">
        <f>511169940.96-7232800-17069200.78</f>
        <v>486867940.17999995</v>
      </c>
      <c r="H724" s="449"/>
      <c r="I724" s="449"/>
      <c r="J724" s="449"/>
      <c r="K724" s="449">
        <v>100.6</v>
      </c>
      <c r="L724" s="462"/>
      <c r="M724" s="449">
        <v>489798066</v>
      </c>
      <c r="N724" s="192"/>
    </row>
    <row r="725" spans="1:14" s="184" customFormat="1" x14ac:dyDescent="0.3">
      <c r="A725" s="383"/>
      <c r="B725" s="192"/>
      <c r="C725" s="192"/>
      <c r="D725" s="563" t="s">
        <v>1106</v>
      </c>
      <c r="E725" s="192"/>
      <c r="F725" s="449"/>
      <c r="G725" s="449">
        <v>675094322.65999997</v>
      </c>
      <c r="H725" s="449"/>
      <c r="I725" s="449"/>
      <c r="J725" s="449"/>
      <c r="K725" s="449"/>
      <c r="L725" s="449"/>
      <c r="M725" s="464"/>
      <c r="N725" s="192"/>
    </row>
    <row r="726" spans="1:14" s="184" customFormat="1" x14ac:dyDescent="0.3">
      <c r="A726" s="195"/>
      <c r="B726" s="183"/>
      <c r="C726" s="183"/>
      <c r="D726" s="564" t="s">
        <v>1108</v>
      </c>
      <c r="E726" s="183"/>
      <c r="G726" s="184">
        <v>7232800</v>
      </c>
      <c r="I726" s="454"/>
      <c r="M726" s="183"/>
      <c r="N726" s="183"/>
    </row>
    <row r="727" spans="1:14" s="184" customFormat="1" x14ac:dyDescent="0.3">
      <c r="A727" s="195"/>
      <c r="B727" s="183"/>
      <c r="C727" s="183"/>
      <c r="D727" s="564" t="s">
        <v>1112</v>
      </c>
      <c r="E727" s="183"/>
      <c r="G727" s="184" t="e">
        <f>G724-G723</f>
        <v>#REF!</v>
      </c>
      <c r="I727" s="454"/>
      <c r="N727" s="183"/>
    </row>
    <row r="728" spans="1:14" s="184" customFormat="1" x14ac:dyDescent="0.3">
      <c r="A728" s="195"/>
      <c r="B728" s="183"/>
      <c r="C728" s="183"/>
      <c r="D728" s="564"/>
      <c r="E728" s="183"/>
      <c r="I728" s="454"/>
      <c r="N728" s="183"/>
    </row>
    <row r="729" spans="1:14" s="184" customFormat="1" x14ac:dyDescent="0.3">
      <c r="A729" s="195"/>
      <c r="B729" s="183"/>
      <c r="C729" s="183"/>
      <c r="D729" s="565"/>
      <c r="E729" s="183"/>
      <c r="I729" s="454"/>
      <c r="J729" s="251"/>
      <c r="K729" s="251"/>
      <c r="L729" s="251"/>
      <c r="M729" s="250"/>
      <c r="N729" s="183"/>
    </row>
    <row r="730" spans="1:14" s="184" customFormat="1" ht="18.350000000000001" x14ac:dyDescent="0.3">
      <c r="A730" s="671"/>
      <c r="B730" s="671"/>
      <c r="C730" s="671"/>
      <c r="D730" s="671"/>
      <c r="E730" s="671"/>
      <c r="F730" s="671"/>
      <c r="G730" s="671"/>
      <c r="H730" s="511"/>
      <c r="I730" s="512"/>
      <c r="J730" s="513"/>
      <c r="K730" s="514"/>
      <c r="L730" s="514"/>
      <c r="M730" s="251"/>
      <c r="N730" s="183"/>
    </row>
    <row r="731" spans="1:14" s="184" customFormat="1" ht="18.350000000000001" x14ac:dyDescent="0.3">
      <c r="A731" s="670"/>
      <c r="B731" s="670"/>
      <c r="C731" s="670"/>
      <c r="D731" s="670"/>
      <c r="E731" s="670"/>
      <c r="F731" s="670"/>
      <c r="G731" s="670"/>
      <c r="H731" s="515"/>
      <c r="I731" s="512"/>
      <c r="J731" s="516"/>
      <c r="K731" s="251"/>
      <c r="L731" s="251"/>
      <c r="M731" s="251"/>
      <c r="N731" s="183"/>
    </row>
    <row r="732" spans="1:14" s="184" customFormat="1" ht="18.350000000000001" x14ac:dyDescent="0.3">
      <c r="A732" s="670"/>
      <c r="B732" s="670"/>
      <c r="C732" s="670"/>
      <c r="D732" s="670"/>
      <c r="E732" s="670"/>
      <c r="F732" s="670"/>
      <c r="G732" s="670"/>
      <c r="H732" s="515"/>
      <c r="I732" s="512"/>
      <c r="J732" s="516"/>
      <c r="M732" s="183"/>
      <c r="N732" s="183"/>
    </row>
    <row r="733" spans="1:14" s="184" customFormat="1" ht="18.350000000000001" x14ac:dyDescent="0.3">
      <c r="A733" s="670"/>
      <c r="B733" s="670"/>
      <c r="C733" s="670"/>
      <c r="D733" s="670"/>
      <c r="E733" s="670"/>
      <c r="F733" s="670"/>
      <c r="G733" s="670"/>
      <c r="H733" s="515"/>
      <c r="I733" s="512"/>
      <c r="J733" s="516"/>
      <c r="M733" s="183"/>
      <c r="N733" s="183"/>
    </row>
    <row r="734" spans="1:14" s="184" customFormat="1" ht="18.350000000000001" x14ac:dyDescent="0.3">
      <c r="A734" s="670"/>
      <c r="B734" s="670"/>
      <c r="C734" s="670"/>
      <c r="D734" s="670"/>
      <c r="E734" s="670"/>
      <c r="F734" s="670"/>
      <c r="G734" s="670"/>
      <c r="H734" s="515"/>
      <c r="I734" s="512"/>
      <c r="J734" s="516"/>
      <c r="M734" s="183"/>
      <c r="N734" s="183"/>
    </row>
    <row r="735" spans="1:14" s="184" customFormat="1" ht="18.350000000000001" x14ac:dyDescent="0.3">
      <c r="A735" s="670"/>
      <c r="B735" s="670"/>
      <c r="C735" s="670"/>
      <c r="D735" s="670"/>
      <c r="E735" s="670"/>
      <c r="F735" s="670"/>
      <c r="G735" s="670"/>
      <c r="H735" s="515"/>
      <c r="I735" s="512"/>
      <c r="J735" s="516"/>
      <c r="M735" s="183"/>
      <c r="N735" s="183"/>
    </row>
    <row r="736" spans="1:14" s="184" customFormat="1" ht="18.350000000000001" x14ac:dyDescent="0.3">
      <c r="A736" s="670"/>
      <c r="B736" s="670"/>
      <c r="C736" s="670"/>
      <c r="D736" s="670"/>
      <c r="E736" s="670"/>
      <c r="F736" s="670"/>
      <c r="G736" s="670"/>
      <c r="H736" s="515"/>
      <c r="I736" s="512"/>
      <c r="J736" s="516"/>
      <c r="M736" s="183"/>
      <c r="N736" s="183"/>
    </row>
    <row r="737" spans="1:14" s="184" customFormat="1" ht="18.350000000000001" x14ac:dyDescent="0.3">
      <c r="A737" s="671"/>
      <c r="B737" s="671"/>
      <c r="C737" s="671"/>
      <c r="D737" s="671"/>
      <c r="E737" s="671"/>
      <c r="F737" s="671"/>
      <c r="G737" s="671"/>
      <c r="H737" s="515"/>
      <c r="I737" s="512"/>
      <c r="J737" s="513"/>
      <c r="M737" s="183"/>
      <c r="N737" s="183"/>
    </row>
    <row r="738" spans="1:14" s="184" customFormat="1" ht="18.350000000000001" x14ac:dyDescent="0.3">
      <c r="A738" s="670"/>
      <c r="B738" s="670"/>
      <c r="C738" s="670"/>
      <c r="D738" s="670"/>
      <c r="E738" s="670"/>
      <c r="F738" s="670"/>
      <c r="G738" s="670"/>
      <c r="H738" s="515"/>
      <c r="I738" s="512"/>
      <c r="J738" s="516"/>
      <c r="M738" s="183"/>
      <c r="N738" s="183"/>
    </row>
    <row r="739" spans="1:14" s="184" customFormat="1" ht="18.350000000000001" x14ac:dyDescent="0.3">
      <c r="A739" s="670"/>
      <c r="B739" s="670"/>
      <c r="C739" s="670"/>
      <c r="D739" s="670"/>
      <c r="E739" s="670"/>
      <c r="F739" s="670"/>
      <c r="G739" s="670"/>
      <c r="H739" s="515"/>
      <c r="I739" s="512"/>
      <c r="J739" s="516"/>
      <c r="M739" s="183"/>
      <c r="N739" s="183"/>
    </row>
    <row r="740" spans="1:14" s="184" customFormat="1" ht="18.350000000000001" x14ac:dyDescent="0.3">
      <c r="A740" s="670"/>
      <c r="B740" s="670"/>
      <c r="C740" s="670"/>
      <c r="D740" s="670"/>
      <c r="E740" s="670"/>
      <c r="F740" s="670"/>
      <c r="G740" s="670"/>
      <c r="H740" s="517"/>
      <c r="I740" s="512"/>
      <c r="J740" s="516"/>
      <c r="K740" s="253"/>
      <c r="L740" s="253"/>
      <c r="M740" s="183"/>
      <c r="N740" s="183"/>
    </row>
    <row r="741" spans="1:14" s="184" customFormat="1" ht="18.350000000000001" x14ac:dyDescent="0.3">
      <c r="A741" s="670"/>
      <c r="B741" s="670"/>
      <c r="C741" s="670"/>
      <c r="D741" s="670"/>
      <c r="E741" s="670"/>
      <c r="F741" s="670"/>
      <c r="G741" s="670"/>
      <c r="H741" s="517"/>
      <c r="I741" s="512"/>
      <c r="J741" s="516"/>
      <c r="K741" s="253"/>
      <c r="L741" s="253"/>
      <c r="M741" s="183"/>
      <c r="N741" s="183"/>
    </row>
    <row r="742" spans="1:14" s="184" customFormat="1" ht="18.350000000000001" x14ac:dyDescent="0.3">
      <c r="A742" s="670"/>
      <c r="B742" s="670"/>
      <c r="C742" s="670"/>
      <c r="D742" s="670"/>
      <c r="E742" s="670"/>
      <c r="F742" s="670"/>
      <c r="G742" s="670"/>
      <c r="H742" s="515"/>
      <c r="I742" s="512"/>
      <c r="J742" s="516"/>
      <c r="M742" s="183"/>
      <c r="N742" s="183"/>
    </row>
    <row r="743" spans="1:14" s="184" customFormat="1" ht="18.350000000000001" x14ac:dyDescent="0.3">
      <c r="A743" s="670"/>
      <c r="B743" s="670"/>
      <c r="C743" s="670"/>
      <c r="D743" s="670"/>
      <c r="E743" s="670"/>
      <c r="F743" s="670"/>
      <c r="G743" s="670"/>
      <c r="H743" s="517"/>
      <c r="I743" s="512"/>
      <c r="J743" s="516"/>
      <c r="K743" s="253"/>
      <c r="L743" s="253"/>
      <c r="M743" s="183"/>
      <c r="N743" s="183"/>
    </row>
    <row r="744" spans="1:14" s="184" customFormat="1" ht="18.350000000000001" x14ac:dyDescent="0.3">
      <c r="A744" s="670"/>
      <c r="B744" s="670"/>
      <c r="C744" s="670"/>
      <c r="D744" s="670"/>
      <c r="E744" s="670"/>
      <c r="F744" s="670"/>
      <c r="G744" s="670"/>
      <c r="H744" s="517"/>
      <c r="I744" s="512"/>
      <c r="J744" s="516"/>
      <c r="K744" s="253"/>
      <c r="L744" s="253"/>
      <c r="M744" s="183"/>
      <c r="N744" s="183"/>
    </row>
    <row r="745" spans="1:14" s="184" customFormat="1" ht="18.350000000000001" x14ac:dyDescent="0.3">
      <c r="A745" s="670"/>
      <c r="B745" s="670"/>
      <c r="C745" s="670"/>
      <c r="D745" s="670"/>
      <c r="E745" s="670"/>
      <c r="F745" s="670"/>
      <c r="G745" s="670"/>
      <c r="H745" s="518"/>
      <c r="I745" s="512"/>
      <c r="J745" s="516"/>
      <c r="K745" s="262"/>
      <c r="L745" s="262"/>
      <c r="M745" s="183"/>
      <c r="N745" s="183"/>
    </row>
    <row r="746" spans="1:14" s="184" customFormat="1" ht="18.350000000000001" x14ac:dyDescent="0.3">
      <c r="A746" s="670"/>
      <c r="B746" s="670"/>
      <c r="C746" s="670"/>
      <c r="D746" s="670"/>
      <c r="E746" s="670"/>
      <c r="F746" s="670"/>
      <c r="G746" s="670"/>
      <c r="H746" s="518"/>
      <c r="I746" s="512"/>
      <c r="J746" s="516"/>
      <c r="K746" s="262"/>
      <c r="L746" s="262"/>
      <c r="M746" s="183"/>
      <c r="N746" s="183"/>
    </row>
    <row r="747" spans="1:14" s="184" customFormat="1" ht="18.350000000000001" x14ac:dyDescent="0.3">
      <c r="A747" s="670"/>
      <c r="B747" s="670"/>
      <c r="C747" s="670"/>
      <c r="D747" s="670"/>
      <c r="E747" s="670"/>
      <c r="F747" s="670"/>
      <c r="G747" s="670"/>
      <c r="H747" s="518"/>
      <c r="I747" s="512"/>
      <c r="J747" s="516"/>
      <c r="K747" s="262"/>
      <c r="L747" s="262"/>
      <c r="M747" s="183"/>
      <c r="N747" s="183"/>
    </row>
    <row r="748" spans="1:14" s="184" customFormat="1" ht="18.350000000000001" x14ac:dyDescent="0.3">
      <c r="A748" s="670"/>
      <c r="B748" s="670"/>
      <c r="C748" s="670"/>
      <c r="D748" s="670"/>
      <c r="E748" s="670"/>
      <c r="F748" s="670"/>
      <c r="G748" s="670"/>
      <c r="H748" s="517"/>
      <c r="I748" s="512"/>
      <c r="J748" s="516"/>
      <c r="K748" s="253"/>
      <c r="L748" s="253"/>
      <c r="M748" s="183"/>
      <c r="N748" s="183"/>
    </row>
    <row r="749" spans="1:14" s="184" customFormat="1" ht="18.350000000000001" x14ac:dyDescent="0.3">
      <c r="A749" s="670"/>
      <c r="B749" s="670"/>
      <c r="C749" s="670"/>
      <c r="D749" s="670"/>
      <c r="E749" s="670"/>
      <c r="F749" s="670"/>
      <c r="G749" s="670"/>
      <c r="H749" s="517"/>
      <c r="I749" s="512"/>
      <c r="J749" s="516"/>
      <c r="K749" s="253"/>
      <c r="L749" s="253"/>
      <c r="M749" s="183"/>
      <c r="N749" s="183"/>
    </row>
    <row r="750" spans="1:14" s="184" customFormat="1" ht="18.350000000000001" x14ac:dyDescent="0.3">
      <c r="A750" s="670"/>
      <c r="B750" s="670"/>
      <c r="C750" s="670"/>
      <c r="D750" s="670"/>
      <c r="E750" s="670"/>
      <c r="F750" s="670"/>
      <c r="G750" s="670"/>
      <c r="H750" s="517"/>
      <c r="I750" s="512"/>
      <c r="J750" s="516"/>
      <c r="K750" s="253"/>
      <c r="L750" s="253"/>
      <c r="M750" s="183"/>
      <c r="N750" s="183"/>
    </row>
    <row r="751" spans="1:14" s="184" customFormat="1" ht="18.350000000000001" x14ac:dyDescent="0.3">
      <c r="A751" s="519"/>
      <c r="B751" s="519"/>
      <c r="C751" s="519"/>
      <c r="D751" s="163"/>
      <c r="E751" s="519"/>
      <c r="F751" s="519"/>
      <c r="G751" s="519"/>
      <c r="H751" s="517"/>
      <c r="I751" s="512"/>
      <c r="J751" s="516"/>
      <c r="K751" s="253"/>
      <c r="L751" s="253"/>
      <c r="M751" s="183"/>
      <c r="N751" s="183"/>
    </row>
    <row r="752" spans="1:14" s="184" customFormat="1" ht="18.350000000000001" x14ac:dyDescent="0.3">
      <c r="A752" s="671"/>
      <c r="B752" s="671"/>
      <c r="C752" s="671"/>
      <c r="D752" s="671"/>
      <c r="E752" s="671"/>
      <c r="F752" s="671"/>
      <c r="G752" s="671"/>
      <c r="H752" s="517"/>
      <c r="I752" s="512"/>
      <c r="J752" s="513"/>
      <c r="K752" s="253"/>
      <c r="L752" s="253"/>
      <c r="M752" s="183"/>
      <c r="N752" s="183"/>
    </row>
    <row r="753" spans="1:14" s="184" customFormat="1" ht="18.350000000000001" x14ac:dyDescent="0.3">
      <c r="A753" s="670"/>
      <c r="B753" s="670"/>
      <c r="C753" s="670"/>
      <c r="D753" s="670"/>
      <c r="E753" s="670"/>
      <c r="F753" s="670"/>
      <c r="G753" s="670"/>
      <c r="H753" s="517"/>
      <c r="I753" s="512"/>
      <c r="J753" s="516"/>
      <c r="K753" s="253"/>
      <c r="L753" s="253"/>
      <c r="M753" s="183"/>
      <c r="N753" s="183"/>
    </row>
    <row r="754" spans="1:14" s="184" customFormat="1" ht="18.350000000000001" x14ac:dyDescent="0.3">
      <c r="A754" s="670"/>
      <c r="B754" s="670"/>
      <c r="C754" s="670"/>
      <c r="D754" s="670"/>
      <c r="E754" s="670"/>
      <c r="F754" s="670"/>
      <c r="G754" s="670"/>
      <c r="H754" s="517"/>
      <c r="I754" s="512"/>
      <c r="J754" s="516"/>
      <c r="K754" s="253"/>
      <c r="L754" s="253"/>
      <c r="M754" s="183"/>
      <c r="N754" s="183"/>
    </row>
    <row r="755" spans="1:14" s="184" customFormat="1" ht="18.350000000000001" x14ac:dyDescent="0.3">
      <c r="A755" s="670"/>
      <c r="B755" s="670"/>
      <c r="C755" s="670"/>
      <c r="D755" s="670"/>
      <c r="E755" s="670"/>
      <c r="F755" s="670"/>
      <c r="G755" s="670"/>
      <c r="H755" s="517"/>
      <c r="I755" s="512"/>
      <c r="J755" s="516"/>
      <c r="K755" s="253"/>
      <c r="L755" s="253"/>
      <c r="M755" s="183"/>
      <c r="N755" s="183"/>
    </row>
    <row r="756" spans="1:14" s="184" customFormat="1" ht="18.350000000000001" x14ac:dyDescent="0.3">
      <c r="A756" s="670"/>
      <c r="B756" s="670"/>
      <c r="C756" s="670"/>
      <c r="D756" s="670"/>
      <c r="E756" s="670"/>
      <c r="F756" s="670"/>
      <c r="G756" s="670"/>
      <c r="H756" s="517"/>
      <c r="I756" s="512"/>
      <c r="J756" s="516"/>
      <c r="K756" s="253"/>
      <c r="L756" s="253"/>
      <c r="M756" s="183"/>
      <c r="N756" s="183"/>
    </row>
    <row r="757" spans="1:14" s="184" customFormat="1" ht="18.350000000000001" x14ac:dyDescent="0.3">
      <c r="A757" s="670"/>
      <c r="B757" s="670"/>
      <c r="C757" s="670"/>
      <c r="D757" s="670"/>
      <c r="E757" s="670"/>
      <c r="F757" s="670"/>
      <c r="G757" s="670"/>
      <c r="H757" s="517"/>
      <c r="I757" s="512"/>
      <c r="J757" s="516"/>
      <c r="K757" s="253"/>
      <c r="L757" s="253"/>
      <c r="M757" s="183"/>
      <c r="N757" s="183"/>
    </row>
    <row r="758" spans="1:14" s="184" customFormat="1" ht="18.350000000000001" x14ac:dyDescent="0.3">
      <c r="A758" s="670"/>
      <c r="B758" s="670"/>
      <c r="C758" s="670"/>
      <c r="D758" s="670"/>
      <c r="E758" s="670"/>
      <c r="F758" s="670"/>
      <c r="G758" s="670"/>
      <c r="H758" s="517"/>
      <c r="I758" s="512"/>
      <c r="J758" s="516"/>
      <c r="K758" s="253"/>
      <c r="L758" s="253"/>
      <c r="M758" s="183"/>
      <c r="N758" s="183"/>
    </row>
    <row r="759" spans="1:14" s="184" customFormat="1" ht="18.350000000000001" x14ac:dyDescent="0.3">
      <c r="A759" s="671"/>
      <c r="B759" s="671"/>
      <c r="C759" s="671"/>
      <c r="D759" s="671"/>
      <c r="E759" s="671"/>
      <c r="F759" s="671"/>
      <c r="G759" s="671"/>
      <c r="H759" s="517"/>
      <c r="I759" s="512"/>
      <c r="J759" s="520"/>
      <c r="K759" s="253"/>
      <c r="L759" s="253"/>
      <c r="M759" s="183"/>
      <c r="N759" s="183"/>
    </row>
    <row r="760" spans="1:14" s="184" customFormat="1" x14ac:dyDescent="0.3">
      <c r="A760" s="521"/>
      <c r="B760" s="250"/>
      <c r="C760" s="251"/>
      <c r="D760" s="566"/>
      <c r="E760" s="183"/>
      <c r="G760" s="253"/>
      <c r="H760" s="253"/>
      <c r="I760" s="454"/>
      <c r="J760" s="253"/>
      <c r="K760" s="253"/>
      <c r="L760" s="253"/>
      <c r="M760" s="183"/>
      <c r="N760" s="183"/>
    </row>
    <row r="761" spans="1:14" s="184" customFormat="1" x14ac:dyDescent="0.3">
      <c r="A761" s="521"/>
      <c r="B761" s="250"/>
      <c r="C761" s="251"/>
      <c r="D761" s="566"/>
      <c r="E761" s="183"/>
      <c r="G761" s="253"/>
      <c r="H761" s="253"/>
      <c r="I761" s="454"/>
      <c r="J761" s="253"/>
      <c r="K761" s="253"/>
      <c r="L761" s="253"/>
      <c r="M761" s="183"/>
      <c r="N761" s="183"/>
    </row>
    <row r="762" spans="1:14" s="184" customFormat="1" x14ac:dyDescent="0.3">
      <c r="A762" s="195"/>
      <c r="B762" s="183"/>
      <c r="D762" s="566"/>
      <c r="E762" s="183"/>
      <c r="G762" s="253"/>
      <c r="H762" s="253"/>
      <c r="I762" s="454"/>
      <c r="J762" s="253"/>
      <c r="K762" s="253"/>
      <c r="L762" s="253"/>
      <c r="M762" s="183"/>
      <c r="N762" s="183"/>
    </row>
    <row r="763" spans="1:14" s="184" customFormat="1" x14ac:dyDescent="0.3">
      <c r="A763" s="195"/>
      <c r="B763" s="183"/>
      <c r="D763" s="566"/>
      <c r="E763" s="183"/>
      <c r="G763" s="253"/>
      <c r="H763" s="253"/>
      <c r="I763" s="454"/>
      <c r="J763" s="253"/>
      <c r="K763" s="253"/>
      <c r="L763" s="253"/>
      <c r="M763" s="183"/>
      <c r="N763" s="183"/>
    </row>
    <row r="764" spans="1:14" s="184" customFormat="1" x14ac:dyDescent="0.3">
      <c r="A764" s="195"/>
      <c r="B764" s="183"/>
      <c r="D764" s="566"/>
      <c r="E764" s="183"/>
      <c r="G764" s="253"/>
      <c r="H764" s="253"/>
      <c r="I764" s="454"/>
      <c r="J764" s="253"/>
      <c r="K764" s="253"/>
      <c r="L764" s="253"/>
      <c r="M764" s="183"/>
      <c r="N764" s="183"/>
    </row>
    <row r="765" spans="1:14" s="184" customFormat="1" x14ac:dyDescent="0.3">
      <c r="A765" s="195"/>
      <c r="B765" s="183"/>
      <c r="D765" s="566"/>
      <c r="E765" s="183"/>
      <c r="G765" s="253"/>
      <c r="H765" s="253"/>
      <c r="I765" s="454"/>
      <c r="J765" s="253"/>
      <c r="K765" s="253"/>
      <c r="L765" s="253"/>
      <c r="M765" s="183"/>
      <c r="N765" s="183"/>
    </row>
    <row r="766" spans="1:14" s="184" customFormat="1" x14ac:dyDescent="0.3">
      <c r="A766" s="195"/>
      <c r="B766" s="183"/>
      <c r="D766" s="566"/>
      <c r="E766" s="183"/>
      <c r="G766" s="253"/>
      <c r="H766" s="253"/>
      <c r="I766" s="454"/>
      <c r="J766" s="253"/>
      <c r="K766" s="253"/>
      <c r="L766" s="253"/>
      <c r="M766" s="183"/>
      <c r="N766" s="183"/>
    </row>
    <row r="767" spans="1:14" s="184" customFormat="1" x14ac:dyDescent="0.3">
      <c r="A767" s="195"/>
      <c r="B767" s="183"/>
      <c r="D767" s="566"/>
      <c r="E767" s="183"/>
      <c r="G767" s="253"/>
      <c r="H767" s="253"/>
      <c r="I767" s="454"/>
      <c r="J767" s="253"/>
      <c r="K767" s="253"/>
      <c r="L767" s="253"/>
      <c r="M767" s="183"/>
      <c r="N767" s="183"/>
    </row>
    <row r="768" spans="1:14" s="184" customFormat="1" x14ac:dyDescent="0.3">
      <c r="A768" s="195"/>
      <c r="B768" s="183"/>
      <c r="D768" s="525"/>
      <c r="E768" s="183"/>
      <c r="G768" s="260"/>
      <c r="H768" s="260"/>
      <c r="I768" s="454"/>
      <c r="J768" s="260"/>
      <c r="K768" s="253"/>
      <c r="L768" s="253"/>
      <c r="M768" s="183"/>
      <c r="N768" s="183"/>
    </row>
    <row r="769" spans="1:14" s="184" customFormat="1" x14ac:dyDescent="0.3">
      <c r="A769" s="195"/>
      <c r="B769" s="183"/>
      <c r="D769" s="525"/>
      <c r="E769" s="183"/>
      <c r="G769" s="260"/>
      <c r="H769" s="260"/>
      <c r="I769" s="454"/>
      <c r="J769" s="260"/>
      <c r="K769" s="253"/>
      <c r="L769" s="253"/>
      <c r="M769" s="183"/>
      <c r="N769" s="183"/>
    </row>
    <row r="770" spans="1:14" x14ac:dyDescent="0.3">
      <c r="C770" s="184"/>
    </row>
    <row r="771" spans="1:14" s="184" customFormat="1" x14ac:dyDescent="0.3">
      <c r="A771" s="195"/>
      <c r="B771" s="183"/>
      <c r="D771" s="525"/>
      <c r="E771" s="183"/>
      <c r="G771" s="253"/>
      <c r="H771" s="253"/>
      <c r="I771" s="454"/>
      <c r="J771" s="253"/>
      <c r="K771" s="253"/>
      <c r="L771" s="253"/>
      <c r="M771" s="183"/>
      <c r="N771" s="183"/>
    </row>
    <row r="772" spans="1:14" s="184" customFormat="1" x14ac:dyDescent="0.3">
      <c r="A772" s="258"/>
      <c r="B772" s="183"/>
      <c r="C772" s="264"/>
      <c r="D772" s="525"/>
      <c r="E772" s="183"/>
      <c r="G772" s="253"/>
      <c r="H772" s="253"/>
      <c r="I772" s="454"/>
      <c r="M772" s="183"/>
      <c r="N772" s="183"/>
    </row>
  </sheetData>
  <autoFilter ref="A7:N725"/>
  <mergeCells count="32">
    <mergeCell ref="A758:G758"/>
    <mergeCell ref="A759:G759"/>
    <mergeCell ref="A752:G752"/>
    <mergeCell ref="A753:G753"/>
    <mergeCell ref="A754:G754"/>
    <mergeCell ref="A755:G755"/>
    <mergeCell ref="A756:G756"/>
    <mergeCell ref="A757:G757"/>
    <mergeCell ref="A750:G750"/>
    <mergeCell ref="A739:G739"/>
    <mergeCell ref="A740:G740"/>
    <mergeCell ref="A741:G741"/>
    <mergeCell ref="A742:G742"/>
    <mergeCell ref="A743:G743"/>
    <mergeCell ref="A744:G744"/>
    <mergeCell ref="A745:G745"/>
    <mergeCell ref="A746:G746"/>
    <mergeCell ref="A747:G747"/>
    <mergeCell ref="A748:G748"/>
    <mergeCell ref="A749:G749"/>
    <mergeCell ref="A738:G738"/>
    <mergeCell ref="A3:G3"/>
    <mergeCell ref="A4:G4"/>
    <mergeCell ref="A5:G5"/>
    <mergeCell ref="A730:G730"/>
    <mergeCell ref="A731:G731"/>
    <mergeCell ref="A732:G732"/>
    <mergeCell ref="A733:G733"/>
    <mergeCell ref="A734:G734"/>
    <mergeCell ref="A735:G735"/>
    <mergeCell ref="A736:G736"/>
    <mergeCell ref="A737:G737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3" manualBreakCount="3">
    <brk id="89" max="13" man="1"/>
    <brk id="162" max="13" man="1"/>
    <brk id="405" max="1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>
      <selection activeCell="J42" sqref="J42"/>
    </sheetView>
  </sheetViews>
  <sheetFormatPr defaultRowHeight="14.3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06"/>
  <sheetViews>
    <sheetView view="pageBreakPreview" zoomScale="86" zoomScaleNormal="100" zoomScaleSheetLayoutView="86" workbookViewId="0">
      <selection activeCell="B4" sqref="B4"/>
    </sheetView>
  </sheetViews>
  <sheetFormatPr defaultRowHeight="18.350000000000001" x14ac:dyDescent="0.3"/>
  <cols>
    <col min="1" max="1" width="30.375" style="3" customWidth="1"/>
    <col min="2" max="2" width="40.375" style="3" customWidth="1"/>
    <col min="3" max="3" width="22.625" style="3" customWidth="1"/>
    <col min="4" max="4" width="23.625" style="3" customWidth="1"/>
    <col min="5" max="256" width="9.125" style="1"/>
    <col min="257" max="257" width="26.875" style="1" customWidth="1"/>
    <col min="258" max="258" width="40.375" style="1" customWidth="1"/>
    <col min="259" max="259" width="13.375" style="1" customWidth="1"/>
    <col min="260" max="512" width="9.125" style="1"/>
    <col min="513" max="513" width="26.875" style="1" customWidth="1"/>
    <col min="514" max="514" width="40.375" style="1" customWidth="1"/>
    <col min="515" max="515" width="13.375" style="1" customWidth="1"/>
    <col min="516" max="768" width="9.125" style="1"/>
    <col min="769" max="769" width="26.875" style="1" customWidth="1"/>
    <col min="770" max="770" width="40.375" style="1" customWidth="1"/>
    <col min="771" max="771" width="13.375" style="1" customWidth="1"/>
    <col min="772" max="1024" width="9.125" style="1"/>
    <col min="1025" max="1025" width="26.875" style="1" customWidth="1"/>
    <col min="1026" max="1026" width="40.375" style="1" customWidth="1"/>
    <col min="1027" max="1027" width="13.375" style="1" customWidth="1"/>
    <col min="1028" max="1280" width="9.125" style="1"/>
    <col min="1281" max="1281" width="26.875" style="1" customWidth="1"/>
    <col min="1282" max="1282" width="40.375" style="1" customWidth="1"/>
    <col min="1283" max="1283" width="13.375" style="1" customWidth="1"/>
    <col min="1284" max="1536" width="9.125" style="1"/>
    <col min="1537" max="1537" width="26.875" style="1" customWidth="1"/>
    <col min="1538" max="1538" width="40.375" style="1" customWidth="1"/>
    <col min="1539" max="1539" width="13.375" style="1" customWidth="1"/>
    <col min="1540" max="1792" width="9.125" style="1"/>
    <col min="1793" max="1793" width="26.875" style="1" customWidth="1"/>
    <col min="1794" max="1794" width="40.375" style="1" customWidth="1"/>
    <col min="1795" max="1795" width="13.375" style="1" customWidth="1"/>
    <col min="1796" max="2048" width="9.125" style="1"/>
    <col min="2049" max="2049" width="26.875" style="1" customWidth="1"/>
    <col min="2050" max="2050" width="40.375" style="1" customWidth="1"/>
    <col min="2051" max="2051" width="13.375" style="1" customWidth="1"/>
    <col min="2052" max="2304" width="9.125" style="1"/>
    <col min="2305" max="2305" width="26.875" style="1" customWidth="1"/>
    <col min="2306" max="2306" width="40.375" style="1" customWidth="1"/>
    <col min="2307" max="2307" width="13.375" style="1" customWidth="1"/>
    <col min="2308" max="2560" width="9.125" style="1"/>
    <col min="2561" max="2561" width="26.875" style="1" customWidth="1"/>
    <col min="2562" max="2562" width="40.375" style="1" customWidth="1"/>
    <col min="2563" max="2563" width="13.375" style="1" customWidth="1"/>
    <col min="2564" max="2816" width="9.125" style="1"/>
    <col min="2817" max="2817" width="26.875" style="1" customWidth="1"/>
    <col min="2818" max="2818" width="40.375" style="1" customWidth="1"/>
    <col min="2819" max="2819" width="13.375" style="1" customWidth="1"/>
    <col min="2820" max="3072" width="9.125" style="1"/>
    <col min="3073" max="3073" width="26.875" style="1" customWidth="1"/>
    <col min="3074" max="3074" width="40.375" style="1" customWidth="1"/>
    <col min="3075" max="3075" width="13.375" style="1" customWidth="1"/>
    <col min="3076" max="3328" width="9.125" style="1"/>
    <col min="3329" max="3329" width="26.875" style="1" customWidth="1"/>
    <col min="3330" max="3330" width="40.375" style="1" customWidth="1"/>
    <col min="3331" max="3331" width="13.375" style="1" customWidth="1"/>
    <col min="3332" max="3584" width="9.125" style="1"/>
    <col min="3585" max="3585" width="26.875" style="1" customWidth="1"/>
    <col min="3586" max="3586" width="40.375" style="1" customWidth="1"/>
    <col min="3587" max="3587" width="13.375" style="1" customWidth="1"/>
    <col min="3588" max="3840" width="9.125" style="1"/>
    <col min="3841" max="3841" width="26.875" style="1" customWidth="1"/>
    <col min="3842" max="3842" width="40.375" style="1" customWidth="1"/>
    <col min="3843" max="3843" width="13.375" style="1" customWidth="1"/>
    <col min="3844" max="4096" width="9.125" style="1"/>
    <col min="4097" max="4097" width="26.875" style="1" customWidth="1"/>
    <col min="4098" max="4098" width="40.375" style="1" customWidth="1"/>
    <col min="4099" max="4099" width="13.375" style="1" customWidth="1"/>
    <col min="4100" max="4352" width="9.125" style="1"/>
    <col min="4353" max="4353" width="26.875" style="1" customWidth="1"/>
    <col min="4354" max="4354" width="40.375" style="1" customWidth="1"/>
    <col min="4355" max="4355" width="13.375" style="1" customWidth="1"/>
    <col min="4356" max="4608" width="9.125" style="1"/>
    <col min="4609" max="4609" width="26.875" style="1" customWidth="1"/>
    <col min="4610" max="4610" width="40.375" style="1" customWidth="1"/>
    <col min="4611" max="4611" width="13.375" style="1" customWidth="1"/>
    <col min="4612" max="4864" width="9.125" style="1"/>
    <col min="4865" max="4865" width="26.875" style="1" customWidth="1"/>
    <col min="4866" max="4866" width="40.375" style="1" customWidth="1"/>
    <col min="4867" max="4867" width="13.375" style="1" customWidth="1"/>
    <col min="4868" max="5120" width="9.125" style="1"/>
    <col min="5121" max="5121" width="26.875" style="1" customWidth="1"/>
    <col min="5122" max="5122" width="40.375" style="1" customWidth="1"/>
    <col min="5123" max="5123" width="13.375" style="1" customWidth="1"/>
    <col min="5124" max="5376" width="9.125" style="1"/>
    <col min="5377" max="5377" width="26.875" style="1" customWidth="1"/>
    <col min="5378" max="5378" width="40.375" style="1" customWidth="1"/>
    <col min="5379" max="5379" width="13.375" style="1" customWidth="1"/>
    <col min="5380" max="5632" width="9.125" style="1"/>
    <col min="5633" max="5633" width="26.875" style="1" customWidth="1"/>
    <col min="5634" max="5634" width="40.375" style="1" customWidth="1"/>
    <col min="5635" max="5635" width="13.375" style="1" customWidth="1"/>
    <col min="5636" max="5888" width="9.125" style="1"/>
    <col min="5889" max="5889" width="26.875" style="1" customWidth="1"/>
    <col min="5890" max="5890" width="40.375" style="1" customWidth="1"/>
    <col min="5891" max="5891" width="13.375" style="1" customWidth="1"/>
    <col min="5892" max="6144" width="9.125" style="1"/>
    <col min="6145" max="6145" width="26.875" style="1" customWidth="1"/>
    <col min="6146" max="6146" width="40.375" style="1" customWidth="1"/>
    <col min="6147" max="6147" width="13.375" style="1" customWidth="1"/>
    <col min="6148" max="6400" width="9.125" style="1"/>
    <col min="6401" max="6401" width="26.875" style="1" customWidth="1"/>
    <col min="6402" max="6402" width="40.375" style="1" customWidth="1"/>
    <col min="6403" max="6403" width="13.375" style="1" customWidth="1"/>
    <col min="6404" max="6656" width="9.125" style="1"/>
    <col min="6657" max="6657" width="26.875" style="1" customWidth="1"/>
    <col min="6658" max="6658" width="40.375" style="1" customWidth="1"/>
    <col min="6659" max="6659" width="13.375" style="1" customWidth="1"/>
    <col min="6660" max="6912" width="9.125" style="1"/>
    <col min="6913" max="6913" width="26.875" style="1" customWidth="1"/>
    <col min="6914" max="6914" width="40.375" style="1" customWidth="1"/>
    <col min="6915" max="6915" width="13.375" style="1" customWidth="1"/>
    <col min="6916" max="7168" width="9.125" style="1"/>
    <col min="7169" max="7169" width="26.875" style="1" customWidth="1"/>
    <col min="7170" max="7170" width="40.375" style="1" customWidth="1"/>
    <col min="7171" max="7171" width="13.375" style="1" customWidth="1"/>
    <col min="7172" max="7424" width="9.125" style="1"/>
    <col min="7425" max="7425" width="26.875" style="1" customWidth="1"/>
    <col min="7426" max="7426" width="40.375" style="1" customWidth="1"/>
    <col min="7427" max="7427" width="13.375" style="1" customWidth="1"/>
    <col min="7428" max="7680" width="9.125" style="1"/>
    <col min="7681" max="7681" width="26.875" style="1" customWidth="1"/>
    <col min="7682" max="7682" width="40.375" style="1" customWidth="1"/>
    <col min="7683" max="7683" width="13.375" style="1" customWidth="1"/>
    <col min="7684" max="7936" width="9.125" style="1"/>
    <col min="7937" max="7937" width="26.875" style="1" customWidth="1"/>
    <col min="7938" max="7938" width="40.375" style="1" customWidth="1"/>
    <col min="7939" max="7939" width="13.375" style="1" customWidth="1"/>
    <col min="7940" max="8192" width="9.125" style="1"/>
    <col min="8193" max="8193" width="26.875" style="1" customWidth="1"/>
    <col min="8194" max="8194" width="40.375" style="1" customWidth="1"/>
    <col min="8195" max="8195" width="13.375" style="1" customWidth="1"/>
    <col min="8196" max="8448" width="9.125" style="1"/>
    <col min="8449" max="8449" width="26.875" style="1" customWidth="1"/>
    <col min="8450" max="8450" width="40.375" style="1" customWidth="1"/>
    <col min="8451" max="8451" width="13.375" style="1" customWidth="1"/>
    <col min="8452" max="8704" width="9.125" style="1"/>
    <col min="8705" max="8705" width="26.875" style="1" customWidth="1"/>
    <col min="8706" max="8706" width="40.375" style="1" customWidth="1"/>
    <col min="8707" max="8707" width="13.375" style="1" customWidth="1"/>
    <col min="8708" max="8960" width="9.125" style="1"/>
    <col min="8961" max="8961" width="26.875" style="1" customWidth="1"/>
    <col min="8962" max="8962" width="40.375" style="1" customWidth="1"/>
    <col min="8963" max="8963" width="13.375" style="1" customWidth="1"/>
    <col min="8964" max="9216" width="9.125" style="1"/>
    <col min="9217" max="9217" width="26.875" style="1" customWidth="1"/>
    <col min="9218" max="9218" width="40.375" style="1" customWidth="1"/>
    <col min="9219" max="9219" width="13.375" style="1" customWidth="1"/>
    <col min="9220" max="9472" width="9.125" style="1"/>
    <col min="9473" max="9473" width="26.875" style="1" customWidth="1"/>
    <col min="9474" max="9474" width="40.375" style="1" customWidth="1"/>
    <col min="9475" max="9475" width="13.375" style="1" customWidth="1"/>
    <col min="9476" max="9728" width="9.125" style="1"/>
    <col min="9729" max="9729" width="26.875" style="1" customWidth="1"/>
    <col min="9730" max="9730" width="40.375" style="1" customWidth="1"/>
    <col min="9731" max="9731" width="13.375" style="1" customWidth="1"/>
    <col min="9732" max="9984" width="9.125" style="1"/>
    <col min="9985" max="9985" width="26.875" style="1" customWidth="1"/>
    <col min="9986" max="9986" width="40.375" style="1" customWidth="1"/>
    <col min="9987" max="9987" width="13.375" style="1" customWidth="1"/>
    <col min="9988" max="10240" width="9.125" style="1"/>
    <col min="10241" max="10241" width="26.875" style="1" customWidth="1"/>
    <col min="10242" max="10242" width="40.375" style="1" customWidth="1"/>
    <col min="10243" max="10243" width="13.375" style="1" customWidth="1"/>
    <col min="10244" max="10496" width="9.125" style="1"/>
    <col min="10497" max="10497" width="26.875" style="1" customWidth="1"/>
    <col min="10498" max="10498" width="40.375" style="1" customWidth="1"/>
    <col min="10499" max="10499" width="13.375" style="1" customWidth="1"/>
    <col min="10500" max="10752" width="9.125" style="1"/>
    <col min="10753" max="10753" width="26.875" style="1" customWidth="1"/>
    <col min="10754" max="10754" width="40.375" style="1" customWidth="1"/>
    <col min="10755" max="10755" width="13.375" style="1" customWidth="1"/>
    <col min="10756" max="11008" width="9.125" style="1"/>
    <col min="11009" max="11009" width="26.875" style="1" customWidth="1"/>
    <col min="11010" max="11010" width="40.375" style="1" customWidth="1"/>
    <col min="11011" max="11011" width="13.375" style="1" customWidth="1"/>
    <col min="11012" max="11264" width="9.125" style="1"/>
    <col min="11265" max="11265" width="26.875" style="1" customWidth="1"/>
    <col min="11266" max="11266" width="40.375" style="1" customWidth="1"/>
    <col min="11267" max="11267" width="13.375" style="1" customWidth="1"/>
    <col min="11268" max="11520" width="9.125" style="1"/>
    <col min="11521" max="11521" width="26.875" style="1" customWidth="1"/>
    <col min="11522" max="11522" width="40.375" style="1" customWidth="1"/>
    <col min="11523" max="11523" width="13.375" style="1" customWidth="1"/>
    <col min="11524" max="11776" width="9.125" style="1"/>
    <col min="11777" max="11777" width="26.875" style="1" customWidth="1"/>
    <col min="11778" max="11778" width="40.375" style="1" customWidth="1"/>
    <col min="11779" max="11779" width="13.375" style="1" customWidth="1"/>
    <col min="11780" max="12032" width="9.125" style="1"/>
    <col min="12033" max="12033" width="26.875" style="1" customWidth="1"/>
    <col min="12034" max="12034" width="40.375" style="1" customWidth="1"/>
    <col min="12035" max="12035" width="13.375" style="1" customWidth="1"/>
    <col min="12036" max="12288" width="9.125" style="1"/>
    <col min="12289" max="12289" width="26.875" style="1" customWidth="1"/>
    <col min="12290" max="12290" width="40.375" style="1" customWidth="1"/>
    <col min="12291" max="12291" width="13.375" style="1" customWidth="1"/>
    <col min="12292" max="12544" width="9.125" style="1"/>
    <col min="12545" max="12545" width="26.875" style="1" customWidth="1"/>
    <col min="12546" max="12546" width="40.375" style="1" customWidth="1"/>
    <col min="12547" max="12547" width="13.375" style="1" customWidth="1"/>
    <col min="12548" max="12800" width="9.125" style="1"/>
    <col min="12801" max="12801" width="26.875" style="1" customWidth="1"/>
    <col min="12802" max="12802" width="40.375" style="1" customWidth="1"/>
    <col min="12803" max="12803" width="13.375" style="1" customWidth="1"/>
    <col min="12804" max="13056" width="9.125" style="1"/>
    <col min="13057" max="13057" width="26.875" style="1" customWidth="1"/>
    <col min="13058" max="13058" width="40.375" style="1" customWidth="1"/>
    <col min="13059" max="13059" width="13.375" style="1" customWidth="1"/>
    <col min="13060" max="13312" width="9.125" style="1"/>
    <col min="13313" max="13313" width="26.875" style="1" customWidth="1"/>
    <col min="13314" max="13314" width="40.375" style="1" customWidth="1"/>
    <col min="13315" max="13315" width="13.375" style="1" customWidth="1"/>
    <col min="13316" max="13568" width="9.125" style="1"/>
    <col min="13569" max="13569" width="26.875" style="1" customWidth="1"/>
    <col min="13570" max="13570" width="40.375" style="1" customWidth="1"/>
    <col min="13571" max="13571" width="13.375" style="1" customWidth="1"/>
    <col min="13572" max="13824" width="9.125" style="1"/>
    <col min="13825" max="13825" width="26.875" style="1" customWidth="1"/>
    <col min="13826" max="13826" width="40.375" style="1" customWidth="1"/>
    <col min="13827" max="13827" width="13.375" style="1" customWidth="1"/>
    <col min="13828" max="14080" width="9.125" style="1"/>
    <col min="14081" max="14081" width="26.875" style="1" customWidth="1"/>
    <col min="14082" max="14082" width="40.375" style="1" customWidth="1"/>
    <col min="14083" max="14083" width="13.375" style="1" customWidth="1"/>
    <col min="14084" max="14336" width="9.125" style="1"/>
    <col min="14337" max="14337" width="26.875" style="1" customWidth="1"/>
    <col min="14338" max="14338" width="40.375" style="1" customWidth="1"/>
    <col min="14339" max="14339" width="13.375" style="1" customWidth="1"/>
    <col min="14340" max="14592" width="9.125" style="1"/>
    <col min="14593" max="14593" width="26.875" style="1" customWidth="1"/>
    <col min="14594" max="14594" width="40.375" style="1" customWidth="1"/>
    <col min="14595" max="14595" width="13.375" style="1" customWidth="1"/>
    <col min="14596" max="14848" width="9.125" style="1"/>
    <col min="14849" max="14849" width="26.875" style="1" customWidth="1"/>
    <col min="14850" max="14850" width="40.375" style="1" customWidth="1"/>
    <col min="14851" max="14851" width="13.375" style="1" customWidth="1"/>
    <col min="14852" max="15104" width="9.125" style="1"/>
    <col min="15105" max="15105" width="26.875" style="1" customWidth="1"/>
    <col min="15106" max="15106" width="40.375" style="1" customWidth="1"/>
    <col min="15107" max="15107" width="13.375" style="1" customWidth="1"/>
    <col min="15108" max="15360" width="9.125" style="1"/>
    <col min="15361" max="15361" width="26.875" style="1" customWidth="1"/>
    <col min="15362" max="15362" width="40.375" style="1" customWidth="1"/>
    <col min="15363" max="15363" width="13.375" style="1" customWidth="1"/>
    <col min="15364" max="15616" width="9.125" style="1"/>
    <col min="15617" max="15617" width="26.875" style="1" customWidth="1"/>
    <col min="15618" max="15618" width="40.375" style="1" customWidth="1"/>
    <col min="15619" max="15619" width="13.375" style="1" customWidth="1"/>
    <col min="15620" max="15872" width="9.125" style="1"/>
    <col min="15873" max="15873" width="26.875" style="1" customWidth="1"/>
    <col min="15874" max="15874" width="40.375" style="1" customWidth="1"/>
    <col min="15875" max="15875" width="13.375" style="1" customWidth="1"/>
    <col min="15876" max="16128" width="9.125" style="1"/>
    <col min="16129" max="16129" width="26.875" style="1" customWidth="1"/>
    <col min="16130" max="16130" width="40.375" style="1" customWidth="1"/>
    <col min="16131" max="16131" width="13.375" style="1" customWidth="1"/>
    <col min="16132" max="16384" width="9.125" style="1"/>
  </cols>
  <sheetData>
    <row r="1" spans="1:8" x14ac:dyDescent="0.3">
      <c r="D1" s="414" t="s">
        <v>1071</v>
      </c>
    </row>
    <row r="2" spans="1:8" x14ac:dyDescent="0.3">
      <c r="D2" s="414" t="s">
        <v>800</v>
      </c>
    </row>
    <row r="3" spans="1:8" x14ac:dyDescent="0.3">
      <c r="D3" s="414" t="s">
        <v>591</v>
      </c>
    </row>
    <row r="4" spans="1:8" x14ac:dyDescent="0.3">
      <c r="D4" s="414" t="s">
        <v>887</v>
      </c>
    </row>
    <row r="5" spans="1:8" s="2" customFormat="1" ht="23.3" customHeight="1" x14ac:dyDescent="0.25">
      <c r="A5" s="643" t="s">
        <v>157</v>
      </c>
      <c r="B5" s="643"/>
      <c r="C5" s="643"/>
      <c r="D5" s="643"/>
    </row>
    <row r="6" spans="1:8" ht="28.55" customHeight="1" x14ac:dyDescent="0.25">
      <c r="A6" s="642" t="s">
        <v>497</v>
      </c>
      <c r="B6" s="642"/>
      <c r="C6" s="642"/>
      <c r="D6" s="642"/>
    </row>
    <row r="7" spans="1:8" ht="18.350000000000001" customHeight="1" x14ac:dyDescent="0.25">
      <c r="A7" s="642" t="s">
        <v>1140</v>
      </c>
      <c r="B7" s="642"/>
      <c r="C7" s="642"/>
      <c r="D7" s="642"/>
    </row>
    <row r="8" spans="1:8" ht="23.3" customHeight="1" x14ac:dyDescent="0.3">
      <c r="A8" s="13"/>
      <c r="D8" s="13" t="s">
        <v>382</v>
      </c>
    </row>
    <row r="9" spans="1:8" ht="62.5" customHeight="1" x14ac:dyDescent="0.25">
      <c r="A9" s="21" t="s">
        <v>159</v>
      </c>
      <c r="B9" s="21" t="s">
        <v>160</v>
      </c>
      <c r="C9" s="21" t="s">
        <v>871</v>
      </c>
      <c r="D9" s="21" t="s">
        <v>1129</v>
      </c>
    </row>
    <row r="10" spans="1:8" ht="46.55" customHeight="1" x14ac:dyDescent="0.3">
      <c r="A10" s="6" t="s">
        <v>161</v>
      </c>
      <c r="B10" s="7" t="s">
        <v>162</v>
      </c>
      <c r="C10" s="15">
        <f>C11+C12</f>
        <v>0</v>
      </c>
      <c r="D10" s="15">
        <f>D11+D12</f>
        <v>0</v>
      </c>
      <c r="H10" s="1" t="s">
        <v>51</v>
      </c>
    </row>
    <row r="11" spans="1:8" ht="58.75" customHeight="1" x14ac:dyDescent="0.3">
      <c r="A11" s="6" t="s">
        <v>599</v>
      </c>
      <c r="B11" s="7" t="s">
        <v>496</v>
      </c>
      <c r="C11" s="16">
        <f>-'прил 4'!C65</f>
        <v>-1071081970.55</v>
      </c>
      <c r="D11" s="19">
        <f>-'прил 4'!D65</f>
        <v>-1116613699.2</v>
      </c>
    </row>
    <row r="12" spans="1:8" ht="58.75" customHeight="1" x14ac:dyDescent="0.3">
      <c r="A12" s="6" t="s">
        <v>600</v>
      </c>
      <c r="B12" s="7" t="s">
        <v>495</v>
      </c>
      <c r="C12" s="16">
        <f>'прил 8'!F637</f>
        <v>1071081970.5499998</v>
      </c>
      <c r="D12" s="16">
        <f>'прил 8'!G637</f>
        <v>1116613699.2</v>
      </c>
    </row>
    <row r="13" spans="1:8" ht="24.8" customHeight="1" x14ac:dyDescent="0.3">
      <c r="A13" s="6"/>
      <c r="B13" s="8" t="s">
        <v>163</v>
      </c>
      <c r="C13" s="18">
        <f>C10</f>
        <v>0</v>
      </c>
      <c r="D13" s="18">
        <f>D10</f>
        <v>0</v>
      </c>
    </row>
    <row r="14" spans="1:8" ht="50.95" customHeight="1" x14ac:dyDescent="0.3">
      <c r="A14" s="9"/>
      <c r="B14" s="9"/>
      <c r="C14" s="9"/>
    </row>
    <row r="15" spans="1:8" ht="50.95" customHeight="1" x14ac:dyDescent="0.3">
      <c r="A15" s="9"/>
      <c r="B15" s="9"/>
      <c r="C15" s="9"/>
    </row>
    <row r="16" spans="1:8" ht="50.95" customHeight="1" x14ac:dyDescent="0.3">
      <c r="A16" s="9"/>
      <c r="B16" s="9"/>
      <c r="C16" s="9"/>
    </row>
    <row r="17" spans="1:3" ht="50.95" customHeight="1" x14ac:dyDescent="0.3">
      <c r="A17" s="9"/>
      <c r="B17" s="9"/>
      <c r="C17" s="9"/>
    </row>
    <row r="18" spans="1:3" ht="50.95" customHeight="1" x14ac:dyDescent="0.3">
      <c r="A18" s="9"/>
      <c r="B18" s="9"/>
      <c r="C18" s="9"/>
    </row>
    <row r="19" spans="1:3" ht="50.95" customHeight="1" x14ac:dyDescent="0.3">
      <c r="A19" s="9"/>
      <c r="B19" s="9"/>
      <c r="C19" s="9"/>
    </row>
    <row r="20" spans="1:3" ht="50.95" customHeight="1" x14ac:dyDescent="0.3">
      <c r="A20" s="9"/>
      <c r="B20" s="9"/>
      <c r="C20" s="9"/>
    </row>
    <row r="21" spans="1:3" ht="50.95" customHeight="1" x14ac:dyDescent="0.3">
      <c r="A21" s="9"/>
      <c r="B21" s="9"/>
      <c r="C21" s="9"/>
    </row>
    <row r="22" spans="1:3" ht="50.95" customHeight="1" x14ac:dyDescent="0.3">
      <c r="A22" s="9"/>
      <c r="B22" s="9"/>
      <c r="C22" s="9"/>
    </row>
    <row r="23" spans="1:3" ht="50.95" customHeight="1" x14ac:dyDescent="0.3">
      <c r="A23" s="9"/>
      <c r="B23" s="9"/>
      <c r="C23" s="9"/>
    </row>
    <row r="24" spans="1:3" ht="50.95" customHeight="1" x14ac:dyDescent="0.3">
      <c r="A24" s="9"/>
      <c r="B24" s="9"/>
      <c r="C24" s="9"/>
    </row>
    <row r="25" spans="1:3" ht="50.95" customHeight="1" x14ac:dyDescent="0.3">
      <c r="A25" s="9"/>
      <c r="B25" s="9"/>
      <c r="C25" s="9"/>
    </row>
    <row r="26" spans="1:3" ht="50.95" customHeight="1" x14ac:dyDescent="0.3">
      <c r="A26" s="9"/>
      <c r="B26" s="9"/>
      <c r="C26" s="9"/>
    </row>
    <row r="27" spans="1:3" ht="50.95" customHeight="1" x14ac:dyDescent="0.3">
      <c r="A27" s="9"/>
      <c r="B27" s="9"/>
      <c r="C27" s="9"/>
    </row>
    <row r="28" spans="1:3" ht="50.95" customHeight="1" x14ac:dyDescent="0.3">
      <c r="A28" s="9"/>
      <c r="B28" s="9"/>
      <c r="C28" s="9"/>
    </row>
    <row r="29" spans="1:3" ht="50.95" customHeight="1" x14ac:dyDescent="0.3">
      <c r="A29" s="9"/>
      <c r="B29" s="9"/>
      <c r="C29" s="9"/>
    </row>
    <row r="30" spans="1:3" ht="50.95" customHeight="1" x14ac:dyDescent="0.3">
      <c r="A30" s="9"/>
      <c r="B30" s="9"/>
      <c r="C30" s="9"/>
    </row>
    <row r="31" spans="1:3" ht="50.95" customHeight="1" x14ac:dyDescent="0.3">
      <c r="A31" s="9"/>
      <c r="B31" s="9"/>
      <c r="C31" s="9"/>
    </row>
    <row r="32" spans="1:3" ht="50.95" customHeight="1" x14ac:dyDescent="0.3">
      <c r="A32" s="9"/>
      <c r="B32" s="9"/>
      <c r="C32" s="9"/>
    </row>
    <row r="33" spans="1:3" ht="50.95" customHeight="1" x14ac:dyDescent="0.3">
      <c r="A33" s="9"/>
      <c r="B33" s="9"/>
      <c r="C33" s="9"/>
    </row>
    <row r="34" spans="1:3" ht="50.95" customHeight="1" x14ac:dyDescent="0.3">
      <c r="A34" s="9"/>
      <c r="B34" s="9"/>
      <c r="C34" s="9"/>
    </row>
    <row r="35" spans="1:3" ht="50.95" customHeight="1" x14ac:dyDescent="0.3">
      <c r="A35" s="9"/>
      <c r="B35" s="9"/>
      <c r="C35" s="9"/>
    </row>
    <row r="36" spans="1:3" ht="50.95" customHeight="1" x14ac:dyDescent="0.3">
      <c r="A36" s="9"/>
      <c r="B36" s="9"/>
      <c r="C36" s="9"/>
    </row>
    <row r="37" spans="1:3" ht="50.95" customHeight="1" x14ac:dyDescent="0.3">
      <c r="A37" s="9"/>
      <c r="B37" s="9"/>
      <c r="C37" s="9"/>
    </row>
    <row r="38" spans="1:3" ht="50.95" customHeight="1" x14ac:dyDescent="0.3">
      <c r="A38" s="9"/>
      <c r="B38" s="9"/>
      <c r="C38" s="9"/>
    </row>
    <row r="39" spans="1:3" ht="50.95" customHeight="1" x14ac:dyDescent="0.3">
      <c r="A39" s="9"/>
      <c r="B39" s="9"/>
      <c r="C39" s="9"/>
    </row>
    <row r="40" spans="1:3" ht="50.95" customHeight="1" x14ac:dyDescent="0.3">
      <c r="A40" s="9"/>
      <c r="B40" s="9"/>
      <c r="C40" s="9"/>
    </row>
    <row r="41" spans="1:3" ht="50.95" customHeight="1" x14ac:dyDescent="0.3">
      <c r="A41" s="9"/>
      <c r="B41" s="9"/>
      <c r="C41" s="9"/>
    </row>
    <row r="42" spans="1:3" ht="50.95" customHeight="1" x14ac:dyDescent="0.3">
      <c r="A42" s="9"/>
      <c r="B42" s="9"/>
      <c r="C42" s="9"/>
    </row>
    <row r="43" spans="1:3" ht="50.95" customHeight="1" x14ac:dyDescent="0.3">
      <c r="A43" s="9"/>
      <c r="B43" s="9"/>
      <c r="C43" s="9"/>
    </row>
    <row r="44" spans="1:3" ht="50.95" customHeight="1" x14ac:dyDescent="0.3">
      <c r="A44" s="9"/>
      <c r="B44" s="9"/>
      <c r="C44" s="9"/>
    </row>
    <row r="45" spans="1:3" ht="50.95" customHeight="1" x14ac:dyDescent="0.3">
      <c r="A45" s="9"/>
      <c r="B45" s="9"/>
      <c r="C45" s="9"/>
    </row>
    <row r="46" spans="1:3" ht="50.95" customHeight="1" x14ac:dyDescent="0.3">
      <c r="A46" s="9"/>
      <c r="B46" s="9"/>
      <c r="C46" s="9"/>
    </row>
    <row r="47" spans="1:3" ht="50.95" customHeight="1" x14ac:dyDescent="0.3">
      <c r="A47" s="9"/>
      <c r="B47" s="9"/>
      <c r="C47" s="9"/>
    </row>
    <row r="48" spans="1:3" ht="50.95" customHeight="1" x14ac:dyDescent="0.3">
      <c r="A48" s="9"/>
      <c r="B48" s="9"/>
      <c r="C48" s="9"/>
    </row>
    <row r="49" spans="1:3" ht="50.95" customHeight="1" x14ac:dyDescent="0.3">
      <c r="A49" s="9"/>
      <c r="B49" s="9"/>
      <c r="C49" s="9"/>
    </row>
    <row r="50" spans="1:3" ht="50.95" customHeight="1" x14ac:dyDescent="0.3">
      <c r="A50" s="9"/>
      <c r="B50" s="9"/>
      <c r="C50" s="9"/>
    </row>
    <row r="51" spans="1:3" ht="50.95" customHeight="1" x14ac:dyDescent="0.3">
      <c r="A51" s="9"/>
      <c r="B51" s="9"/>
      <c r="C51" s="9"/>
    </row>
    <row r="52" spans="1:3" ht="50.95" customHeight="1" x14ac:dyDescent="0.3">
      <c r="A52" s="9"/>
      <c r="B52" s="9"/>
      <c r="C52" s="9"/>
    </row>
    <row r="53" spans="1:3" ht="50.95" customHeight="1" x14ac:dyDescent="0.3">
      <c r="A53" s="9"/>
      <c r="B53" s="9"/>
      <c r="C53" s="9"/>
    </row>
    <row r="54" spans="1:3" ht="50.95" customHeight="1" x14ac:dyDescent="0.3">
      <c r="A54" s="9"/>
      <c r="B54" s="9"/>
      <c r="C54" s="9"/>
    </row>
    <row r="55" spans="1:3" ht="50.95" customHeight="1" x14ac:dyDescent="0.3">
      <c r="A55" s="9"/>
      <c r="B55" s="9"/>
      <c r="C55" s="9"/>
    </row>
    <row r="56" spans="1:3" ht="50.95" customHeight="1" x14ac:dyDescent="0.3">
      <c r="A56" s="9"/>
      <c r="B56" s="9"/>
      <c r="C56" s="9"/>
    </row>
    <row r="57" spans="1:3" ht="50.95" customHeight="1" x14ac:dyDescent="0.3">
      <c r="A57" s="9"/>
      <c r="B57" s="9"/>
      <c r="C57" s="9"/>
    </row>
    <row r="58" spans="1:3" ht="50.95" customHeight="1" x14ac:dyDescent="0.3">
      <c r="A58" s="9"/>
      <c r="B58" s="9"/>
      <c r="C58" s="9"/>
    </row>
    <row r="59" spans="1:3" ht="50.95" customHeight="1" x14ac:dyDescent="0.3">
      <c r="A59" s="9"/>
      <c r="B59" s="9"/>
      <c r="C59" s="9"/>
    </row>
    <row r="60" spans="1:3" ht="50.95" customHeight="1" x14ac:dyDescent="0.3">
      <c r="A60" s="9"/>
      <c r="B60" s="9"/>
      <c r="C60" s="9"/>
    </row>
    <row r="61" spans="1:3" ht="50.95" customHeight="1" x14ac:dyDescent="0.3">
      <c r="A61" s="9"/>
      <c r="B61" s="9"/>
      <c r="C61" s="9"/>
    </row>
    <row r="62" spans="1:3" ht="50.95" customHeight="1" x14ac:dyDescent="0.3">
      <c r="A62" s="9"/>
      <c r="B62" s="9"/>
      <c r="C62" s="9"/>
    </row>
    <row r="63" spans="1:3" ht="50.95" customHeight="1" x14ac:dyDescent="0.3">
      <c r="A63" s="9"/>
      <c r="B63" s="9"/>
      <c r="C63" s="9"/>
    </row>
    <row r="64" spans="1:3" ht="50.95" customHeight="1" x14ac:dyDescent="0.3">
      <c r="A64" s="9"/>
      <c r="B64" s="9"/>
      <c r="C64" s="9"/>
    </row>
    <row r="65" spans="1:3" ht="50.95" customHeight="1" x14ac:dyDescent="0.3">
      <c r="A65" s="9"/>
      <c r="B65" s="9"/>
      <c r="C65" s="9"/>
    </row>
    <row r="66" spans="1:3" ht="50.95" customHeight="1" x14ac:dyDescent="0.3">
      <c r="A66" s="9"/>
      <c r="B66" s="9"/>
      <c r="C66" s="9"/>
    </row>
    <row r="67" spans="1:3" ht="50.95" customHeight="1" x14ac:dyDescent="0.3">
      <c r="A67" s="9"/>
      <c r="B67" s="9"/>
      <c r="C67" s="9"/>
    </row>
    <row r="68" spans="1:3" ht="50.95" customHeight="1" x14ac:dyDescent="0.3">
      <c r="A68" s="9"/>
      <c r="B68" s="9"/>
      <c r="C68" s="9"/>
    </row>
    <row r="69" spans="1:3" ht="50.95" customHeight="1" x14ac:dyDescent="0.3">
      <c r="A69" s="9"/>
      <c r="B69" s="9"/>
      <c r="C69" s="9"/>
    </row>
    <row r="70" spans="1:3" ht="50.95" customHeight="1" x14ac:dyDescent="0.3">
      <c r="A70" s="9"/>
      <c r="B70" s="9"/>
      <c r="C70" s="9"/>
    </row>
    <row r="71" spans="1:3" ht="50.95" customHeight="1" x14ac:dyDescent="0.3">
      <c r="A71" s="9"/>
      <c r="B71" s="9"/>
      <c r="C71" s="9"/>
    </row>
    <row r="72" spans="1:3" ht="50.95" customHeight="1" x14ac:dyDescent="0.3">
      <c r="A72" s="9"/>
      <c r="B72" s="9"/>
      <c r="C72" s="9"/>
    </row>
    <row r="73" spans="1:3" ht="50.95" customHeight="1" x14ac:dyDescent="0.3">
      <c r="A73" s="9"/>
      <c r="B73" s="9"/>
      <c r="C73" s="9"/>
    </row>
    <row r="74" spans="1:3" ht="50.95" customHeight="1" x14ac:dyDescent="0.3">
      <c r="A74" s="9"/>
      <c r="B74" s="9"/>
      <c r="C74" s="9"/>
    </row>
    <row r="75" spans="1:3" ht="50.95" customHeight="1" x14ac:dyDescent="0.3">
      <c r="A75" s="9"/>
      <c r="B75" s="9"/>
      <c r="C75" s="9"/>
    </row>
    <row r="76" spans="1:3" ht="50.95" customHeight="1" x14ac:dyDescent="0.3">
      <c r="A76" s="9"/>
      <c r="B76" s="9"/>
      <c r="C76" s="9"/>
    </row>
    <row r="77" spans="1:3" ht="50.95" customHeight="1" x14ac:dyDescent="0.3">
      <c r="A77" s="9"/>
      <c r="B77" s="9"/>
      <c r="C77" s="9"/>
    </row>
    <row r="78" spans="1:3" ht="50.95" customHeight="1" x14ac:dyDescent="0.3">
      <c r="A78" s="9"/>
      <c r="B78" s="9"/>
      <c r="C78" s="9"/>
    </row>
    <row r="79" spans="1:3" ht="50.95" customHeight="1" x14ac:dyDescent="0.3">
      <c r="A79" s="9"/>
      <c r="B79" s="9"/>
      <c r="C79" s="9"/>
    </row>
    <row r="80" spans="1:3" ht="50.95" customHeight="1" x14ac:dyDescent="0.3">
      <c r="A80" s="9"/>
      <c r="B80" s="9"/>
      <c r="C80" s="9"/>
    </row>
    <row r="81" spans="1:3" ht="50.95" customHeight="1" x14ac:dyDescent="0.3">
      <c r="A81" s="9"/>
      <c r="B81" s="9"/>
      <c r="C81" s="9"/>
    </row>
    <row r="82" spans="1:3" ht="50.95" customHeight="1" x14ac:dyDescent="0.3">
      <c r="A82" s="9"/>
      <c r="B82" s="9"/>
      <c r="C82" s="9"/>
    </row>
    <row r="83" spans="1:3" ht="50.95" customHeight="1" x14ac:dyDescent="0.3">
      <c r="A83" s="9"/>
      <c r="B83" s="9"/>
      <c r="C83" s="9"/>
    </row>
    <row r="84" spans="1:3" ht="50.95" customHeight="1" x14ac:dyDescent="0.3">
      <c r="A84" s="9"/>
      <c r="B84" s="9"/>
      <c r="C84" s="9"/>
    </row>
    <row r="85" spans="1:3" ht="50.95" customHeight="1" x14ac:dyDescent="0.3">
      <c r="A85" s="9"/>
      <c r="B85" s="9"/>
      <c r="C85" s="9"/>
    </row>
    <row r="86" spans="1:3" ht="50.95" customHeight="1" x14ac:dyDescent="0.3">
      <c r="A86" s="9"/>
      <c r="B86" s="9"/>
      <c r="C86" s="9"/>
    </row>
    <row r="87" spans="1:3" ht="50.95" customHeight="1" x14ac:dyDescent="0.3">
      <c r="A87" s="9"/>
      <c r="B87" s="9"/>
      <c r="C87" s="9"/>
    </row>
    <row r="88" spans="1:3" ht="50.95" customHeight="1" x14ac:dyDescent="0.3">
      <c r="A88" s="9"/>
      <c r="B88" s="9"/>
      <c r="C88" s="9"/>
    </row>
    <row r="89" spans="1:3" ht="50.95" customHeight="1" x14ac:dyDescent="0.3">
      <c r="A89" s="9"/>
      <c r="B89" s="9"/>
      <c r="C89" s="9"/>
    </row>
    <row r="90" spans="1:3" ht="50.95" customHeight="1" x14ac:dyDescent="0.3">
      <c r="A90" s="9"/>
      <c r="B90" s="9"/>
      <c r="C90" s="9"/>
    </row>
    <row r="91" spans="1:3" ht="50.95" customHeight="1" x14ac:dyDescent="0.3">
      <c r="A91" s="9"/>
      <c r="B91" s="9"/>
      <c r="C91" s="9"/>
    </row>
    <row r="92" spans="1:3" ht="50.95" customHeight="1" x14ac:dyDescent="0.3">
      <c r="A92" s="9"/>
      <c r="B92" s="9"/>
      <c r="C92" s="9"/>
    </row>
    <row r="93" spans="1:3" ht="50.95" customHeight="1" x14ac:dyDescent="0.3">
      <c r="A93" s="9"/>
      <c r="B93" s="9"/>
      <c r="C93" s="9"/>
    </row>
    <row r="94" spans="1:3" ht="50.95" customHeight="1" x14ac:dyDescent="0.3">
      <c r="A94" s="9"/>
      <c r="B94" s="9"/>
      <c r="C94" s="9"/>
    </row>
    <row r="95" spans="1:3" ht="50.95" customHeight="1" x14ac:dyDescent="0.3">
      <c r="A95" s="9"/>
      <c r="B95" s="9"/>
      <c r="C95" s="9"/>
    </row>
    <row r="96" spans="1:3" ht="50.95" customHeight="1" x14ac:dyDescent="0.3">
      <c r="A96" s="9"/>
      <c r="B96" s="9"/>
      <c r="C96" s="9"/>
    </row>
    <row r="97" spans="1:3" ht="50.95" customHeight="1" x14ac:dyDescent="0.3">
      <c r="A97" s="9"/>
      <c r="B97" s="9"/>
      <c r="C97" s="9"/>
    </row>
    <row r="98" spans="1:3" ht="50.95" customHeight="1" x14ac:dyDescent="0.3">
      <c r="A98" s="9"/>
      <c r="B98" s="9"/>
      <c r="C98" s="9"/>
    </row>
    <row r="99" spans="1:3" ht="50.95" customHeight="1" x14ac:dyDescent="0.3">
      <c r="A99" s="9"/>
      <c r="B99" s="9"/>
      <c r="C99" s="9"/>
    </row>
    <row r="100" spans="1:3" ht="50.95" customHeight="1" x14ac:dyDescent="0.3">
      <c r="A100" s="9"/>
      <c r="B100" s="9"/>
      <c r="C100" s="9"/>
    </row>
    <row r="101" spans="1:3" ht="50.95" customHeight="1" x14ac:dyDescent="0.3">
      <c r="A101" s="9"/>
      <c r="B101" s="9"/>
      <c r="C101" s="9"/>
    </row>
    <row r="102" spans="1:3" ht="50.95" customHeight="1" x14ac:dyDescent="0.3">
      <c r="A102" s="9"/>
      <c r="B102" s="9"/>
      <c r="C102" s="9"/>
    </row>
    <row r="103" spans="1:3" ht="50.95" customHeight="1" x14ac:dyDescent="0.3">
      <c r="A103" s="9"/>
      <c r="B103" s="9"/>
      <c r="C103" s="9"/>
    </row>
    <row r="104" spans="1:3" ht="50.95" customHeight="1" x14ac:dyDescent="0.3">
      <c r="A104" s="9"/>
      <c r="B104" s="9"/>
      <c r="C104" s="9"/>
    </row>
    <row r="105" spans="1:3" ht="50.95" customHeight="1" x14ac:dyDescent="0.3">
      <c r="A105" s="9"/>
      <c r="B105" s="9"/>
      <c r="C105" s="9"/>
    </row>
    <row r="106" spans="1:3" ht="50.95" customHeight="1" x14ac:dyDescent="0.3">
      <c r="A106" s="9"/>
      <c r="B106" s="9"/>
      <c r="C106" s="9"/>
    </row>
    <row r="107" spans="1:3" ht="50.95" customHeight="1" x14ac:dyDescent="0.3">
      <c r="A107" s="9"/>
      <c r="B107" s="9"/>
      <c r="C107" s="9"/>
    </row>
    <row r="108" spans="1:3" ht="50.95" customHeight="1" x14ac:dyDescent="0.3">
      <c r="A108" s="9"/>
      <c r="B108" s="9"/>
      <c r="C108" s="9"/>
    </row>
    <row r="109" spans="1:3" ht="50.95" customHeight="1" x14ac:dyDescent="0.3">
      <c r="A109" s="9"/>
      <c r="B109" s="9"/>
      <c r="C109" s="9"/>
    </row>
    <row r="110" spans="1:3" ht="50.95" customHeight="1" x14ac:dyDescent="0.3">
      <c r="A110" s="9"/>
      <c r="B110" s="9"/>
      <c r="C110" s="9"/>
    </row>
    <row r="111" spans="1:3" ht="50.95" customHeight="1" x14ac:dyDescent="0.3">
      <c r="A111" s="9"/>
      <c r="B111" s="9"/>
      <c r="C111" s="9"/>
    </row>
    <row r="112" spans="1:3" ht="50.95" customHeight="1" x14ac:dyDescent="0.3">
      <c r="A112" s="9"/>
      <c r="B112" s="9"/>
      <c r="C112" s="9"/>
    </row>
    <row r="113" spans="1:3" ht="50.95" customHeight="1" x14ac:dyDescent="0.3">
      <c r="A113" s="9"/>
      <c r="B113" s="9"/>
      <c r="C113" s="9"/>
    </row>
    <row r="114" spans="1:3" ht="50.95" customHeight="1" x14ac:dyDescent="0.3">
      <c r="A114" s="9"/>
      <c r="B114" s="9"/>
      <c r="C114" s="9"/>
    </row>
    <row r="115" spans="1:3" ht="50.95" customHeight="1" x14ac:dyDescent="0.3">
      <c r="A115" s="9"/>
      <c r="B115" s="9"/>
      <c r="C115" s="9"/>
    </row>
    <row r="116" spans="1:3" ht="50.95" customHeight="1" x14ac:dyDescent="0.3">
      <c r="A116" s="9"/>
      <c r="B116" s="9"/>
      <c r="C116" s="9"/>
    </row>
    <row r="117" spans="1:3" ht="50.95" customHeight="1" x14ac:dyDescent="0.3">
      <c r="A117" s="9"/>
      <c r="B117" s="9"/>
      <c r="C117" s="9"/>
    </row>
    <row r="118" spans="1:3" ht="50.95" customHeight="1" x14ac:dyDescent="0.3">
      <c r="A118" s="9"/>
      <c r="B118" s="9"/>
      <c r="C118" s="9"/>
    </row>
    <row r="119" spans="1:3" ht="50.95" customHeight="1" x14ac:dyDescent="0.3">
      <c r="A119" s="9"/>
      <c r="B119" s="9"/>
      <c r="C119" s="9"/>
    </row>
    <row r="120" spans="1:3" ht="50.95" customHeight="1" x14ac:dyDescent="0.3">
      <c r="A120" s="9"/>
      <c r="B120" s="9"/>
      <c r="C120" s="9"/>
    </row>
    <row r="121" spans="1:3" ht="50.95" customHeight="1" x14ac:dyDescent="0.3">
      <c r="A121" s="9"/>
      <c r="B121" s="9"/>
      <c r="C121" s="9"/>
    </row>
    <row r="122" spans="1:3" ht="50.95" customHeight="1" x14ac:dyDescent="0.3">
      <c r="A122" s="9"/>
      <c r="B122" s="9"/>
      <c r="C122" s="9"/>
    </row>
    <row r="123" spans="1:3" ht="50.95" customHeight="1" x14ac:dyDescent="0.3">
      <c r="A123" s="9"/>
      <c r="B123" s="9"/>
      <c r="C123" s="9"/>
    </row>
    <row r="124" spans="1:3" ht="50.95" customHeight="1" x14ac:dyDescent="0.3">
      <c r="A124" s="9"/>
      <c r="B124" s="9"/>
      <c r="C124" s="9"/>
    </row>
    <row r="125" spans="1:3" ht="50.95" customHeight="1" x14ac:dyDescent="0.3">
      <c r="A125" s="9"/>
      <c r="B125" s="9"/>
      <c r="C125" s="9"/>
    </row>
    <row r="126" spans="1:3" ht="50.95" customHeight="1" x14ac:dyDescent="0.3">
      <c r="A126" s="9"/>
      <c r="B126" s="9"/>
      <c r="C126" s="9"/>
    </row>
    <row r="127" spans="1:3" ht="50.95" customHeight="1" x14ac:dyDescent="0.3">
      <c r="A127" s="9"/>
      <c r="B127" s="9"/>
      <c r="C127" s="9"/>
    </row>
    <row r="128" spans="1:3" ht="50.95" customHeight="1" x14ac:dyDescent="0.3">
      <c r="A128" s="9"/>
      <c r="B128" s="9"/>
      <c r="C128" s="9"/>
    </row>
    <row r="129" spans="1:3" ht="50.95" customHeight="1" x14ac:dyDescent="0.3">
      <c r="A129" s="9"/>
      <c r="B129" s="9"/>
      <c r="C129" s="9"/>
    </row>
    <row r="130" spans="1:3" ht="50.95" customHeight="1" x14ac:dyDescent="0.3">
      <c r="A130" s="9"/>
      <c r="B130" s="9"/>
      <c r="C130" s="9"/>
    </row>
    <row r="131" spans="1:3" ht="50.95" customHeight="1" x14ac:dyDescent="0.3">
      <c r="A131" s="9"/>
      <c r="B131" s="9"/>
      <c r="C131" s="9"/>
    </row>
    <row r="132" spans="1:3" ht="50.95" customHeight="1" x14ac:dyDescent="0.3">
      <c r="A132" s="9"/>
      <c r="B132" s="9"/>
      <c r="C132" s="9"/>
    </row>
    <row r="133" spans="1:3" ht="50.95" customHeight="1" x14ac:dyDescent="0.3">
      <c r="A133" s="9"/>
      <c r="B133" s="9"/>
      <c r="C133" s="9"/>
    </row>
    <row r="134" spans="1:3" ht="50.95" customHeight="1" x14ac:dyDescent="0.3">
      <c r="A134" s="9"/>
      <c r="B134" s="9"/>
      <c r="C134" s="9"/>
    </row>
    <row r="135" spans="1:3" ht="50.95" customHeight="1" x14ac:dyDescent="0.3">
      <c r="A135" s="9"/>
      <c r="B135" s="9"/>
      <c r="C135" s="9"/>
    </row>
    <row r="136" spans="1:3" ht="50.95" customHeight="1" x14ac:dyDescent="0.3">
      <c r="A136" s="9"/>
      <c r="B136" s="9"/>
      <c r="C136" s="9"/>
    </row>
    <row r="137" spans="1:3" ht="50.95" customHeight="1" x14ac:dyDescent="0.3">
      <c r="A137" s="9"/>
      <c r="B137" s="9"/>
      <c r="C137" s="9"/>
    </row>
    <row r="138" spans="1:3" ht="50.95" customHeight="1" x14ac:dyDescent="0.3">
      <c r="A138" s="9"/>
      <c r="B138" s="9"/>
      <c r="C138" s="9"/>
    </row>
    <row r="139" spans="1:3" ht="50.95" customHeight="1" x14ac:dyDescent="0.3">
      <c r="A139" s="9"/>
      <c r="B139" s="9"/>
      <c r="C139" s="9"/>
    </row>
    <row r="140" spans="1:3" ht="50.95" customHeight="1" x14ac:dyDescent="0.3">
      <c r="A140" s="9"/>
      <c r="B140" s="9"/>
      <c r="C140" s="9"/>
    </row>
    <row r="141" spans="1:3" ht="50.95" customHeight="1" x14ac:dyDescent="0.3">
      <c r="A141" s="9"/>
      <c r="B141" s="9"/>
      <c r="C141" s="9"/>
    </row>
    <row r="142" spans="1:3" ht="50.95" customHeight="1" x14ac:dyDescent="0.3">
      <c r="A142" s="9"/>
      <c r="B142" s="9"/>
      <c r="C142" s="9"/>
    </row>
    <row r="143" spans="1:3" ht="50.95" customHeight="1" x14ac:dyDescent="0.3">
      <c r="A143" s="9"/>
      <c r="B143" s="9"/>
      <c r="C143" s="9"/>
    </row>
    <row r="144" spans="1:3" ht="50.95" customHeight="1" x14ac:dyDescent="0.3">
      <c r="A144" s="9"/>
      <c r="B144" s="9"/>
      <c r="C144" s="9"/>
    </row>
    <row r="145" spans="1:3" ht="50.95" customHeight="1" x14ac:dyDescent="0.3">
      <c r="A145" s="9"/>
      <c r="B145" s="9"/>
      <c r="C145" s="9"/>
    </row>
    <row r="146" spans="1:3" ht="50.95" customHeight="1" x14ac:dyDescent="0.3">
      <c r="A146" s="9"/>
      <c r="B146" s="9"/>
      <c r="C146" s="9"/>
    </row>
    <row r="147" spans="1:3" ht="50.95" customHeight="1" x14ac:dyDescent="0.3">
      <c r="A147" s="9"/>
      <c r="B147" s="9"/>
      <c r="C147" s="9"/>
    </row>
    <row r="148" spans="1:3" ht="50.95" customHeight="1" x14ac:dyDescent="0.3">
      <c r="A148" s="9"/>
      <c r="B148" s="9"/>
      <c r="C148" s="9"/>
    </row>
    <row r="149" spans="1:3" ht="50.95" customHeight="1" x14ac:dyDescent="0.3">
      <c r="A149" s="9"/>
      <c r="B149" s="9"/>
      <c r="C149" s="9"/>
    </row>
    <row r="150" spans="1:3" ht="50.95" customHeight="1" x14ac:dyDescent="0.3">
      <c r="A150" s="9"/>
      <c r="B150" s="9"/>
      <c r="C150" s="9"/>
    </row>
    <row r="151" spans="1:3" ht="50.95" customHeight="1" x14ac:dyDescent="0.3">
      <c r="A151" s="9"/>
      <c r="B151" s="9"/>
      <c r="C151" s="9"/>
    </row>
    <row r="152" spans="1:3" ht="50.95" customHeight="1" x14ac:dyDescent="0.3">
      <c r="A152" s="9"/>
      <c r="B152" s="9"/>
      <c r="C152" s="9"/>
    </row>
    <row r="153" spans="1:3" ht="50.95" customHeight="1" x14ac:dyDescent="0.3">
      <c r="A153" s="9"/>
      <c r="B153" s="9"/>
      <c r="C153" s="9"/>
    </row>
    <row r="154" spans="1:3" ht="50.95" customHeight="1" x14ac:dyDescent="0.3">
      <c r="A154" s="9"/>
      <c r="B154" s="9"/>
      <c r="C154" s="9"/>
    </row>
    <row r="155" spans="1:3" ht="50.95" customHeight="1" x14ac:dyDescent="0.3">
      <c r="A155" s="9"/>
      <c r="B155" s="9"/>
      <c r="C155" s="9"/>
    </row>
    <row r="156" spans="1:3" ht="50.95" customHeight="1" x14ac:dyDescent="0.3">
      <c r="A156" s="9"/>
      <c r="B156" s="9"/>
      <c r="C156" s="9"/>
    </row>
    <row r="157" spans="1:3" ht="50.95" customHeight="1" x14ac:dyDescent="0.3">
      <c r="A157" s="9"/>
      <c r="B157" s="9"/>
      <c r="C157" s="9"/>
    </row>
    <row r="158" spans="1:3" ht="50.95" customHeight="1" x14ac:dyDescent="0.3">
      <c r="A158" s="9"/>
      <c r="B158" s="9"/>
      <c r="C158" s="9"/>
    </row>
    <row r="159" spans="1:3" ht="50.95" customHeight="1" x14ac:dyDescent="0.3">
      <c r="A159" s="9"/>
      <c r="B159" s="9"/>
      <c r="C159" s="9"/>
    </row>
    <row r="160" spans="1:3" ht="50.95" customHeight="1" x14ac:dyDescent="0.3">
      <c r="A160" s="9"/>
      <c r="B160" s="9"/>
      <c r="C160" s="9"/>
    </row>
    <row r="161" spans="1:3" ht="50.95" customHeight="1" x14ac:dyDescent="0.3">
      <c r="A161" s="9"/>
      <c r="B161" s="9"/>
      <c r="C161" s="9"/>
    </row>
    <row r="162" spans="1:3" ht="50.95" customHeight="1" x14ac:dyDescent="0.3">
      <c r="A162" s="9"/>
      <c r="B162" s="9"/>
      <c r="C162" s="9"/>
    </row>
    <row r="163" spans="1:3" ht="50.95" customHeight="1" x14ac:dyDescent="0.3">
      <c r="A163" s="9"/>
      <c r="B163" s="9"/>
      <c r="C163" s="9"/>
    </row>
    <row r="164" spans="1:3" ht="50.95" customHeight="1" x14ac:dyDescent="0.3">
      <c r="A164" s="9"/>
      <c r="B164" s="9"/>
      <c r="C164" s="9"/>
    </row>
    <row r="165" spans="1:3" ht="50.95" customHeight="1" x14ac:dyDescent="0.3">
      <c r="A165" s="9"/>
      <c r="B165" s="9"/>
      <c r="C165" s="9"/>
    </row>
    <row r="166" spans="1:3" ht="50.95" customHeight="1" x14ac:dyDescent="0.3">
      <c r="A166" s="9"/>
      <c r="B166" s="9"/>
      <c r="C166" s="9"/>
    </row>
    <row r="167" spans="1:3" ht="50.95" customHeight="1" x14ac:dyDescent="0.3">
      <c r="A167" s="9"/>
      <c r="B167" s="9"/>
      <c r="C167" s="9"/>
    </row>
    <row r="168" spans="1:3" ht="50.95" customHeight="1" x14ac:dyDescent="0.3">
      <c r="A168" s="9"/>
      <c r="B168" s="9"/>
      <c r="C168" s="9"/>
    </row>
    <row r="169" spans="1:3" ht="50.95" customHeight="1" x14ac:dyDescent="0.3">
      <c r="A169" s="9"/>
      <c r="B169" s="9"/>
      <c r="C169" s="9"/>
    </row>
    <row r="170" spans="1:3" ht="50.95" customHeight="1" x14ac:dyDescent="0.3">
      <c r="A170" s="9"/>
      <c r="B170" s="9"/>
      <c r="C170" s="9"/>
    </row>
    <row r="171" spans="1:3" ht="50.95" customHeight="1" x14ac:dyDescent="0.3">
      <c r="A171" s="9"/>
      <c r="B171" s="9"/>
      <c r="C171" s="9"/>
    </row>
    <row r="172" spans="1:3" ht="50.95" customHeight="1" x14ac:dyDescent="0.3">
      <c r="A172" s="9"/>
      <c r="B172" s="9"/>
      <c r="C172" s="9"/>
    </row>
    <row r="173" spans="1:3" ht="50.95" customHeight="1" x14ac:dyDescent="0.3">
      <c r="A173" s="9"/>
      <c r="B173" s="9"/>
      <c r="C173" s="9"/>
    </row>
    <row r="174" spans="1:3" ht="50.95" customHeight="1" x14ac:dyDescent="0.3">
      <c r="A174" s="9"/>
      <c r="B174" s="9"/>
      <c r="C174" s="9"/>
    </row>
    <row r="175" spans="1:3" ht="50.95" customHeight="1" x14ac:dyDescent="0.3">
      <c r="A175" s="9"/>
      <c r="B175" s="9"/>
      <c r="C175" s="9"/>
    </row>
    <row r="176" spans="1:3" ht="50.95" customHeight="1" x14ac:dyDescent="0.3">
      <c r="A176" s="9"/>
      <c r="B176" s="9"/>
      <c r="C176" s="9"/>
    </row>
    <row r="177" spans="1:3" ht="50.95" customHeight="1" x14ac:dyDescent="0.3">
      <c r="A177" s="9"/>
      <c r="B177" s="9"/>
      <c r="C177" s="9"/>
    </row>
    <row r="178" spans="1:3" ht="50.95" customHeight="1" x14ac:dyDescent="0.3">
      <c r="A178" s="9"/>
      <c r="B178" s="9"/>
      <c r="C178" s="9"/>
    </row>
    <row r="179" spans="1:3" ht="50.95" customHeight="1" x14ac:dyDescent="0.3">
      <c r="A179" s="9"/>
      <c r="B179" s="9"/>
      <c r="C179" s="9"/>
    </row>
    <row r="180" spans="1:3" ht="50.95" customHeight="1" x14ac:dyDescent="0.3">
      <c r="A180" s="9"/>
      <c r="B180" s="9"/>
      <c r="C180" s="9"/>
    </row>
    <row r="181" spans="1:3" ht="50.95" customHeight="1" x14ac:dyDescent="0.3">
      <c r="A181" s="9"/>
      <c r="B181" s="9"/>
      <c r="C181" s="9"/>
    </row>
    <row r="182" spans="1:3" ht="50.95" customHeight="1" x14ac:dyDescent="0.3">
      <c r="A182" s="9"/>
      <c r="B182" s="9"/>
      <c r="C182" s="9"/>
    </row>
    <row r="183" spans="1:3" ht="50.95" customHeight="1" x14ac:dyDescent="0.3">
      <c r="A183" s="9"/>
      <c r="B183" s="9"/>
      <c r="C183" s="9"/>
    </row>
    <row r="184" spans="1:3" ht="50.95" customHeight="1" x14ac:dyDescent="0.3">
      <c r="A184" s="9"/>
      <c r="B184" s="9"/>
      <c r="C184" s="9"/>
    </row>
    <row r="185" spans="1:3" ht="50.95" customHeight="1" x14ac:dyDescent="0.3">
      <c r="A185" s="9"/>
      <c r="B185" s="9"/>
      <c r="C185" s="9"/>
    </row>
    <row r="186" spans="1:3" ht="50.95" customHeight="1" x14ac:dyDescent="0.3">
      <c r="A186" s="9"/>
      <c r="B186" s="9"/>
      <c r="C186" s="9"/>
    </row>
    <row r="187" spans="1:3" ht="50.95" customHeight="1" x14ac:dyDescent="0.3">
      <c r="A187" s="9"/>
      <c r="B187" s="9"/>
      <c r="C187" s="9"/>
    </row>
    <row r="188" spans="1:3" ht="50.95" customHeight="1" x14ac:dyDescent="0.3">
      <c r="A188" s="9"/>
      <c r="B188" s="9"/>
      <c r="C188" s="9"/>
    </row>
    <row r="189" spans="1:3" ht="50.95" customHeight="1" x14ac:dyDescent="0.3">
      <c r="A189" s="9"/>
      <c r="B189" s="9"/>
      <c r="C189" s="9"/>
    </row>
    <row r="190" spans="1:3" ht="50.95" customHeight="1" x14ac:dyDescent="0.3">
      <c r="A190" s="9"/>
      <c r="B190" s="9"/>
      <c r="C190" s="9"/>
    </row>
    <row r="191" spans="1:3" ht="50.95" customHeight="1" x14ac:dyDescent="0.3">
      <c r="A191" s="9"/>
      <c r="B191" s="9"/>
      <c r="C191" s="9"/>
    </row>
    <row r="192" spans="1:3" ht="50.95" customHeight="1" x14ac:dyDescent="0.3">
      <c r="A192" s="9"/>
      <c r="B192" s="9"/>
      <c r="C192" s="9"/>
    </row>
    <row r="193" spans="1:3" ht="50.95" customHeight="1" x14ac:dyDescent="0.3">
      <c r="A193" s="9"/>
      <c r="B193" s="9"/>
      <c r="C193" s="9"/>
    </row>
    <row r="194" spans="1:3" ht="50.95" customHeight="1" x14ac:dyDescent="0.3">
      <c r="A194" s="9"/>
      <c r="B194" s="9"/>
      <c r="C194" s="9"/>
    </row>
    <row r="195" spans="1:3" ht="50.95" customHeight="1" x14ac:dyDescent="0.3">
      <c r="A195" s="9"/>
      <c r="B195" s="9"/>
      <c r="C195" s="9"/>
    </row>
    <row r="196" spans="1:3" ht="50.95" customHeight="1" x14ac:dyDescent="0.3">
      <c r="A196" s="9"/>
      <c r="B196" s="9"/>
      <c r="C196" s="9"/>
    </row>
    <row r="197" spans="1:3" ht="50.95" customHeight="1" x14ac:dyDescent="0.3">
      <c r="A197" s="9"/>
      <c r="B197" s="9"/>
      <c r="C197" s="9"/>
    </row>
    <row r="198" spans="1:3" ht="50.95" customHeight="1" x14ac:dyDescent="0.3">
      <c r="A198" s="9"/>
      <c r="B198" s="9"/>
      <c r="C198" s="9"/>
    </row>
    <row r="199" spans="1:3" ht="50.95" customHeight="1" x14ac:dyDescent="0.3">
      <c r="A199" s="9"/>
      <c r="B199" s="9"/>
      <c r="C199" s="9"/>
    </row>
    <row r="200" spans="1:3" ht="50.95" customHeight="1" x14ac:dyDescent="0.3">
      <c r="A200" s="9"/>
      <c r="B200" s="9"/>
      <c r="C200" s="9"/>
    </row>
    <row r="201" spans="1:3" ht="50.95" customHeight="1" x14ac:dyDescent="0.3">
      <c r="A201" s="9"/>
      <c r="B201" s="9"/>
      <c r="C201" s="9"/>
    </row>
    <row r="202" spans="1:3" ht="50.95" customHeight="1" x14ac:dyDescent="0.3">
      <c r="A202" s="9"/>
      <c r="B202" s="9"/>
      <c r="C202" s="9"/>
    </row>
    <row r="203" spans="1:3" ht="50.95" customHeight="1" x14ac:dyDescent="0.3">
      <c r="A203" s="9"/>
      <c r="B203" s="9"/>
      <c r="C203" s="9"/>
    </row>
    <row r="204" spans="1:3" ht="50.95" customHeight="1" x14ac:dyDescent="0.3">
      <c r="A204" s="9"/>
      <c r="B204" s="9"/>
      <c r="C204" s="9"/>
    </row>
    <row r="205" spans="1:3" ht="50.95" customHeight="1" x14ac:dyDescent="0.3">
      <c r="A205" s="9"/>
      <c r="B205" s="9"/>
      <c r="C205" s="9"/>
    </row>
    <row r="206" spans="1:3" ht="50.95" customHeight="1" x14ac:dyDescent="0.3">
      <c r="A206" s="9"/>
      <c r="B206" s="9"/>
      <c r="C206" s="9"/>
    </row>
    <row r="207" spans="1:3" ht="50.95" customHeight="1" x14ac:dyDescent="0.3">
      <c r="A207" s="9"/>
      <c r="B207" s="9"/>
      <c r="C207" s="9"/>
    </row>
    <row r="208" spans="1:3" ht="50.95" customHeight="1" x14ac:dyDescent="0.3">
      <c r="A208" s="9"/>
      <c r="B208" s="9"/>
      <c r="C208" s="9"/>
    </row>
    <row r="209" spans="1:3" ht="50.95" customHeight="1" x14ac:dyDescent="0.3">
      <c r="A209" s="9"/>
      <c r="B209" s="9"/>
      <c r="C209" s="9"/>
    </row>
    <row r="210" spans="1:3" ht="50.95" customHeight="1" x14ac:dyDescent="0.3">
      <c r="A210" s="9"/>
      <c r="B210" s="9"/>
      <c r="C210" s="9"/>
    </row>
    <row r="211" spans="1:3" ht="50.95" customHeight="1" x14ac:dyDescent="0.3">
      <c r="A211" s="9"/>
      <c r="B211" s="9"/>
      <c r="C211" s="9"/>
    </row>
    <row r="212" spans="1:3" ht="50.95" customHeight="1" x14ac:dyDescent="0.3">
      <c r="A212" s="9"/>
      <c r="B212" s="9"/>
      <c r="C212" s="9"/>
    </row>
    <row r="213" spans="1:3" ht="50.95" customHeight="1" x14ac:dyDescent="0.3">
      <c r="A213" s="9"/>
      <c r="B213" s="9"/>
      <c r="C213" s="9"/>
    </row>
    <row r="214" spans="1:3" ht="50.95" customHeight="1" x14ac:dyDescent="0.3">
      <c r="A214" s="9"/>
      <c r="B214" s="9"/>
      <c r="C214" s="9"/>
    </row>
    <row r="215" spans="1:3" ht="50.95" customHeight="1" x14ac:dyDescent="0.3">
      <c r="A215" s="9"/>
      <c r="B215" s="9"/>
      <c r="C215" s="9"/>
    </row>
    <row r="216" spans="1:3" ht="50.95" customHeight="1" x14ac:dyDescent="0.3">
      <c r="A216" s="9"/>
      <c r="B216" s="9"/>
      <c r="C216" s="9"/>
    </row>
    <row r="217" spans="1:3" ht="50.95" customHeight="1" x14ac:dyDescent="0.3">
      <c r="A217" s="9"/>
      <c r="B217" s="9"/>
      <c r="C217" s="9"/>
    </row>
    <row r="218" spans="1:3" ht="50.95" customHeight="1" x14ac:dyDescent="0.3">
      <c r="A218" s="9"/>
      <c r="B218" s="9"/>
      <c r="C218" s="9"/>
    </row>
    <row r="219" spans="1:3" ht="50.95" customHeight="1" x14ac:dyDescent="0.3">
      <c r="A219" s="9"/>
      <c r="B219" s="9"/>
      <c r="C219" s="9"/>
    </row>
    <row r="220" spans="1:3" ht="50.95" customHeight="1" x14ac:dyDescent="0.3">
      <c r="A220" s="9"/>
      <c r="B220" s="9"/>
      <c r="C220" s="9"/>
    </row>
    <row r="221" spans="1:3" ht="50.95" customHeight="1" x14ac:dyDescent="0.3">
      <c r="A221" s="9"/>
      <c r="B221" s="9"/>
      <c r="C221" s="9"/>
    </row>
    <row r="222" spans="1:3" ht="50.95" customHeight="1" x14ac:dyDescent="0.3">
      <c r="A222" s="9"/>
      <c r="B222" s="9"/>
      <c r="C222" s="9"/>
    </row>
    <row r="223" spans="1:3" ht="50.95" customHeight="1" x14ac:dyDescent="0.3">
      <c r="A223" s="9"/>
      <c r="B223" s="9"/>
      <c r="C223" s="9"/>
    </row>
    <row r="224" spans="1:3" ht="50.95" customHeight="1" x14ac:dyDescent="0.3">
      <c r="A224" s="9"/>
      <c r="B224" s="9"/>
      <c r="C224" s="9"/>
    </row>
    <row r="225" spans="1:3" ht="50.95" customHeight="1" x14ac:dyDescent="0.3">
      <c r="A225" s="9"/>
      <c r="B225" s="9"/>
      <c r="C225" s="9"/>
    </row>
    <row r="226" spans="1:3" ht="50.95" customHeight="1" x14ac:dyDescent="0.3">
      <c r="A226" s="9"/>
      <c r="B226" s="9"/>
      <c r="C226" s="9"/>
    </row>
    <row r="227" spans="1:3" ht="50.95" customHeight="1" x14ac:dyDescent="0.3">
      <c r="A227" s="9"/>
      <c r="B227" s="9"/>
      <c r="C227" s="9"/>
    </row>
    <row r="228" spans="1:3" ht="50.95" customHeight="1" x14ac:dyDescent="0.3">
      <c r="A228" s="9"/>
      <c r="B228" s="9"/>
      <c r="C228" s="9"/>
    </row>
    <row r="229" spans="1:3" ht="50.95" customHeight="1" x14ac:dyDescent="0.3">
      <c r="A229" s="9"/>
      <c r="B229" s="9"/>
      <c r="C229" s="9"/>
    </row>
    <row r="230" spans="1:3" ht="50.95" customHeight="1" x14ac:dyDescent="0.3">
      <c r="A230" s="9"/>
      <c r="B230" s="9"/>
      <c r="C230" s="9"/>
    </row>
    <row r="231" spans="1:3" ht="50.95" customHeight="1" x14ac:dyDescent="0.3">
      <c r="A231" s="9"/>
      <c r="B231" s="9"/>
      <c r="C231" s="9"/>
    </row>
    <row r="232" spans="1:3" ht="50.95" customHeight="1" x14ac:dyDescent="0.3">
      <c r="A232" s="9"/>
      <c r="B232" s="9"/>
      <c r="C232" s="9"/>
    </row>
    <row r="233" spans="1:3" ht="50.95" customHeight="1" x14ac:dyDescent="0.3">
      <c r="A233" s="9"/>
      <c r="B233" s="9"/>
      <c r="C233" s="9"/>
    </row>
    <row r="234" spans="1:3" ht="50.95" customHeight="1" x14ac:dyDescent="0.3">
      <c r="A234" s="9"/>
      <c r="B234" s="9"/>
      <c r="C234" s="9"/>
    </row>
    <row r="235" spans="1:3" ht="50.95" customHeight="1" x14ac:dyDescent="0.3">
      <c r="A235" s="9"/>
      <c r="B235" s="9"/>
      <c r="C235" s="9"/>
    </row>
    <row r="236" spans="1:3" ht="50.95" customHeight="1" x14ac:dyDescent="0.3">
      <c r="A236" s="9"/>
      <c r="B236" s="9"/>
      <c r="C236" s="9"/>
    </row>
    <row r="237" spans="1:3" ht="50.95" customHeight="1" x14ac:dyDescent="0.3">
      <c r="A237" s="9"/>
      <c r="B237" s="9"/>
      <c r="C237" s="9"/>
    </row>
    <row r="238" spans="1:3" ht="50.95" customHeight="1" x14ac:dyDescent="0.3">
      <c r="A238" s="9"/>
      <c r="B238" s="9"/>
      <c r="C238" s="9"/>
    </row>
    <row r="239" spans="1:3" ht="50.95" customHeight="1" x14ac:dyDescent="0.3">
      <c r="A239" s="9"/>
      <c r="B239" s="9"/>
      <c r="C239" s="9"/>
    </row>
    <row r="240" spans="1:3" ht="50.95" customHeight="1" x14ac:dyDescent="0.3">
      <c r="A240" s="9"/>
      <c r="B240" s="9"/>
      <c r="C240" s="9"/>
    </row>
    <row r="241" spans="1:3" ht="50.95" customHeight="1" x14ac:dyDescent="0.3">
      <c r="A241" s="9"/>
      <c r="B241" s="9"/>
      <c r="C241" s="9"/>
    </row>
    <row r="242" spans="1:3" ht="50.95" customHeight="1" x14ac:dyDescent="0.3">
      <c r="A242" s="9"/>
      <c r="B242" s="9"/>
      <c r="C242" s="9"/>
    </row>
    <row r="243" spans="1:3" ht="50.95" customHeight="1" x14ac:dyDescent="0.3">
      <c r="A243" s="9"/>
      <c r="B243" s="9"/>
      <c r="C243" s="9"/>
    </row>
    <row r="244" spans="1:3" ht="50.95" customHeight="1" x14ac:dyDescent="0.3">
      <c r="A244" s="9"/>
      <c r="B244" s="9"/>
      <c r="C244" s="9"/>
    </row>
    <row r="245" spans="1:3" ht="50.95" customHeight="1" x14ac:dyDescent="0.3">
      <c r="A245" s="9"/>
      <c r="B245" s="9"/>
      <c r="C245" s="9"/>
    </row>
    <row r="246" spans="1:3" ht="50.95" customHeight="1" x14ac:dyDescent="0.3">
      <c r="A246" s="9"/>
      <c r="B246" s="9"/>
      <c r="C246" s="9"/>
    </row>
    <row r="247" spans="1:3" ht="50.95" customHeight="1" x14ac:dyDescent="0.3">
      <c r="A247" s="9"/>
      <c r="B247" s="9"/>
      <c r="C247" s="9"/>
    </row>
    <row r="248" spans="1:3" ht="50.95" customHeight="1" x14ac:dyDescent="0.3">
      <c r="A248" s="9"/>
      <c r="B248" s="9"/>
      <c r="C248" s="9"/>
    </row>
    <row r="249" spans="1:3" ht="50.95" customHeight="1" x14ac:dyDescent="0.3">
      <c r="A249" s="9"/>
      <c r="B249" s="9"/>
      <c r="C249" s="9"/>
    </row>
    <row r="250" spans="1:3" ht="50.95" customHeight="1" x14ac:dyDescent="0.3">
      <c r="A250" s="9"/>
      <c r="B250" s="9"/>
      <c r="C250" s="9"/>
    </row>
    <row r="251" spans="1:3" ht="50.95" customHeight="1" x14ac:dyDescent="0.3">
      <c r="A251" s="9"/>
      <c r="B251" s="9"/>
      <c r="C251" s="9"/>
    </row>
    <row r="252" spans="1:3" ht="50.95" customHeight="1" x14ac:dyDescent="0.3">
      <c r="A252" s="9"/>
      <c r="B252" s="9"/>
      <c r="C252" s="9"/>
    </row>
    <row r="253" spans="1:3" ht="50.95" customHeight="1" x14ac:dyDescent="0.3">
      <c r="A253" s="9"/>
      <c r="B253" s="9"/>
      <c r="C253" s="9"/>
    </row>
    <row r="254" spans="1:3" ht="50.95" customHeight="1" x14ac:dyDescent="0.3">
      <c r="A254" s="9"/>
      <c r="B254" s="9"/>
      <c r="C254" s="9"/>
    </row>
    <row r="255" spans="1:3" ht="50.95" customHeight="1" x14ac:dyDescent="0.3">
      <c r="A255" s="9"/>
      <c r="B255" s="9"/>
      <c r="C255" s="9"/>
    </row>
    <row r="256" spans="1:3" ht="50.95" customHeight="1" x14ac:dyDescent="0.3">
      <c r="A256" s="9"/>
      <c r="B256" s="9"/>
      <c r="C256" s="9"/>
    </row>
    <row r="257" spans="1:3" ht="50.95" customHeight="1" x14ac:dyDescent="0.3">
      <c r="A257" s="9"/>
      <c r="B257" s="9"/>
      <c r="C257" s="9"/>
    </row>
    <row r="258" spans="1:3" ht="50.95" customHeight="1" x14ac:dyDescent="0.3">
      <c r="A258" s="9"/>
      <c r="B258" s="9"/>
      <c r="C258" s="9"/>
    </row>
    <row r="259" spans="1:3" ht="50.95" customHeight="1" x14ac:dyDescent="0.3">
      <c r="A259" s="9"/>
      <c r="B259" s="9"/>
      <c r="C259" s="9"/>
    </row>
    <row r="260" spans="1:3" ht="50.95" customHeight="1" x14ac:dyDescent="0.3">
      <c r="A260" s="9"/>
      <c r="B260" s="9"/>
      <c r="C260" s="9"/>
    </row>
    <row r="261" spans="1:3" ht="50.95" customHeight="1" x14ac:dyDescent="0.3">
      <c r="A261" s="9"/>
      <c r="B261" s="9"/>
      <c r="C261" s="9"/>
    </row>
    <row r="262" spans="1:3" ht="50.95" customHeight="1" x14ac:dyDescent="0.3">
      <c r="A262" s="9"/>
      <c r="B262" s="9"/>
      <c r="C262" s="9"/>
    </row>
    <row r="263" spans="1:3" ht="50.95" customHeight="1" x14ac:dyDescent="0.3">
      <c r="A263" s="9"/>
      <c r="B263" s="9"/>
      <c r="C263" s="9"/>
    </row>
    <row r="264" spans="1:3" ht="50.95" customHeight="1" x14ac:dyDescent="0.3">
      <c r="A264" s="9"/>
      <c r="B264" s="9"/>
      <c r="C264" s="9"/>
    </row>
    <row r="265" spans="1:3" ht="50.95" customHeight="1" x14ac:dyDescent="0.3">
      <c r="A265" s="9"/>
      <c r="B265" s="9"/>
      <c r="C265" s="9"/>
    </row>
    <row r="266" spans="1:3" ht="50.95" customHeight="1" x14ac:dyDescent="0.3">
      <c r="A266" s="9"/>
      <c r="B266" s="9"/>
      <c r="C266" s="9"/>
    </row>
    <row r="267" spans="1:3" ht="50.95" customHeight="1" x14ac:dyDescent="0.3">
      <c r="A267" s="9"/>
      <c r="B267" s="9"/>
      <c r="C267" s="9"/>
    </row>
    <row r="268" spans="1:3" ht="50.95" customHeight="1" x14ac:dyDescent="0.3">
      <c r="A268" s="9"/>
      <c r="B268" s="9"/>
      <c r="C268" s="9"/>
    </row>
    <row r="269" spans="1:3" ht="50.95" customHeight="1" x14ac:dyDescent="0.3">
      <c r="A269" s="9"/>
      <c r="B269" s="9"/>
      <c r="C269" s="9"/>
    </row>
    <row r="270" spans="1:3" ht="50.95" customHeight="1" x14ac:dyDescent="0.3">
      <c r="A270" s="9"/>
      <c r="B270" s="9"/>
      <c r="C270" s="9"/>
    </row>
    <row r="271" spans="1:3" ht="50.95" customHeight="1" x14ac:dyDescent="0.3">
      <c r="A271" s="9"/>
      <c r="B271" s="9"/>
      <c r="C271" s="9"/>
    </row>
    <row r="272" spans="1:3" ht="50.95" customHeight="1" x14ac:dyDescent="0.3">
      <c r="A272" s="9"/>
      <c r="B272" s="9"/>
      <c r="C272" s="9"/>
    </row>
    <row r="273" spans="1:3" ht="50.95" customHeight="1" x14ac:dyDescent="0.3">
      <c r="A273" s="9"/>
      <c r="B273" s="9"/>
      <c r="C273" s="9"/>
    </row>
    <row r="274" spans="1:3" ht="50.95" customHeight="1" x14ac:dyDescent="0.3">
      <c r="A274" s="9"/>
      <c r="B274" s="9"/>
      <c r="C274" s="9"/>
    </row>
    <row r="275" spans="1:3" ht="50.95" customHeight="1" x14ac:dyDescent="0.3">
      <c r="A275" s="9"/>
      <c r="B275" s="9"/>
      <c r="C275" s="9"/>
    </row>
    <row r="276" spans="1:3" ht="50.95" customHeight="1" x14ac:dyDescent="0.3">
      <c r="A276" s="9"/>
      <c r="B276" s="9"/>
      <c r="C276" s="9"/>
    </row>
    <row r="277" spans="1:3" ht="50.95" customHeight="1" x14ac:dyDescent="0.3">
      <c r="A277" s="9"/>
      <c r="B277" s="9"/>
      <c r="C277" s="9"/>
    </row>
    <row r="278" spans="1:3" ht="50.95" customHeight="1" x14ac:dyDescent="0.3">
      <c r="A278" s="9"/>
      <c r="B278" s="9"/>
      <c r="C278" s="9"/>
    </row>
    <row r="279" spans="1:3" ht="50.95" customHeight="1" x14ac:dyDescent="0.3">
      <c r="A279" s="9"/>
      <c r="B279" s="9"/>
      <c r="C279" s="9"/>
    </row>
    <row r="280" spans="1:3" ht="50.95" customHeight="1" x14ac:dyDescent="0.3">
      <c r="A280" s="9"/>
      <c r="B280" s="9"/>
      <c r="C280" s="9"/>
    </row>
    <row r="281" spans="1:3" ht="50.95" customHeight="1" x14ac:dyDescent="0.3">
      <c r="A281" s="9"/>
      <c r="B281" s="9"/>
      <c r="C281" s="9"/>
    </row>
    <row r="282" spans="1:3" ht="50.95" customHeight="1" x14ac:dyDescent="0.3">
      <c r="A282" s="9"/>
      <c r="B282" s="9"/>
      <c r="C282" s="9"/>
    </row>
    <row r="283" spans="1:3" ht="50.95" customHeight="1" x14ac:dyDescent="0.3">
      <c r="A283" s="9"/>
      <c r="B283" s="9"/>
      <c r="C283" s="9"/>
    </row>
    <row r="284" spans="1:3" ht="50.95" customHeight="1" x14ac:dyDescent="0.3">
      <c r="A284" s="9"/>
      <c r="B284" s="9"/>
      <c r="C284" s="9"/>
    </row>
    <row r="285" spans="1:3" ht="50.95" customHeight="1" x14ac:dyDescent="0.3">
      <c r="A285" s="9"/>
      <c r="B285" s="9"/>
      <c r="C285" s="9"/>
    </row>
    <row r="286" spans="1:3" ht="50.95" customHeight="1" x14ac:dyDescent="0.3">
      <c r="A286" s="9"/>
      <c r="B286" s="9"/>
      <c r="C286" s="9"/>
    </row>
    <row r="287" spans="1:3" ht="50.95" customHeight="1" x14ac:dyDescent="0.3">
      <c r="A287" s="9"/>
      <c r="B287" s="9"/>
      <c r="C287" s="9"/>
    </row>
    <row r="288" spans="1:3" ht="50.95" customHeight="1" x14ac:dyDescent="0.3">
      <c r="A288" s="9"/>
      <c r="B288" s="9"/>
      <c r="C288" s="9"/>
    </row>
    <row r="289" spans="1:3" ht="50.95" customHeight="1" x14ac:dyDescent="0.3">
      <c r="A289" s="9"/>
      <c r="B289" s="9"/>
      <c r="C289" s="9"/>
    </row>
    <row r="290" spans="1:3" ht="50.95" customHeight="1" x14ac:dyDescent="0.3">
      <c r="A290" s="9"/>
      <c r="B290" s="9"/>
      <c r="C290" s="9"/>
    </row>
    <row r="291" spans="1:3" ht="50.95" customHeight="1" x14ac:dyDescent="0.3">
      <c r="A291" s="9"/>
      <c r="B291" s="9"/>
      <c r="C291" s="9"/>
    </row>
    <row r="292" spans="1:3" ht="50.95" customHeight="1" x14ac:dyDescent="0.3">
      <c r="A292" s="9"/>
      <c r="B292" s="9"/>
      <c r="C292" s="9"/>
    </row>
    <row r="293" spans="1:3" ht="50.95" customHeight="1" x14ac:dyDescent="0.3">
      <c r="A293" s="9"/>
      <c r="B293" s="9"/>
      <c r="C293" s="9"/>
    </row>
    <row r="294" spans="1:3" ht="50.95" customHeight="1" x14ac:dyDescent="0.3">
      <c r="A294" s="9"/>
      <c r="B294" s="9"/>
      <c r="C294" s="9"/>
    </row>
    <row r="295" spans="1:3" ht="50.95" customHeight="1" x14ac:dyDescent="0.3">
      <c r="A295" s="9"/>
      <c r="B295" s="9"/>
      <c r="C295" s="9"/>
    </row>
    <row r="296" spans="1:3" ht="50.95" customHeight="1" x14ac:dyDescent="0.3">
      <c r="A296" s="9"/>
      <c r="B296" s="9"/>
      <c r="C296" s="9"/>
    </row>
    <row r="297" spans="1:3" ht="50.95" customHeight="1" x14ac:dyDescent="0.3">
      <c r="A297" s="9"/>
      <c r="B297" s="9"/>
      <c r="C297" s="9"/>
    </row>
    <row r="298" spans="1:3" ht="50.95" customHeight="1" x14ac:dyDescent="0.3">
      <c r="A298" s="9"/>
      <c r="B298" s="9"/>
      <c r="C298" s="9"/>
    </row>
    <row r="299" spans="1:3" ht="50.95" customHeight="1" x14ac:dyDescent="0.3">
      <c r="A299" s="9"/>
      <c r="B299" s="9"/>
      <c r="C299" s="9"/>
    </row>
    <row r="300" spans="1:3" ht="50.95" customHeight="1" x14ac:dyDescent="0.3">
      <c r="A300" s="9"/>
      <c r="B300" s="9"/>
      <c r="C300" s="9"/>
    </row>
    <row r="301" spans="1:3" ht="50.95" customHeight="1" x14ac:dyDescent="0.3">
      <c r="A301" s="9"/>
      <c r="B301" s="9"/>
      <c r="C301" s="9"/>
    </row>
    <row r="302" spans="1:3" ht="50.95" customHeight="1" x14ac:dyDescent="0.3">
      <c r="A302" s="9"/>
      <c r="B302" s="9"/>
      <c r="C302" s="9"/>
    </row>
    <row r="303" spans="1:3" ht="50.95" customHeight="1" x14ac:dyDescent="0.3">
      <c r="A303" s="9"/>
      <c r="B303" s="9"/>
      <c r="C303" s="9"/>
    </row>
    <row r="304" spans="1:3" ht="50.95" customHeight="1" x14ac:dyDescent="0.3">
      <c r="A304" s="9"/>
      <c r="B304" s="9"/>
      <c r="C304" s="9"/>
    </row>
    <row r="305" spans="1:3" ht="50.95" customHeight="1" x14ac:dyDescent="0.3">
      <c r="A305" s="9"/>
      <c r="B305" s="9"/>
      <c r="C305" s="9"/>
    </row>
    <row r="306" spans="1:3" ht="50.95" customHeight="1" x14ac:dyDescent="0.3">
      <c r="A306" s="9"/>
      <c r="B306" s="9"/>
      <c r="C306" s="9"/>
    </row>
    <row r="307" spans="1:3" ht="50.95" customHeight="1" x14ac:dyDescent="0.3">
      <c r="A307" s="9"/>
      <c r="B307" s="9"/>
      <c r="C307" s="9"/>
    </row>
    <row r="308" spans="1:3" ht="50.95" customHeight="1" x14ac:dyDescent="0.3">
      <c r="A308" s="9"/>
      <c r="B308" s="9"/>
      <c r="C308" s="9"/>
    </row>
    <row r="309" spans="1:3" ht="50.95" customHeight="1" x14ac:dyDescent="0.3">
      <c r="A309" s="9"/>
      <c r="B309" s="9"/>
      <c r="C309" s="9"/>
    </row>
    <row r="310" spans="1:3" ht="50.95" customHeight="1" x14ac:dyDescent="0.3">
      <c r="A310" s="9"/>
      <c r="B310" s="9"/>
      <c r="C310" s="9"/>
    </row>
    <row r="311" spans="1:3" ht="50.95" customHeight="1" x14ac:dyDescent="0.3">
      <c r="A311" s="9"/>
      <c r="B311" s="9"/>
      <c r="C311" s="9"/>
    </row>
    <row r="312" spans="1:3" ht="50.95" customHeight="1" x14ac:dyDescent="0.3">
      <c r="A312" s="9"/>
      <c r="B312" s="9"/>
      <c r="C312" s="9"/>
    </row>
    <row r="313" spans="1:3" ht="50.95" customHeight="1" x14ac:dyDescent="0.3">
      <c r="A313" s="9"/>
      <c r="B313" s="9"/>
      <c r="C313" s="9"/>
    </row>
    <row r="314" spans="1:3" ht="50.95" customHeight="1" x14ac:dyDescent="0.3">
      <c r="A314" s="9"/>
      <c r="B314" s="9"/>
      <c r="C314" s="9"/>
    </row>
    <row r="315" spans="1:3" ht="50.95" customHeight="1" x14ac:dyDescent="0.3">
      <c r="A315" s="9"/>
      <c r="B315" s="9"/>
      <c r="C315" s="9"/>
    </row>
    <row r="316" spans="1:3" ht="50.95" customHeight="1" x14ac:dyDescent="0.3">
      <c r="A316" s="9"/>
      <c r="B316" s="9"/>
      <c r="C316" s="9"/>
    </row>
    <row r="317" spans="1:3" ht="50.95" customHeight="1" x14ac:dyDescent="0.3">
      <c r="A317" s="9"/>
      <c r="B317" s="9"/>
      <c r="C317" s="9"/>
    </row>
    <row r="318" spans="1:3" ht="50.95" customHeight="1" x14ac:dyDescent="0.3">
      <c r="A318" s="9"/>
      <c r="B318" s="9"/>
      <c r="C318" s="9"/>
    </row>
    <row r="319" spans="1:3" ht="50.95" customHeight="1" x14ac:dyDescent="0.3">
      <c r="A319" s="9"/>
      <c r="B319" s="9"/>
      <c r="C319" s="9"/>
    </row>
    <row r="320" spans="1:3" ht="50.95" customHeight="1" x14ac:dyDescent="0.3">
      <c r="A320" s="9"/>
      <c r="B320" s="9"/>
      <c r="C320" s="9"/>
    </row>
    <row r="321" spans="1:3" ht="50.95" customHeight="1" x14ac:dyDescent="0.3">
      <c r="A321" s="9"/>
      <c r="B321" s="9"/>
      <c r="C321" s="9"/>
    </row>
    <row r="322" spans="1:3" ht="50.95" customHeight="1" x14ac:dyDescent="0.3">
      <c r="A322" s="9"/>
      <c r="B322" s="9"/>
      <c r="C322" s="9"/>
    </row>
    <row r="323" spans="1:3" ht="50.95" customHeight="1" x14ac:dyDescent="0.3">
      <c r="A323" s="9"/>
      <c r="B323" s="9"/>
      <c r="C323" s="9"/>
    </row>
    <row r="324" spans="1:3" ht="50.95" customHeight="1" x14ac:dyDescent="0.3">
      <c r="A324" s="9"/>
      <c r="B324" s="9"/>
      <c r="C324" s="9"/>
    </row>
    <row r="325" spans="1:3" ht="50.95" customHeight="1" x14ac:dyDescent="0.3">
      <c r="A325" s="9"/>
      <c r="B325" s="9"/>
      <c r="C325" s="9"/>
    </row>
    <row r="326" spans="1:3" ht="50.95" customHeight="1" x14ac:dyDescent="0.3">
      <c r="A326" s="9"/>
      <c r="B326" s="9"/>
      <c r="C326" s="9"/>
    </row>
    <row r="327" spans="1:3" ht="50.95" customHeight="1" x14ac:dyDescent="0.3">
      <c r="A327" s="9"/>
      <c r="B327" s="9"/>
      <c r="C327" s="9"/>
    </row>
    <row r="328" spans="1:3" ht="50.95" customHeight="1" x14ac:dyDescent="0.3">
      <c r="A328" s="9"/>
      <c r="B328" s="9"/>
      <c r="C328" s="9"/>
    </row>
    <row r="329" spans="1:3" ht="50.95" customHeight="1" x14ac:dyDescent="0.3">
      <c r="A329" s="9"/>
      <c r="B329" s="9"/>
      <c r="C329" s="9"/>
    </row>
    <row r="330" spans="1:3" ht="50.95" customHeight="1" x14ac:dyDescent="0.3">
      <c r="A330" s="9"/>
      <c r="B330" s="9"/>
      <c r="C330" s="9"/>
    </row>
    <row r="331" spans="1:3" ht="50.95" customHeight="1" x14ac:dyDescent="0.3">
      <c r="A331" s="9"/>
      <c r="B331" s="9"/>
      <c r="C331" s="9"/>
    </row>
    <row r="332" spans="1:3" ht="50.95" customHeight="1" x14ac:dyDescent="0.3">
      <c r="A332" s="9"/>
      <c r="B332" s="9"/>
      <c r="C332" s="9"/>
    </row>
    <row r="333" spans="1:3" ht="50.95" customHeight="1" x14ac:dyDescent="0.3">
      <c r="A333" s="9"/>
      <c r="B333" s="9"/>
      <c r="C333" s="9"/>
    </row>
    <row r="334" spans="1:3" ht="50.95" customHeight="1" x14ac:dyDescent="0.3">
      <c r="A334" s="9"/>
      <c r="B334" s="9"/>
      <c r="C334" s="9"/>
    </row>
    <row r="335" spans="1:3" ht="50.95" customHeight="1" x14ac:dyDescent="0.3">
      <c r="A335" s="9"/>
      <c r="B335" s="9"/>
      <c r="C335" s="9"/>
    </row>
    <row r="336" spans="1:3" ht="50.95" customHeight="1" x14ac:dyDescent="0.3">
      <c r="A336" s="9"/>
      <c r="B336" s="9"/>
      <c r="C336" s="9"/>
    </row>
    <row r="337" spans="1:3" ht="50.95" customHeight="1" x14ac:dyDescent="0.3">
      <c r="A337" s="9"/>
      <c r="B337" s="9"/>
      <c r="C337" s="9"/>
    </row>
    <row r="338" spans="1:3" ht="50.95" customHeight="1" x14ac:dyDescent="0.3">
      <c r="A338" s="9"/>
      <c r="B338" s="9"/>
      <c r="C338" s="9"/>
    </row>
    <row r="339" spans="1:3" ht="50.95" customHeight="1" x14ac:dyDescent="0.3">
      <c r="A339" s="9"/>
      <c r="B339" s="9"/>
      <c r="C339" s="9"/>
    </row>
    <row r="340" spans="1:3" ht="50.95" customHeight="1" x14ac:dyDescent="0.3">
      <c r="A340" s="9"/>
      <c r="B340" s="9"/>
      <c r="C340" s="9"/>
    </row>
    <row r="341" spans="1:3" ht="50.95" customHeight="1" x14ac:dyDescent="0.3">
      <c r="A341" s="9"/>
      <c r="B341" s="9"/>
      <c r="C341" s="9"/>
    </row>
    <row r="342" spans="1:3" ht="50.95" customHeight="1" x14ac:dyDescent="0.3">
      <c r="A342" s="9"/>
      <c r="B342" s="9"/>
      <c r="C342" s="9"/>
    </row>
    <row r="343" spans="1:3" ht="50.95" customHeight="1" x14ac:dyDescent="0.3">
      <c r="A343" s="9"/>
      <c r="B343" s="9"/>
      <c r="C343" s="9"/>
    </row>
    <row r="344" spans="1:3" ht="50.95" customHeight="1" x14ac:dyDescent="0.3">
      <c r="A344" s="9"/>
      <c r="B344" s="9"/>
      <c r="C344" s="9"/>
    </row>
    <row r="345" spans="1:3" ht="50.95" customHeight="1" x14ac:dyDescent="0.3">
      <c r="A345" s="9"/>
      <c r="B345" s="9"/>
      <c r="C345" s="9"/>
    </row>
    <row r="346" spans="1:3" ht="50.95" customHeight="1" x14ac:dyDescent="0.3">
      <c r="A346" s="9"/>
      <c r="B346" s="9"/>
      <c r="C346" s="9"/>
    </row>
    <row r="347" spans="1:3" ht="50.95" customHeight="1" x14ac:dyDescent="0.3">
      <c r="A347" s="9"/>
      <c r="B347" s="9"/>
      <c r="C347" s="9"/>
    </row>
    <row r="348" spans="1:3" ht="50.95" customHeight="1" x14ac:dyDescent="0.3">
      <c r="A348" s="9"/>
      <c r="B348" s="9"/>
      <c r="C348" s="9"/>
    </row>
    <row r="349" spans="1:3" ht="50.95" customHeight="1" x14ac:dyDescent="0.3">
      <c r="A349" s="9"/>
      <c r="B349" s="9"/>
      <c r="C349" s="9"/>
    </row>
    <row r="350" spans="1:3" ht="50.95" customHeight="1" x14ac:dyDescent="0.3">
      <c r="A350" s="9"/>
      <c r="B350" s="9"/>
      <c r="C350" s="9"/>
    </row>
    <row r="351" spans="1:3" ht="50.95" customHeight="1" x14ac:dyDescent="0.3">
      <c r="A351" s="9"/>
      <c r="B351" s="9"/>
      <c r="C351" s="9"/>
    </row>
    <row r="352" spans="1:3" ht="50.95" customHeight="1" x14ac:dyDescent="0.3">
      <c r="A352" s="9"/>
      <c r="B352" s="9"/>
      <c r="C352" s="9"/>
    </row>
    <row r="353" spans="1:3" ht="50.95" customHeight="1" x14ac:dyDescent="0.3">
      <c r="A353" s="9"/>
      <c r="B353" s="9"/>
      <c r="C353" s="9"/>
    </row>
    <row r="354" spans="1:3" ht="50.95" customHeight="1" x14ac:dyDescent="0.3">
      <c r="A354" s="9"/>
      <c r="B354" s="9"/>
      <c r="C354" s="9"/>
    </row>
    <row r="355" spans="1:3" ht="50.95" customHeight="1" x14ac:dyDescent="0.3">
      <c r="A355" s="9"/>
      <c r="B355" s="9"/>
      <c r="C355" s="9"/>
    </row>
    <row r="356" spans="1:3" ht="50.95" customHeight="1" x14ac:dyDescent="0.3">
      <c r="A356" s="9"/>
      <c r="B356" s="9"/>
      <c r="C356" s="9"/>
    </row>
    <row r="357" spans="1:3" ht="50.95" customHeight="1" x14ac:dyDescent="0.3">
      <c r="A357" s="9"/>
      <c r="B357" s="9"/>
      <c r="C357" s="9"/>
    </row>
    <row r="358" spans="1:3" ht="50.95" customHeight="1" x14ac:dyDescent="0.3">
      <c r="A358" s="9"/>
      <c r="B358" s="9"/>
      <c r="C358" s="9"/>
    </row>
    <row r="359" spans="1:3" ht="50.95" customHeight="1" x14ac:dyDescent="0.3">
      <c r="A359" s="9"/>
      <c r="B359" s="9"/>
      <c r="C359" s="9"/>
    </row>
    <row r="360" spans="1:3" ht="50.95" customHeight="1" x14ac:dyDescent="0.3">
      <c r="A360" s="9"/>
      <c r="B360" s="9"/>
      <c r="C360" s="9"/>
    </row>
    <row r="361" spans="1:3" ht="50.95" customHeight="1" x14ac:dyDescent="0.3">
      <c r="A361" s="9"/>
      <c r="B361" s="9"/>
      <c r="C361" s="9"/>
    </row>
    <row r="362" spans="1:3" ht="50.95" customHeight="1" x14ac:dyDescent="0.3">
      <c r="A362" s="9"/>
      <c r="B362" s="9"/>
      <c r="C362" s="9"/>
    </row>
    <row r="363" spans="1:3" ht="50.95" customHeight="1" x14ac:dyDescent="0.3">
      <c r="A363" s="9"/>
      <c r="B363" s="9"/>
      <c r="C363" s="9"/>
    </row>
    <row r="364" spans="1:3" ht="50.95" customHeight="1" x14ac:dyDescent="0.3">
      <c r="A364" s="9"/>
      <c r="B364" s="9"/>
      <c r="C364" s="9"/>
    </row>
    <row r="365" spans="1:3" ht="50.95" customHeight="1" x14ac:dyDescent="0.3">
      <c r="A365" s="9"/>
      <c r="B365" s="9"/>
      <c r="C365" s="9"/>
    </row>
    <row r="366" spans="1:3" ht="50.95" customHeight="1" x14ac:dyDescent="0.3">
      <c r="A366" s="9"/>
      <c r="B366" s="9"/>
      <c r="C366" s="9"/>
    </row>
    <row r="367" spans="1:3" ht="50.95" customHeight="1" x14ac:dyDescent="0.3">
      <c r="A367" s="9"/>
      <c r="B367" s="9"/>
      <c r="C367" s="9"/>
    </row>
    <row r="368" spans="1:3" ht="50.95" customHeight="1" x14ac:dyDescent="0.3">
      <c r="A368" s="9"/>
      <c r="B368" s="9"/>
      <c r="C368" s="9"/>
    </row>
    <row r="369" spans="1:3" ht="50.95" customHeight="1" x14ac:dyDescent="0.3">
      <c r="A369" s="9"/>
      <c r="B369" s="9"/>
      <c r="C369" s="9"/>
    </row>
    <row r="370" spans="1:3" ht="50.95" customHeight="1" x14ac:dyDescent="0.3">
      <c r="A370" s="9"/>
      <c r="B370" s="9"/>
      <c r="C370" s="9"/>
    </row>
    <row r="371" spans="1:3" ht="50.95" customHeight="1" x14ac:dyDescent="0.3">
      <c r="A371" s="9"/>
      <c r="B371" s="9"/>
      <c r="C371" s="9"/>
    </row>
    <row r="372" spans="1:3" ht="50.95" customHeight="1" x14ac:dyDescent="0.3">
      <c r="A372" s="9"/>
      <c r="B372" s="9"/>
      <c r="C372" s="9"/>
    </row>
    <row r="373" spans="1:3" ht="50.95" customHeight="1" x14ac:dyDescent="0.3">
      <c r="A373" s="9"/>
      <c r="B373" s="9"/>
      <c r="C373" s="9"/>
    </row>
    <row r="374" spans="1:3" ht="50.95" customHeight="1" x14ac:dyDescent="0.3">
      <c r="A374" s="9"/>
      <c r="B374" s="9"/>
      <c r="C374" s="9"/>
    </row>
    <row r="375" spans="1:3" ht="50.95" customHeight="1" x14ac:dyDescent="0.3">
      <c r="A375" s="9"/>
      <c r="B375" s="9"/>
      <c r="C375" s="9"/>
    </row>
    <row r="376" spans="1:3" ht="50.95" customHeight="1" x14ac:dyDescent="0.3">
      <c r="A376" s="9"/>
      <c r="B376" s="9"/>
      <c r="C376" s="9"/>
    </row>
    <row r="377" spans="1:3" ht="50.95" customHeight="1" x14ac:dyDescent="0.3">
      <c r="A377" s="9"/>
      <c r="B377" s="9"/>
      <c r="C377" s="9"/>
    </row>
    <row r="378" spans="1:3" ht="50.95" customHeight="1" x14ac:dyDescent="0.3">
      <c r="A378" s="9"/>
      <c r="B378" s="9"/>
      <c r="C378" s="9"/>
    </row>
    <row r="379" spans="1:3" ht="50.95" customHeight="1" x14ac:dyDescent="0.3">
      <c r="A379" s="9"/>
      <c r="B379" s="9"/>
      <c r="C379" s="9"/>
    </row>
    <row r="380" spans="1:3" ht="50.95" customHeight="1" x14ac:dyDescent="0.3">
      <c r="A380" s="9"/>
      <c r="B380" s="9"/>
      <c r="C380" s="9"/>
    </row>
    <row r="381" spans="1:3" ht="50.95" customHeight="1" x14ac:dyDescent="0.3">
      <c r="A381" s="9"/>
      <c r="B381" s="9"/>
      <c r="C381" s="9"/>
    </row>
    <row r="382" spans="1:3" ht="50.95" customHeight="1" x14ac:dyDescent="0.3">
      <c r="A382" s="9"/>
      <c r="B382" s="9"/>
      <c r="C382" s="9"/>
    </row>
    <row r="383" spans="1:3" ht="50.95" customHeight="1" x14ac:dyDescent="0.3">
      <c r="A383" s="9"/>
      <c r="B383" s="9"/>
      <c r="C383" s="9"/>
    </row>
    <row r="384" spans="1:3" ht="50.95" customHeight="1" x14ac:dyDescent="0.3">
      <c r="A384" s="9"/>
      <c r="B384" s="9"/>
      <c r="C384" s="9"/>
    </row>
    <row r="385" spans="1:3" ht="50.95" customHeight="1" x14ac:dyDescent="0.3">
      <c r="A385" s="9"/>
      <c r="B385" s="9"/>
      <c r="C385" s="9"/>
    </row>
    <row r="386" spans="1:3" ht="50.95" customHeight="1" x14ac:dyDescent="0.3">
      <c r="A386" s="9"/>
      <c r="B386" s="9"/>
      <c r="C386" s="9"/>
    </row>
    <row r="387" spans="1:3" ht="50.95" customHeight="1" x14ac:dyDescent="0.3">
      <c r="A387" s="9"/>
      <c r="B387" s="9"/>
      <c r="C387" s="9"/>
    </row>
    <row r="388" spans="1:3" ht="50.95" customHeight="1" x14ac:dyDescent="0.3">
      <c r="A388" s="9"/>
      <c r="B388" s="9"/>
      <c r="C388" s="9"/>
    </row>
    <row r="389" spans="1:3" ht="50.95" customHeight="1" x14ac:dyDescent="0.3">
      <c r="A389" s="9"/>
      <c r="B389" s="9"/>
      <c r="C389" s="9"/>
    </row>
    <row r="390" spans="1:3" ht="50.95" customHeight="1" x14ac:dyDescent="0.3">
      <c r="A390" s="9"/>
      <c r="B390" s="9"/>
      <c r="C390" s="9"/>
    </row>
    <row r="391" spans="1:3" ht="50.95" customHeight="1" x14ac:dyDescent="0.3">
      <c r="A391" s="9"/>
      <c r="B391" s="9"/>
      <c r="C391" s="9"/>
    </row>
    <row r="392" spans="1:3" ht="50.95" customHeight="1" x14ac:dyDescent="0.3">
      <c r="A392" s="9"/>
      <c r="B392" s="9"/>
      <c r="C392" s="9"/>
    </row>
    <row r="393" spans="1:3" ht="50.95" customHeight="1" x14ac:dyDescent="0.3">
      <c r="A393" s="9"/>
      <c r="B393" s="9"/>
      <c r="C393" s="9"/>
    </row>
    <row r="394" spans="1:3" ht="50.95" customHeight="1" x14ac:dyDescent="0.3">
      <c r="A394" s="9"/>
      <c r="B394" s="9"/>
      <c r="C394" s="9"/>
    </row>
    <row r="395" spans="1:3" ht="50.95" customHeight="1" x14ac:dyDescent="0.3">
      <c r="A395" s="9"/>
      <c r="B395" s="9"/>
      <c r="C395" s="9"/>
    </row>
    <row r="396" spans="1:3" ht="50.95" customHeight="1" x14ac:dyDescent="0.3">
      <c r="A396" s="9"/>
      <c r="B396" s="9"/>
      <c r="C396" s="9"/>
    </row>
    <row r="397" spans="1:3" ht="50.95" customHeight="1" x14ac:dyDescent="0.3">
      <c r="A397" s="9"/>
      <c r="B397" s="9"/>
      <c r="C397" s="9"/>
    </row>
    <row r="398" spans="1:3" ht="50.95" customHeight="1" x14ac:dyDescent="0.3">
      <c r="A398" s="9"/>
      <c r="B398" s="9"/>
      <c r="C398" s="9"/>
    </row>
    <row r="399" spans="1:3" ht="50.95" customHeight="1" x14ac:dyDescent="0.3">
      <c r="A399" s="9"/>
      <c r="B399" s="9"/>
      <c r="C399" s="9"/>
    </row>
    <row r="400" spans="1:3" ht="50.95" customHeight="1" x14ac:dyDescent="0.3">
      <c r="A400" s="9"/>
      <c r="B400" s="9"/>
      <c r="C400" s="9"/>
    </row>
    <row r="401" spans="1:3" ht="50.95" customHeight="1" x14ac:dyDescent="0.3">
      <c r="A401" s="9"/>
      <c r="B401" s="9"/>
      <c r="C401" s="9"/>
    </row>
    <row r="402" spans="1:3" ht="50.95" customHeight="1" x14ac:dyDescent="0.3">
      <c r="A402" s="9"/>
      <c r="B402" s="9"/>
      <c r="C402" s="9"/>
    </row>
    <row r="403" spans="1:3" ht="50.95" customHeight="1" x14ac:dyDescent="0.3">
      <c r="A403" s="9"/>
      <c r="B403" s="9"/>
      <c r="C403" s="9"/>
    </row>
    <row r="404" spans="1:3" ht="50.95" customHeight="1" x14ac:dyDescent="0.3">
      <c r="A404" s="9"/>
      <c r="B404" s="9"/>
      <c r="C404" s="9"/>
    </row>
    <row r="405" spans="1:3" ht="50.95" customHeight="1" x14ac:dyDescent="0.3">
      <c r="A405" s="9"/>
      <c r="B405" s="9"/>
      <c r="C405" s="9"/>
    </row>
    <row r="406" spans="1:3" ht="50.95" customHeight="1" x14ac:dyDescent="0.3">
      <c r="A406" s="9"/>
      <c r="B406" s="9"/>
      <c r="C406" s="9"/>
    </row>
    <row r="407" spans="1:3" ht="50.95" customHeight="1" x14ac:dyDescent="0.3">
      <c r="A407" s="9"/>
      <c r="B407" s="9"/>
      <c r="C407" s="9"/>
    </row>
    <row r="408" spans="1:3" ht="50.95" customHeight="1" x14ac:dyDescent="0.3">
      <c r="A408" s="9"/>
      <c r="B408" s="9"/>
      <c r="C408" s="9"/>
    </row>
    <row r="409" spans="1:3" ht="50.95" customHeight="1" x14ac:dyDescent="0.3">
      <c r="A409" s="9"/>
      <c r="B409" s="9"/>
      <c r="C409" s="9"/>
    </row>
    <row r="410" spans="1:3" ht="50.95" customHeight="1" x14ac:dyDescent="0.3">
      <c r="A410" s="9"/>
      <c r="B410" s="9"/>
      <c r="C410" s="9"/>
    </row>
    <row r="411" spans="1:3" ht="50.95" customHeight="1" x14ac:dyDescent="0.3">
      <c r="A411" s="9"/>
      <c r="B411" s="9"/>
      <c r="C411" s="9"/>
    </row>
    <row r="412" spans="1:3" ht="50.95" customHeight="1" x14ac:dyDescent="0.3">
      <c r="A412" s="9"/>
      <c r="B412" s="9"/>
      <c r="C412" s="9"/>
    </row>
    <row r="413" spans="1:3" ht="50.95" customHeight="1" x14ac:dyDescent="0.3">
      <c r="A413" s="9"/>
      <c r="B413" s="9"/>
      <c r="C413" s="9"/>
    </row>
    <row r="414" spans="1:3" ht="50.95" customHeight="1" x14ac:dyDescent="0.3">
      <c r="A414" s="9"/>
      <c r="B414" s="9"/>
      <c r="C414" s="9"/>
    </row>
    <row r="415" spans="1:3" ht="50.95" customHeight="1" x14ac:dyDescent="0.3">
      <c r="A415" s="9"/>
      <c r="B415" s="9"/>
      <c r="C415" s="9"/>
    </row>
    <row r="416" spans="1:3" ht="50.95" customHeight="1" x14ac:dyDescent="0.3">
      <c r="A416" s="9"/>
      <c r="B416" s="9"/>
      <c r="C416" s="9"/>
    </row>
    <row r="417" spans="1:3" ht="50.95" customHeight="1" x14ac:dyDescent="0.3">
      <c r="A417" s="9"/>
      <c r="B417" s="9"/>
      <c r="C417" s="9"/>
    </row>
    <row r="418" spans="1:3" ht="50.95" customHeight="1" x14ac:dyDescent="0.3">
      <c r="A418" s="9"/>
      <c r="B418" s="9"/>
      <c r="C418" s="9"/>
    </row>
    <row r="419" spans="1:3" ht="50.95" customHeight="1" x14ac:dyDescent="0.3">
      <c r="A419" s="9"/>
      <c r="B419" s="9"/>
      <c r="C419" s="9"/>
    </row>
    <row r="420" spans="1:3" ht="50.95" customHeight="1" x14ac:dyDescent="0.3">
      <c r="A420" s="9"/>
      <c r="B420" s="9"/>
      <c r="C420" s="9"/>
    </row>
    <row r="421" spans="1:3" ht="50.95" customHeight="1" x14ac:dyDescent="0.3">
      <c r="A421" s="9"/>
      <c r="B421" s="9"/>
      <c r="C421" s="9"/>
    </row>
    <row r="422" spans="1:3" ht="50.95" customHeight="1" x14ac:dyDescent="0.3">
      <c r="A422" s="9"/>
      <c r="B422" s="9"/>
      <c r="C422" s="9"/>
    </row>
    <row r="423" spans="1:3" ht="50.95" customHeight="1" x14ac:dyDescent="0.3">
      <c r="A423" s="9"/>
      <c r="B423" s="9"/>
      <c r="C423" s="9"/>
    </row>
    <row r="424" spans="1:3" ht="50.95" customHeight="1" x14ac:dyDescent="0.3">
      <c r="A424" s="9"/>
      <c r="B424" s="9"/>
      <c r="C424" s="9"/>
    </row>
    <row r="425" spans="1:3" ht="50.95" customHeight="1" x14ac:dyDescent="0.3">
      <c r="A425" s="9"/>
      <c r="B425" s="9"/>
      <c r="C425" s="9"/>
    </row>
    <row r="426" spans="1:3" ht="50.95" customHeight="1" x14ac:dyDescent="0.3">
      <c r="A426" s="9"/>
      <c r="B426" s="9"/>
      <c r="C426" s="9"/>
    </row>
    <row r="427" spans="1:3" ht="50.95" customHeight="1" x14ac:dyDescent="0.3">
      <c r="A427" s="9"/>
      <c r="B427" s="9"/>
      <c r="C427" s="9"/>
    </row>
    <row r="428" spans="1:3" ht="50.95" customHeight="1" x14ac:dyDescent="0.3">
      <c r="A428" s="9"/>
      <c r="B428" s="9"/>
      <c r="C428" s="9"/>
    </row>
    <row r="429" spans="1:3" ht="50.95" customHeight="1" x14ac:dyDescent="0.3">
      <c r="A429" s="9"/>
      <c r="B429" s="9"/>
      <c r="C429" s="9"/>
    </row>
    <row r="430" spans="1:3" ht="50.95" customHeight="1" x14ac:dyDescent="0.3">
      <c r="A430" s="9"/>
      <c r="B430" s="9"/>
      <c r="C430" s="9"/>
    </row>
    <row r="431" spans="1:3" ht="50.95" customHeight="1" x14ac:dyDescent="0.3">
      <c r="A431" s="9"/>
      <c r="B431" s="9"/>
      <c r="C431" s="9"/>
    </row>
    <row r="432" spans="1:3" ht="50.95" customHeight="1" x14ac:dyDescent="0.3">
      <c r="A432" s="9"/>
      <c r="B432" s="9"/>
      <c r="C432" s="9"/>
    </row>
    <row r="433" spans="1:3" ht="50.95" customHeight="1" x14ac:dyDescent="0.3">
      <c r="A433" s="9"/>
      <c r="B433" s="9"/>
      <c r="C433" s="9"/>
    </row>
    <row r="434" spans="1:3" ht="50.95" customHeight="1" x14ac:dyDescent="0.3">
      <c r="A434" s="9"/>
      <c r="B434" s="9"/>
      <c r="C434" s="9"/>
    </row>
    <row r="435" spans="1:3" ht="50.95" customHeight="1" x14ac:dyDescent="0.3">
      <c r="A435" s="9"/>
      <c r="B435" s="9"/>
      <c r="C435" s="9"/>
    </row>
    <row r="436" spans="1:3" ht="50.95" customHeight="1" x14ac:dyDescent="0.3">
      <c r="A436" s="9"/>
      <c r="B436" s="9"/>
      <c r="C436" s="9"/>
    </row>
    <row r="437" spans="1:3" ht="50.95" customHeight="1" x14ac:dyDescent="0.3">
      <c r="A437" s="9"/>
      <c r="B437" s="9"/>
      <c r="C437" s="9"/>
    </row>
    <row r="438" spans="1:3" ht="50.95" customHeight="1" x14ac:dyDescent="0.3">
      <c r="A438" s="9"/>
      <c r="B438" s="9"/>
      <c r="C438" s="9"/>
    </row>
    <row r="439" spans="1:3" ht="50.95" customHeight="1" x14ac:dyDescent="0.3">
      <c r="A439" s="9"/>
      <c r="B439" s="9"/>
      <c r="C439" s="9"/>
    </row>
    <row r="440" spans="1:3" ht="50.95" customHeight="1" x14ac:dyDescent="0.3">
      <c r="A440" s="9"/>
      <c r="B440" s="9"/>
      <c r="C440" s="9"/>
    </row>
    <row r="441" spans="1:3" ht="50.95" customHeight="1" x14ac:dyDescent="0.3">
      <c r="A441" s="9"/>
      <c r="B441" s="9"/>
      <c r="C441" s="9"/>
    </row>
    <row r="442" spans="1:3" ht="50.95" customHeight="1" x14ac:dyDescent="0.3">
      <c r="A442" s="9"/>
      <c r="B442" s="9"/>
      <c r="C442" s="9"/>
    </row>
    <row r="443" spans="1:3" ht="50.95" customHeight="1" x14ac:dyDescent="0.3">
      <c r="A443" s="9"/>
      <c r="B443" s="9"/>
      <c r="C443" s="9"/>
    </row>
    <row r="444" spans="1:3" ht="50.95" customHeight="1" x14ac:dyDescent="0.3">
      <c r="A444" s="9"/>
      <c r="B444" s="9"/>
      <c r="C444" s="9"/>
    </row>
    <row r="445" spans="1:3" ht="50.95" customHeight="1" x14ac:dyDescent="0.3">
      <c r="A445" s="9"/>
      <c r="B445" s="9"/>
      <c r="C445" s="9"/>
    </row>
    <row r="446" spans="1:3" ht="50.95" customHeight="1" x14ac:dyDescent="0.3">
      <c r="A446" s="9"/>
      <c r="B446" s="9"/>
      <c r="C446" s="9"/>
    </row>
    <row r="447" spans="1:3" ht="50.95" customHeight="1" x14ac:dyDescent="0.3">
      <c r="A447" s="9"/>
      <c r="B447" s="9"/>
      <c r="C447" s="9"/>
    </row>
    <row r="448" spans="1:3" ht="50.95" customHeight="1" x14ac:dyDescent="0.3">
      <c r="A448" s="9"/>
      <c r="B448" s="9"/>
      <c r="C448" s="9"/>
    </row>
    <row r="449" spans="1:3" ht="50.95" customHeight="1" x14ac:dyDescent="0.3">
      <c r="A449" s="9"/>
      <c r="B449" s="9"/>
      <c r="C449" s="9"/>
    </row>
    <row r="450" spans="1:3" ht="50.95" customHeight="1" x14ac:dyDescent="0.3">
      <c r="A450" s="9"/>
      <c r="B450" s="9"/>
      <c r="C450" s="9"/>
    </row>
    <row r="451" spans="1:3" ht="50.95" customHeight="1" x14ac:dyDescent="0.3">
      <c r="A451" s="9"/>
      <c r="B451" s="9"/>
      <c r="C451" s="9"/>
    </row>
    <row r="452" spans="1:3" ht="50.95" customHeight="1" x14ac:dyDescent="0.3">
      <c r="A452" s="9"/>
      <c r="B452" s="9"/>
      <c r="C452" s="9"/>
    </row>
    <row r="453" spans="1:3" ht="50.95" customHeight="1" x14ac:dyDescent="0.3">
      <c r="A453" s="9"/>
      <c r="B453" s="9"/>
      <c r="C453" s="9"/>
    </row>
    <row r="454" spans="1:3" ht="50.95" customHeight="1" x14ac:dyDescent="0.3">
      <c r="A454" s="9"/>
      <c r="B454" s="9"/>
      <c r="C454" s="9"/>
    </row>
    <row r="455" spans="1:3" ht="50.95" customHeight="1" x14ac:dyDescent="0.3">
      <c r="A455" s="9"/>
      <c r="B455" s="9"/>
      <c r="C455" s="9"/>
    </row>
    <row r="456" spans="1:3" ht="50.95" customHeight="1" x14ac:dyDescent="0.3">
      <c r="A456" s="9"/>
      <c r="B456" s="9"/>
      <c r="C456" s="9"/>
    </row>
    <row r="457" spans="1:3" ht="50.95" customHeight="1" x14ac:dyDescent="0.3">
      <c r="A457" s="9"/>
      <c r="B457" s="9"/>
      <c r="C457" s="9"/>
    </row>
    <row r="458" spans="1:3" ht="50.95" customHeight="1" x14ac:dyDescent="0.3">
      <c r="A458" s="9"/>
      <c r="B458" s="9"/>
      <c r="C458" s="9"/>
    </row>
    <row r="459" spans="1:3" ht="50.95" customHeight="1" x14ac:dyDescent="0.3">
      <c r="A459" s="9"/>
      <c r="B459" s="9"/>
      <c r="C459" s="9"/>
    </row>
    <row r="460" spans="1:3" ht="50.95" customHeight="1" x14ac:dyDescent="0.3">
      <c r="A460" s="9"/>
      <c r="B460" s="9"/>
      <c r="C460" s="9"/>
    </row>
    <row r="461" spans="1:3" ht="50.95" customHeight="1" x14ac:dyDescent="0.3">
      <c r="A461" s="9"/>
      <c r="B461" s="9"/>
      <c r="C461" s="9"/>
    </row>
    <row r="462" spans="1:3" ht="50.95" customHeight="1" x14ac:dyDescent="0.3">
      <c r="A462" s="9"/>
      <c r="B462" s="9"/>
      <c r="C462" s="9"/>
    </row>
    <row r="463" spans="1:3" ht="50.95" customHeight="1" x14ac:dyDescent="0.3">
      <c r="A463" s="9"/>
      <c r="B463" s="9"/>
      <c r="C463" s="9"/>
    </row>
    <row r="464" spans="1:3" ht="50.95" customHeight="1" x14ac:dyDescent="0.3">
      <c r="A464" s="9"/>
      <c r="B464" s="9"/>
      <c r="C464" s="9"/>
    </row>
    <row r="465" spans="1:3" ht="50.95" customHeight="1" x14ac:dyDescent="0.3">
      <c r="A465" s="9"/>
      <c r="B465" s="9"/>
      <c r="C465" s="9"/>
    </row>
    <row r="466" spans="1:3" ht="50.95" customHeight="1" x14ac:dyDescent="0.3">
      <c r="A466" s="9"/>
      <c r="B466" s="9"/>
      <c r="C466" s="9"/>
    </row>
    <row r="467" spans="1:3" ht="50.95" customHeight="1" x14ac:dyDescent="0.3">
      <c r="A467" s="9"/>
      <c r="B467" s="9"/>
      <c r="C467" s="9"/>
    </row>
    <row r="468" spans="1:3" ht="50.95" customHeight="1" x14ac:dyDescent="0.3">
      <c r="A468" s="9"/>
      <c r="B468" s="9"/>
      <c r="C468" s="9"/>
    </row>
    <row r="469" spans="1:3" ht="50.95" customHeight="1" x14ac:dyDescent="0.3">
      <c r="A469" s="9"/>
      <c r="B469" s="9"/>
      <c r="C469" s="9"/>
    </row>
    <row r="470" spans="1:3" ht="50.95" customHeight="1" x14ac:dyDescent="0.3">
      <c r="A470" s="9"/>
      <c r="B470" s="9"/>
      <c r="C470" s="9"/>
    </row>
    <row r="471" spans="1:3" ht="50.95" customHeight="1" x14ac:dyDescent="0.3">
      <c r="A471" s="9"/>
      <c r="B471" s="9"/>
      <c r="C471" s="9"/>
    </row>
    <row r="472" spans="1:3" ht="50.95" customHeight="1" x14ac:dyDescent="0.3">
      <c r="A472" s="9"/>
      <c r="B472" s="9"/>
      <c r="C472" s="9"/>
    </row>
    <row r="473" spans="1:3" ht="50.95" customHeight="1" x14ac:dyDescent="0.3">
      <c r="A473" s="9"/>
      <c r="B473" s="9"/>
      <c r="C473" s="9"/>
    </row>
    <row r="474" spans="1:3" ht="50.95" customHeight="1" x14ac:dyDescent="0.3">
      <c r="A474" s="9"/>
      <c r="B474" s="9"/>
      <c r="C474" s="9"/>
    </row>
    <row r="475" spans="1:3" ht="50.95" customHeight="1" x14ac:dyDescent="0.3">
      <c r="A475" s="9"/>
      <c r="B475" s="9"/>
      <c r="C475" s="9"/>
    </row>
    <row r="476" spans="1:3" ht="50.95" customHeight="1" x14ac:dyDescent="0.3">
      <c r="A476" s="9"/>
      <c r="B476" s="9"/>
      <c r="C476" s="9"/>
    </row>
    <row r="477" spans="1:3" ht="50.95" customHeight="1" x14ac:dyDescent="0.3">
      <c r="A477" s="9"/>
      <c r="B477" s="9"/>
      <c r="C477" s="9"/>
    </row>
    <row r="478" spans="1:3" ht="50.95" customHeight="1" x14ac:dyDescent="0.3">
      <c r="A478" s="9"/>
      <c r="B478" s="9"/>
      <c r="C478" s="9"/>
    </row>
    <row r="479" spans="1:3" ht="50.95" customHeight="1" x14ac:dyDescent="0.3">
      <c r="A479" s="9"/>
      <c r="B479" s="9"/>
      <c r="C479" s="9"/>
    </row>
    <row r="480" spans="1:3" ht="50.95" customHeight="1" x14ac:dyDescent="0.3">
      <c r="A480" s="9"/>
      <c r="B480" s="9"/>
      <c r="C480" s="9"/>
    </row>
    <row r="481" spans="1:3" ht="50.95" customHeight="1" x14ac:dyDescent="0.3">
      <c r="A481" s="9"/>
      <c r="B481" s="9"/>
      <c r="C481" s="9"/>
    </row>
    <row r="482" spans="1:3" ht="50.95" customHeight="1" x14ac:dyDescent="0.3">
      <c r="A482" s="9"/>
      <c r="B482" s="9"/>
      <c r="C482" s="9"/>
    </row>
    <row r="483" spans="1:3" ht="50.95" customHeight="1" x14ac:dyDescent="0.3">
      <c r="A483" s="9"/>
      <c r="B483" s="9"/>
      <c r="C483" s="9"/>
    </row>
    <row r="484" spans="1:3" ht="50.95" customHeight="1" x14ac:dyDescent="0.3">
      <c r="A484" s="9"/>
      <c r="B484" s="9"/>
      <c r="C484" s="9"/>
    </row>
    <row r="485" spans="1:3" ht="50.95" customHeight="1" x14ac:dyDescent="0.3">
      <c r="A485" s="9"/>
      <c r="B485" s="9"/>
      <c r="C485" s="9"/>
    </row>
    <row r="486" spans="1:3" ht="50.95" customHeight="1" x14ac:dyDescent="0.3">
      <c r="A486" s="9"/>
      <c r="B486" s="9"/>
      <c r="C486" s="9"/>
    </row>
    <row r="487" spans="1:3" ht="50.95" customHeight="1" x14ac:dyDescent="0.3">
      <c r="A487" s="9"/>
      <c r="B487" s="9"/>
      <c r="C487" s="9"/>
    </row>
    <row r="488" spans="1:3" ht="50.95" customHeight="1" x14ac:dyDescent="0.3">
      <c r="A488" s="9"/>
      <c r="B488" s="9"/>
      <c r="C488" s="9"/>
    </row>
    <row r="489" spans="1:3" ht="50.95" customHeight="1" x14ac:dyDescent="0.3">
      <c r="A489" s="9"/>
      <c r="B489" s="9"/>
      <c r="C489" s="9"/>
    </row>
    <row r="490" spans="1:3" ht="50.95" customHeight="1" x14ac:dyDescent="0.3">
      <c r="A490" s="9"/>
      <c r="B490" s="9"/>
      <c r="C490" s="9"/>
    </row>
    <row r="491" spans="1:3" ht="50.95" customHeight="1" x14ac:dyDescent="0.3">
      <c r="A491" s="9"/>
      <c r="B491" s="9"/>
      <c r="C491" s="9"/>
    </row>
    <row r="492" spans="1:3" ht="50.95" customHeight="1" x14ac:dyDescent="0.3">
      <c r="A492" s="9"/>
      <c r="B492" s="9"/>
      <c r="C492" s="9"/>
    </row>
    <row r="493" spans="1:3" ht="50.95" customHeight="1" x14ac:dyDescent="0.3">
      <c r="A493" s="9"/>
      <c r="B493" s="9"/>
      <c r="C493" s="9"/>
    </row>
    <row r="494" spans="1:3" ht="50.95" customHeight="1" x14ac:dyDescent="0.3">
      <c r="A494" s="9"/>
      <c r="B494" s="9"/>
      <c r="C494" s="9"/>
    </row>
    <row r="495" spans="1:3" ht="50.95" customHeight="1" x14ac:dyDescent="0.3">
      <c r="A495" s="9"/>
      <c r="B495" s="9"/>
      <c r="C495" s="9"/>
    </row>
    <row r="496" spans="1:3" ht="50.95" customHeight="1" x14ac:dyDescent="0.3">
      <c r="A496" s="9"/>
      <c r="B496" s="9"/>
      <c r="C496" s="9"/>
    </row>
    <row r="497" spans="1:3" ht="50.95" customHeight="1" x14ac:dyDescent="0.3">
      <c r="A497" s="9"/>
      <c r="B497" s="9"/>
      <c r="C497" s="9"/>
    </row>
    <row r="498" spans="1:3" ht="50.95" customHeight="1" x14ac:dyDescent="0.3">
      <c r="A498" s="9"/>
      <c r="B498" s="9"/>
      <c r="C498" s="9"/>
    </row>
    <row r="499" spans="1:3" ht="50.95" customHeight="1" x14ac:dyDescent="0.3">
      <c r="A499" s="9"/>
      <c r="B499" s="9"/>
      <c r="C499" s="9"/>
    </row>
    <row r="500" spans="1:3" ht="50.95" customHeight="1" x14ac:dyDescent="0.3">
      <c r="A500" s="9"/>
      <c r="B500" s="9"/>
      <c r="C500" s="9"/>
    </row>
    <row r="501" spans="1:3" ht="50.95" customHeight="1" x14ac:dyDescent="0.3">
      <c r="A501" s="9"/>
      <c r="B501" s="9"/>
      <c r="C501" s="9"/>
    </row>
    <row r="502" spans="1:3" ht="50.95" customHeight="1" x14ac:dyDescent="0.3">
      <c r="A502" s="9"/>
      <c r="B502" s="9"/>
      <c r="C502" s="9"/>
    </row>
    <row r="503" spans="1:3" ht="50.95" customHeight="1" x14ac:dyDescent="0.3">
      <c r="A503" s="9"/>
      <c r="B503" s="9"/>
      <c r="C503" s="9"/>
    </row>
    <row r="504" spans="1:3" ht="50.95" customHeight="1" x14ac:dyDescent="0.3">
      <c r="A504" s="9"/>
      <c r="B504" s="9"/>
      <c r="C504" s="9"/>
    </row>
    <row r="505" spans="1:3" ht="50.95" customHeight="1" x14ac:dyDescent="0.3">
      <c r="A505" s="9"/>
      <c r="B505" s="9"/>
      <c r="C505" s="9"/>
    </row>
    <row r="506" spans="1:3" ht="50.95" customHeight="1" x14ac:dyDescent="0.3">
      <c r="A506" s="9"/>
      <c r="B506" s="9"/>
      <c r="C506" s="9"/>
    </row>
    <row r="507" spans="1:3" ht="50.95" customHeight="1" x14ac:dyDescent="0.3">
      <c r="A507" s="9"/>
      <c r="B507" s="9"/>
      <c r="C507" s="9"/>
    </row>
    <row r="508" spans="1:3" ht="50.95" customHeight="1" x14ac:dyDescent="0.3">
      <c r="A508" s="9"/>
      <c r="B508" s="9"/>
      <c r="C508" s="9"/>
    </row>
    <row r="509" spans="1:3" ht="50.95" customHeight="1" x14ac:dyDescent="0.3">
      <c r="A509" s="9"/>
      <c r="B509" s="9"/>
      <c r="C509" s="9"/>
    </row>
    <row r="510" spans="1:3" ht="50.95" customHeight="1" x14ac:dyDescent="0.3">
      <c r="A510" s="9"/>
      <c r="B510" s="9"/>
      <c r="C510" s="9"/>
    </row>
    <row r="511" spans="1:3" ht="50.95" customHeight="1" x14ac:dyDescent="0.3">
      <c r="A511" s="9"/>
      <c r="B511" s="9"/>
      <c r="C511" s="9"/>
    </row>
    <row r="512" spans="1:3" ht="50.95" customHeight="1" x14ac:dyDescent="0.3">
      <c r="A512" s="9"/>
      <c r="B512" s="9"/>
      <c r="C512" s="9"/>
    </row>
    <row r="513" spans="1:3" ht="50.95" customHeight="1" x14ac:dyDescent="0.3">
      <c r="A513" s="9"/>
      <c r="B513" s="9"/>
      <c r="C513" s="9"/>
    </row>
    <row r="514" spans="1:3" ht="50.95" customHeight="1" x14ac:dyDescent="0.3">
      <c r="A514" s="9"/>
      <c r="B514" s="9"/>
      <c r="C514" s="9"/>
    </row>
    <row r="515" spans="1:3" ht="50.95" customHeight="1" x14ac:dyDescent="0.3">
      <c r="A515" s="9"/>
      <c r="B515" s="9"/>
      <c r="C515" s="9"/>
    </row>
    <row r="516" spans="1:3" ht="50.95" customHeight="1" x14ac:dyDescent="0.3">
      <c r="A516" s="9"/>
      <c r="B516" s="9"/>
      <c r="C516" s="9"/>
    </row>
    <row r="517" spans="1:3" ht="50.95" customHeight="1" x14ac:dyDescent="0.3">
      <c r="A517" s="9"/>
      <c r="B517" s="9"/>
      <c r="C517" s="9"/>
    </row>
    <row r="518" spans="1:3" ht="50.95" customHeight="1" x14ac:dyDescent="0.3">
      <c r="A518" s="9"/>
      <c r="B518" s="9"/>
      <c r="C518" s="9"/>
    </row>
    <row r="519" spans="1:3" ht="50.95" customHeight="1" x14ac:dyDescent="0.3">
      <c r="A519" s="9"/>
      <c r="B519" s="9"/>
      <c r="C519" s="9"/>
    </row>
    <row r="520" spans="1:3" ht="50.95" customHeight="1" x14ac:dyDescent="0.3">
      <c r="A520" s="9"/>
      <c r="B520" s="9"/>
      <c r="C520" s="9"/>
    </row>
    <row r="521" spans="1:3" ht="50.95" customHeight="1" x14ac:dyDescent="0.3">
      <c r="A521" s="9"/>
      <c r="B521" s="9"/>
      <c r="C521" s="9"/>
    </row>
    <row r="522" spans="1:3" ht="50.95" customHeight="1" x14ac:dyDescent="0.3">
      <c r="A522" s="9"/>
      <c r="B522" s="9"/>
      <c r="C522" s="9"/>
    </row>
    <row r="523" spans="1:3" ht="50.95" customHeight="1" x14ac:dyDescent="0.3">
      <c r="A523" s="9"/>
      <c r="B523" s="9"/>
      <c r="C523" s="9"/>
    </row>
    <row r="524" spans="1:3" ht="50.95" customHeight="1" x14ac:dyDescent="0.3">
      <c r="A524" s="9"/>
      <c r="B524" s="9"/>
      <c r="C524" s="9"/>
    </row>
    <row r="525" spans="1:3" ht="50.95" customHeight="1" x14ac:dyDescent="0.3">
      <c r="A525" s="9"/>
      <c r="B525" s="9"/>
      <c r="C525" s="9"/>
    </row>
    <row r="526" spans="1:3" ht="50.95" customHeight="1" x14ac:dyDescent="0.3">
      <c r="A526" s="9"/>
      <c r="B526" s="9"/>
      <c r="C526" s="9"/>
    </row>
    <row r="527" spans="1:3" ht="50.95" customHeight="1" x14ac:dyDescent="0.3">
      <c r="A527" s="9"/>
      <c r="B527" s="9"/>
      <c r="C527" s="9"/>
    </row>
    <row r="528" spans="1:3" ht="50.95" customHeight="1" x14ac:dyDescent="0.3">
      <c r="A528" s="9"/>
      <c r="B528" s="9"/>
      <c r="C528" s="9"/>
    </row>
    <row r="529" spans="1:3" ht="50.95" customHeight="1" x14ac:dyDescent="0.3">
      <c r="A529" s="9"/>
      <c r="B529" s="9"/>
      <c r="C529" s="9"/>
    </row>
    <row r="530" spans="1:3" ht="50.95" customHeight="1" x14ac:dyDescent="0.3">
      <c r="A530" s="9"/>
      <c r="B530" s="9"/>
      <c r="C530" s="9"/>
    </row>
    <row r="531" spans="1:3" ht="50.95" customHeight="1" x14ac:dyDescent="0.3">
      <c r="A531" s="9"/>
      <c r="B531" s="9"/>
      <c r="C531" s="9"/>
    </row>
    <row r="532" spans="1:3" ht="50.95" customHeight="1" x14ac:dyDescent="0.3">
      <c r="A532" s="9"/>
      <c r="B532" s="9"/>
      <c r="C532" s="9"/>
    </row>
    <row r="533" spans="1:3" ht="50.95" customHeight="1" x14ac:dyDescent="0.3">
      <c r="A533" s="9"/>
      <c r="B533" s="9"/>
      <c r="C533" s="9"/>
    </row>
    <row r="534" spans="1:3" ht="50.95" customHeight="1" x14ac:dyDescent="0.3">
      <c r="A534" s="9"/>
      <c r="B534" s="9"/>
      <c r="C534" s="9"/>
    </row>
    <row r="535" spans="1:3" ht="50.95" customHeight="1" x14ac:dyDescent="0.3">
      <c r="A535" s="9"/>
      <c r="B535" s="9"/>
      <c r="C535" s="9"/>
    </row>
    <row r="536" spans="1:3" ht="50.95" customHeight="1" x14ac:dyDescent="0.3">
      <c r="A536" s="9"/>
      <c r="B536" s="9"/>
      <c r="C536" s="9"/>
    </row>
    <row r="537" spans="1:3" ht="50.95" customHeight="1" x14ac:dyDescent="0.3">
      <c r="A537" s="9"/>
      <c r="B537" s="9"/>
      <c r="C537" s="9"/>
    </row>
    <row r="538" spans="1:3" ht="50.95" customHeight="1" x14ac:dyDescent="0.3">
      <c r="A538" s="9"/>
      <c r="B538" s="9"/>
      <c r="C538" s="9"/>
    </row>
    <row r="539" spans="1:3" ht="50.95" customHeight="1" x14ac:dyDescent="0.3">
      <c r="A539" s="9"/>
      <c r="B539" s="9"/>
      <c r="C539" s="9"/>
    </row>
    <row r="540" spans="1:3" ht="50.95" customHeight="1" x14ac:dyDescent="0.3">
      <c r="A540" s="9"/>
      <c r="B540" s="9"/>
      <c r="C540" s="9"/>
    </row>
    <row r="541" spans="1:3" ht="50.95" customHeight="1" x14ac:dyDescent="0.3">
      <c r="A541" s="9"/>
      <c r="B541" s="9"/>
      <c r="C541" s="9"/>
    </row>
    <row r="542" spans="1:3" ht="50.95" customHeight="1" x14ac:dyDescent="0.3">
      <c r="A542" s="9"/>
      <c r="B542" s="9"/>
      <c r="C542" s="9"/>
    </row>
    <row r="543" spans="1:3" ht="50.95" customHeight="1" x14ac:dyDescent="0.3">
      <c r="A543" s="9"/>
      <c r="B543" s="9"/>
      <c r="C543" s="9"/>
    </row>
    <row r="544" spans="1:3" ht="50.95" customHeight="1" x14ac:dyDescent="0.3">
      <c r="A544" s="9"/>
      <c r="B544" s="9"/>
      <c r="C544" s="9"/>
    </row>
    <row r="545" spans="1:3" ht="50.95" customHeight="1" x14ac:dyDescent="0.3">
      <c r="A545" s="9"/>
      <c r="B545" s="9"/>
      <c r="C545" s="9"/>
    </row>
    <row r="546" spans="1:3" ht="50.95" customHeight="1" x14ac:dyDescent="0.3">
      <c r="A546" s="9"/>
      <c r="B546" s="9"/>
      <c r="C546" s="9"/>
    </row>
    <row r="547" spans="1:3" ht="50.95" customHeight="1" x14ac:dyDescent="0.3">
      <c r="A547" s="9"/>
      <c r="B547" s="9"/>
      <c r="C547" s="9"/>
    </row>
    <row r="548" spans="1:3" ht="50.95" customHeight="1" x14ac:dyDescent="0.3">
      <c r="A548" s="9"/>
      <c r="B548" s="9"/>
      <c r="C548" s="9"/>
    </row>
    <row r="549" spans="1:3" ht="50.95" customHeight="1" x14ac:dyDescent="0.3">
      <c r="A549" s="9"/>
      <c r="B549" s="9"/>
      <c r="C549" s="9"/>
    </row>
    <row r="550" spans="1:3" ht="50.95" customHeight="1" x14ac:dyDescent="0.3">
      <c r="A550" s="9"/>
      <c r="B550" s="9"/>
      <c r="C550" s="9"/>
    </row>
    <row r="551" spans="1:3" ht="50.95" customHeight="1" x14ac:dyDescent="0.3">
      <c r="A551" s="9"/>
      <c r="B551" s="9"/>
      <c r="C551" s="9"/>
    </row>
    <row r="552" spans="1:3" ht="50.95" customHeight="1" x14ac:dyDescent="0.3">
      <c r="A552" s="9"/>
      <c r="B552" s="9"/>
      <c r="C552" s="9"/>
    </row>
    <row r="553" spans="1:3" ht="50.95" customHeight="1" x14ac:dyDescent="0.3">
      <c r="A553" s="9"/>
      <c r="B553" s="9"/>
      <c r="C553" s="9"/>
    </row>
    <row r="554" spans="1:3" ht="50.95" customHeight="1" x14ac:dyDescent="0.3">
      <c r="A554" s="9"/>
      <c r="B554" s="9"/>
      <c r="C554" s="9"/>
    </row>
    <row r="555" spans="1:3" ht="50.95" customHeight="1" x14ac:dyDescent="0.3">
      <c r="A555" s="9"/>
      <c r="B555" s="9"/>
      <c r="C555" s="9"/>
    </row>
    <row r="556" spans="1:3" ht="50.95" customHeight="1" x14ac:dyDescent="0.3">
      <c r="A556" s="9"/>
      <c r="B556" s="9"/>
      <c r="C556" s="9"/>
    </row>
    <row r="557" spans="1:3" ht="50.95" customHeight="1" x14ac:dyDescent="0.3">
      <c r="A557" s="9"/>
      <c r="B557" s="9"/>
      <c r="C557" s="9"/>
    </row>
    <row r="558" spans="1:3" ht="50.95" customHeight="1" x14ac:dyDescent="0.3">
      <c r="A558" s="9"/>
      <c r="B558" s="9"/>
      <c r="C558" s="9"/>
    </row>
    <row r="559" spans="1:3" ht="50.95" customHeight="1" x14ac:dyDescent="0.3">
      <c r="A559" s="9"/>
      <c r="B559" s="9"/>
      <c r="C559" s="9"/>
    </row>
    <row r="560" spans="1:3" ht="50.95" customHeight="1" x14ac:dyDescent="0.3">
      <c r="A560" s="9"/>
      <c r="B560" s="9"/>
      <c r="C560" s="9"/>
    </row>
    <row r="561" spans="1:3" ht="50.95" customHeight="1" x14ac:dyDescent="0.3">
      <c r="A561" s="9"/>
      <c r="B561" s="9"/>
      <c r="C561" s="9"/>
    </row>
    <row r="562" spans="1:3" ht="50.95" customHeight="1" x14ac:dyDescent="0.3">
      <c r="A562" s="9"/>
      <c r="B562" s="9"/>
      <c r="C562" s="9"/>
    </row>
    <row r="563" spans="1:3" ht="50.95" customHeight="1" x14ac:dyDescent="0.3">
      <c r="A563" s="9"/>
      <c r="B563" s="9"/>
      <c r="C563" s="9"/>
    </row>
    <row r="564" spans="1:3" ht="50.95" customHeight="1" x14ac:dyDescent="0.3">
      <c r="A564" s="9"/>
      <c r="B564" s="9"/>
      <c r="C564" s="9"/>
    </row>
    <row r="565" spans="1:3" ht="50.95" customHeight="1" x14ac:dyDescent="0.3">
      <c r="A565" s="9"/>
      <c r="B565" s="9"/>
      <c r="C565" s="9"/>
    </row>
    <row r="566" spans="1:3" ht="50.95" customHeight="1" x14ac:dyDescent="0.3">
      <c r="A566" s="9"/>
      <c r="B566" s="9"/>
      <c r="C566" s="9"/>
    </row>
    <row r="567" spans="1:3" ht="50.95" customHeight="1" x14ac:dyDescent="0.3">
      <c r="A567" s="9"/>
      <c r="B567" s="9"/>
      <c r="C567" s="9"/>
    </row>
    <row r="568" spans="1:3" ht="50.95" customHeight="1" x14ac:dyDescent="0.3">
      <c r="A568" s="9"/>
      <c r="B568" s="9"/>
      <c r="C568" s="9"/>
    </row>
    <row r="569" spans="1:3" ht="50.95" customHeight="1" x14ac:dyDescent="0.3">
      <c r="A569" s="9"/>
      <c r="B569" s="9"/>
      <c r="C569" s="9"/>
    </row>
    <row r="570" spans="1:3" ht="50.95" customHeight="1" x14ac:dyDescent="0.3">
      <c r="A570" s="9"/>
      <c r="B570" s="9"/>
      <c r="C570" s="9"/>
    </row>
    <row r="571" spans="1:3" ht="50.95" customHeight="1" x14ac:dyDescent="0.3">
      <c r="A571" s="9"/>
      <c r="B571" s="9"/>
      <c r="C571" s="9"/>
    </row>
    <row r="572" spans="1:3" ht="50.95" customHeight="1" x14ac:dyDescent="0.3">
      <c r="A572" s="9"/>
      <c r="B572" s="9"/>
      <c r="C572" s="9"/>
    </row>
    <row r="573" spans="1:3" ht="50.95" customHeight="1" x14ac:dyDescent="0.3">
      <c r="A573" s="9"/>
      <c r="B573" s="9"/>
      <c r="C573" s="9"/>
    </row>
    <row r="574" spans="1:3" ht="50.95" customHeight="1" x14ac:dyDescent="0.3">
      <c r="A574" s="9"/>
      <c r="B574" s="9"/>
      <c r="C574" s="9"/>
    </row>
    <row r="575" spans="1:3" ht="50.95" customHeight="1" x14ac:dyDescent="0.3">
      <c r="A575" s="9"/>
      <c r="B575" s="9"/>
      <c r="C575" s="9"/>
    </row>
    <row r="576" spans="1:3" ht="50.95" customHeight="1" x14ac:dyDescent="0.3">
      <c r="A576" s="9"/>
      <c r="B576" s="9"/>
      <c r="C576" s="9"/>
    </row>
    <row r="577" spans="1:3" ht="50.95" customHeight="1" x14ac:dyDescent="0.3">
      <c r="A577" s="9"/>
      <c r="B577" s="9"/>
      <c r="C577" s="9"/>
    </row>
    <row r="578" spans="1:3" ht="50.95" customHeight="1" x14ac:dyDescent="0.3">
      <c r="A578" s="9"/>
      <c r="B578" s="9"/>
      <c r="C578" s="9"/>
    </row>
    <row r="579" spans="1:3" ht="50.95" customHeight="1" x14ac:dyDescent="0.3">
      <c r="A579" s="9"/>
      <c r="B579" s="9"/>
      <c r="C579" s="9"/>
    </row>
    <row r="580" spans="1:3" ht="50.95" customHeight="1" x14ac:dyDescent="0.3">
      <c r="A580" s="9"/>
      <c r="B580" s="9"/>
      <c r="C580" s="9"/>
    </row>
    <row r="581" spans="1:3" ht="50.95" customHeight="1" x14ac:dyDescent="0.3">
      <c r="A581" s="9"/>
      <c r="B581" s="9"/>
      <c r="C581" s="9"/>
    </row>
    <row r="582" spans="1:3" ht="50.95" customHeight="1" x14ac:dyDescent="0.3">
      <c r="A582" s="9"/>
      <c r="B582" s="9"/>
      <c r="C582" s="9"/>
    </row>
    <row r="583" spans="1:3" ht="50.95" customHeight="1" x14ac:dyDescent="0.3">
      <c r="A583" s="9"/>
      <c r="B583" s="9"/>
      <c r="C583" s="9"/>
    </row>
    <row r="584" spans="1:3" ht="50.95" customHeight="1" x14ac:dyDescent="0.3">
      <c r="A584" s="9"/>
      <c r="B584" s="9"/>
      <c r="C584" s="9"/>
    </row>
    <row r="585" spans="1:3" ht="50.95" customHeight="1" x14ac:dyDescent="0.3">
      <c r="A585" s="9"/>
      <c r="B585" s="9"/>
      <c r="C585" s="9"/>
    </row>
    <row r="586" spans="1:3" ht="50.95" customHeight="1" x14ac:dyDescent="0.3">
      <c r="A586" s="9"/>
      <c r="B586" s="9"/>
      <c r="C586" s="9"/>
    </row>
    <row r="587" spans="1:3" ht="50.95" customHeight="1" x14ac:dyDescent="0.3">
      <c r="A587" s="9"/>
      <c r="B587" s="9"/>
      <c r="C587" s="9"/>
    </row>
    <row r="588" spans="1:3" ht="50.95" customHeight="1" x14ac:dyDescent="0.3">
      <c r="A588" s="9"/>
      <c r="B588" s="9"/>
      <c r="C588" s="9"/>
    </row>
    <row r="589" spans="1:3" ht="50.95" customHeight="1" x14ac:dyDescent="0.3">
      <c r="A589" s="9"/>
      <c r="B589" s="9"/>
      <c r="C589" s="9"/>
    </row>
    <row r="590" spans="1:3" ht="50.95" customHeight="1" x14ac:dyDescent="0.3">
      <c r="A590" s="9"/>
      <c r="B590" s="9"/>
      <c r="C590" s="9"/>
    </row>
    <row r="591" spans="1:3" ht="50.95" customHeight="1" x14ac:dyDescent="0.3">
      <c r="A591" s="9"/>
      <c r="B591" s="9"/>
      <c r="C591" s="9"/>
    </row>
    <row r="592" spans="1:3" ht="50.95" customHeight="1" x14ac:dyDescent="0.3">
      <c r="A592" s="9"/>
      <c r="B592" s="9"/>
      <c r="C592" s="9"/>
    </row>
    <row r="593" spans="1:3" ht="50.95" customHeight="1" x14ac:dyDescent="0.3">
      <c r="A593" s="9"/>
      <c r="B593" s="9"/>
      <c r="C593" s="9"/>
    </row>
    <row r="594" spans="1:3" ht="50.95" customHeight="1" x14ac:dyDescent="0.3">
      <c r="A594" s="9"/>
      <c r="B594" s="9"/>
      <c r="C594" s="9"/>
    </row>
    <row r="595" spans="1:3" ht="50.95" customHeight="1" x14ac:dyDescent="0.3">
      <c r="A595" s="9"/>
      <c r="B595" s="9"/>
      <c r="C595" s="9"/>
    </row>
    <row r="596" spans="1:3" ht="50.95" customHeight="1" x14ac:dyDescent="0.3">
      <c r="A596" s="9"/>
      <c r="B596" s="9"/>
      <c r="C596" s="9"/>
    </row>
    <row r="597" spans="1:3" ht="50.95" customHeight="1" x14ac:dyDescent="0.3">
      <c r="A597" s="9"/>
      <c r="B597" s="9"/>
      <c r="C597" s="9"/>
    </row>
    <row r="598" spans="1:3" ht="50.95" customHeight="1" x14ac:dyDescent="0.3">
      <c r="A598" s="9"/>
      <c r="B598" s="9"/>
      <c r="C598" s="9"/>
    </row>
    <row r="599" spans="1:3" ht="50.95" customHeight="1" x14ac:dyDescent="0.3">
      <c r="A599" s="9"/>
      <c r="B599" s="9"/>
      <c r="C599" s="9"/>
    </row>
    <row r="600" spans="1:3" ht="50.95" customHeight="1" x14ac:dyDescent="0.3">
      <c r="A600" s="9"/>
      <c r="B600" s="9"/>
      <c r="C600" s="9"/>
    </row>
    <row r="601" spans="1:3" ht="50.95" customHeight="1" x14ac:dyDescent="0.3">
      <c r="A601" s="9"/>
      <c r="B601" s="9"/>
      <c r="C601" s="9"/>
    </row>
    <row r="602" spans="1:3" ht="50.95" customHeight="1" x14ac:dyDescent="0.3">
      <c r="A602" s="9"/>
      <c r="B602" s="9"/>
      <c r="C602" s="9"/>
    </row>
    <row r="603" spans="1:3" ht="50.95" customHeight="1" x14ac:dyDescent="0.3">
      <c r="A603" s="9"/>
      <c r="B603" s="9"/>
      <c r="C603" s="9"/>
    </row>
    <row r="604" spans="1:3" ht="50.95" customHeight="1" x14ac:dyDescent="0.3">
      <c r="A604" s="9"/>
      <c r="B604" s="9"/>
      <c r="C604" s="9"/>
    </row>
    <row r="605" spans="1:3" ht="50.95" customHeight="1" x14ac:dyDescent="0.3">
      <c r="A605" s="9"/>
      <c r="B605" s="9"/>
      <c r="C605" s="9"/>
    </row>
    <row r="606" spans="1:3" ht="50.95" customHeight="1" x14ac:dyDescent="0.3">
      <c r="A606" s="9"/>
      <c r="B606" s="9"/>
      <c r="C606" s="9"/>
    </row>
    <row r="607" spans="1:3" ht="50.95" customHeight="1" x14ac:dyDescent="0.3">
      <c r="A607" s="9"/>
      <c r="B607" s="9"/>
      <c r="C607" s="9"/>
    </row>
    <row r="608" spans="1:3" ht="50.95" customHeight="1" x14ac:dyDescent="0.3">
      <c r="A608" s="9"/>
      <c r="B608" s="9"/>
      <c r="C608" s="9"/>
    </row>
    <row r="609" spans="1:3" ht="50.95" customHeight="1" x14ac:dyDescent="0.3">
      <c r="A609" s="9"/>
      <c r="B609" s="9"/>
      <c r="C609" s="9"/>
    </row>
    <row r="610" spans="1:3" ht="50.95" customHeight="1" x14ac:dyDescent="0.3">
      <c r="A610" s="9"/>
      <c r="B610" s="9"/>
      <c r="C610" s="9"/>
    </row>
    <row r="611" spans="1:3" ht="50.95" customHeight="1" x14ac:dyDescent="0.3">
      <c r="A611" s="9"/>
      <c r="B611" s="9"/>
      <c r="C611" s="9"/>
    </row>
    <row r="612" spans="1:3" ht="50.95" customHeight="1" x14ac:dyDescent="0.3">
      <c r="A612" s="9"/>
      <c r="B612" s="9"/>
      <c r="C612" s="9"/>
    </row>
    <row r="613" spans="1:3" ht="50.95" customHeight="1" x14ac:dyDescent="0.3">
      <c r="A613" s="9"/>
      <c r="B613" s="9"/>
      <c r="C613" s="9"/>
    </row>
    <row r="614" spans="1:3" ht="50.95" customHeight="1" x14ac:dyDescent="0.3">
      <c r="A614" s="9"/>
      <c r="B614" s="9"/>
      <c r="C614" s="9"/>
    </row>
    <row r="615" spans="1:3" ht="50.95" customHeight="1" x14ac:dyDescent="0.3">
      <c r="A615" s="9"/>
      <c r="B615" s="9"/>
      <c r="C615" s="9"/>
    </row>
    <row r="616" spans="1:3" ht="50.95" customHeight="1" x14ac:dyDescent="0.3">
      <c r="A616" s="9"/>
      <c r="B616" s="9"/>
      <c r="C616" s="9"/>
    </row>
    <row r="617" spans="1:3" ht="50.95" customHeight="1" x14ac:dyDescent="0.3">
      <c r="A617" s="9"/>
      <c r="B617" s="9"/>
      <c r="C617" s="9"/>
    </row>
    <row r="618" spans="1:3" ht="50.95" customHeight="1" x14ac:dyDescent="0.3">
      <c r="A618" s="9"/>
      <c r="B618" s="9"/>
      <c r="C618" s="9"/>
    </row>
    <row r="619" spans="1:3" ht="50.95" customHeight="1" x14ac:dyDescent="0.3">
      <c r="A619" s="9"/>
      <c r="B619" s="9"/>
      <c r="C619" s="9"/>
    </row>
    <row r="620" spans="1:3" ht="50.95" customHeight="1" x14ac:dyDescent="0.3">
      <c r="A620" s="9"/>
      <c r="B620" s="9"/>
      <c r="C620" s="9"/>
    </row>
    <row r="621" spans="1:3" ht="50.95" customHeight="1" x14ac:dyDescent="0.3">
      <c r="A621" s="9"/>
      <c r="B621" s="9"/>
      <c r="C621" s="9"/>
    </row>
    <row r="622" spans="1:3" ht="50.95" customHeight="1" x14ac:dyDescent="0.3">
      <c r="A622" s="9"/>
      <c r="B622" s="9"/>
      <c r="C622" s="9"/>
    </row>
    <row r="623" spans="1:3" ht="50.95" customHeight="1" x14ac:dyDescent="0.3">
      <c r="A623" s="9"/>
      <c r="B623" s="9"/>
      <c r="C623" s="9"/>
    </row>
    <row r="624" spans="1:3" ht="50.95" customHeight="1" x14ac:dyDescent="0.3">
      <c r="A624" s="9"/>
      <c r="B624" s="9"/>
      <c r="C624" s="9"/>
    </row>
    <row r="625" spans="1:3" ht="50.95" customHeight="1" x14ac:dyDescent="0.3">
      <c r="A625" s="9"/>
      <c r="B625" s="9"/>
      <c r="C625" s="9"/>
    </row>
    <row r="626" spans="1:3" ht="50.95" customHeight="1" x14ac:dyDescent="0.3">
      <c r="A626" s="9"/>
      <c r="B626" s="9"/>
      <c r="C626" s="9"/>
    </row>
    <row r="627" spans="1:3" ht="50.95" customHeight="1" x14ac:dyDescent="0.3">
      <c r="A627" s="9"/>
      <c r="B627" s="9"/>
      <c r="C627" s="9"/>
    </row>
    <row r="628" spans="1:3" ht="50.95" customHeight="1" x14ac:dyDescent="0.3">
      <c r="A628" s="9"/>
      <c r="B628" s="9"/>
      <c r="C628" s="9"/>
    </row>
    <row r="629" spans="1:3" ht="50.95" customHeight="1" x14ac:dyDescent="0.3">
      <c r="A629" s="9"/>
      <c r="B629" s="9"/>
      <c r="C629" s="9"/>
    </row>
    <row r="630" spans="1:3" ht="50.95" customHeight="1" x14ac:dyDescent="0.3">
      <c r="A630" s="9"/>
      <c r="B630" s="9"/>
      <c r="C630" s="9"/>
    </row>
    <row r="631" spans="1:3" ht="50.95" customHeight="1" x14ac:dyDescent="0.3">
      <c r="A631" s="9"/>
      <c r="B631" s="9"/>
      <c r="C631" s="9"/>
    </row>
    <row r="632" spans="1:3" ht="50.95" customHeight="1" x14ac:dyDescent="0.3">
      <c r="A632" s="9"/>
      <c r="B632" s="9"/>
      <c r="C632" s="9"/>
    </row>
    <row r="633" spans="1:3" ht="50.95" customHeight="1" x14ac:dyDescent="0.3">
      <c r="A633" s="9"/>
      <c r="B633" s="9"/>
      <c r="C633" s="9"/>
    </row>
    <row r="634" spans="1:3" ht="50.95" customHeight="1" x14ac:dyDescent="0.3">
      <c r="A634" s="9"/>
      <c r="B634" s="9"/>
      <c r="C634" s="9"/>
    </row>
    <row r="635" spans="1:3" ht="50.95" customHeight="1" x14ac:dyDescent="0.3">
      <c r="A635" s="9"/>
      <c r="B635" s="9"/>
      <c r="C635" s="9"/>
    </row>
    <row r="636" spans="1:3" ht="50.95" customHeight="1" x14ac:dyDescent="0.3">
      <c r="A636" s="9"/>
      <c r="B636" s="9"/>
      <c r="C636" s="9"/>
    </row>
    <row r="637" spans="1:3" ht="50.95" customHeight="1" x14ac:dyDescent="0.3">
      <c r="A637" s="9"/>
      <c r="B637" s="9"/>
      <c r="C637" s="9"/>
    </row>
    <row r="638" spans="1:3" ht="50.95" customHeight="1" x14ac:dyDescent="0.3">
      <c r="A638" s="9"/>
      <c r="B638" s="9"/>
      <c r="C638" s="9"/>
    </row>
    <row r="639" spans="1:3" ht="50.95" customHeight="1" x14ac:dyDescent="0.3">
      <c r="A639" s="9"/>
      <c r="B639" s="9"/>
      <c r="C639" s="9"/>
    </row>
    <row r="640" spans="1:3" ht="50.95" customHeight="1" x14ac:dyDescent="0.3">
      <c r="A640" s="9"/>
      <c r="B640" s="9"/>
      <c r="C640" s="9"/>
    </row>
    <row r="641" spans="1:3" ht="50.95" customHeight="1" x14ac:dyDescent="0.3">
      <c r="A641" s="9"/>
      <c r="B641" s="9"/>
      <c r="C641" s="9"/>
    </row>
    <row r="642" spans="1:3" ht="50.95" customHeight="1" x14ac:dyDescent="0.3">
      <c r="A642" s="9"/>
      <c r="B642" s="9"/>
      <c r="C642" s="9"/>
    </row>
    <row r="643" spans="1:3" ht="50.95" customHeight="1" x14ac:dyDescent="0.3">
      <c r="A643" s="9"/>
      <c r="B643" s="9"/>
      <c r="C643" s="9"/>
    </row>
    <row r="644" spans="1:3" ht="50.95" customHeight="1" x14ac:dyDescent="0.3">
      <c r="A644" s="9"/>
      <c r="B644" s="9"/>
      <c r="C644" s="9"/>
    </row>
    <row r="645" spans="1:3" ht="50.95" customHeight="1" x14ac:dyDescent="0.3">
      <c r="A645" s="9"/>
      <c r="B645" s="9"/>
      <c r="C645" s="9"/>
    </row>
    <row r="646" spans="1:3" ht="50.95" customHeight="1" x14ac:dyDescent="0.3">
      <c r="A646" s="9"/>
      <c r="B646" s="9"/>
      <c r="C646" s="9"/>
    </row>
    <row r="647" spans="1:3" ht="50.95" customHeight="1" x14ac:dyDescent="0.3">
      <c r="A647" s="9"/>
      <c r="B647" s="9"/>
      <c r="C647" s="9"/>
    </row>
    <row r="648" spans="1:3" ht="50.95" customHeight="1" x14ac:dyDescent="0.3">
      <c r="A648" s="9"/>
      <c r="B648" s="9"/>
      <c r="C648" s="9"/>
    </row>
    <row r="649" spans="1:3" ht="50.95" customHeight="1" x14ac:dyDescent="0.3">
      <c r="A649" s="9"/>
      <c r="B649" s="9"/>
      <c r="C649" s="9"/>
    </row>
    <row r="650" spans="1:3" ht="50.95" customHeight="1" x14ac:dyDescent="0.3">
      <c r="A650" s="9"/>
      <c r="B650" s="9"/>
      <c r="C650" s="9"/>
    </row>
    <row r="651" spans="1:3" ht="50.95" customHeight="1" x14ac:dyDescent="0.3">
      <c r="A651" s="9"/>
      <c r="B651" s="9"/>
      <c r="C651" s="9"/>
    </row>
    <row r="652" spans="1:3" ht="50.95" customHeight="1" x14ac:dyDescent="0.3">
      <c r="A652" s="9"/>
      <c r="B652" s="9"/>
      <c r="C652" s="9"/>
    </row>
    <row r="653" spans="1:3" ht="50.95" customHeight="1" x14ac:dyDescent="0.3">
      <c r="A653" s="9"/>
      <c r="B653" s="9"/>
      <c r="C653" s="9"/>
    </row>
    <row r="654" spans="1:3" ht="50.95" customHeight="1" x14ac:dyDescent="0.3">
      <c r="A654" s="9"/>
      <c r="B654" s="9"/>
      <c r="C654" s="9"/>
    </row>
    <row r="655" spans="1:3" ht="50.95" customHeight="1" x14ac:dyDescent="0.3">
      <c r="A655" s="9"/>
      <c r="B655" s="9"/>
      <c r="C655" s="9"/>
    </row>
    <row r="656" spans="1:3" ht="50.95" customHeight="1" x14ac:dyDescent="0.3">
      <c r="A656" s="9"/>
      <c r="B656" s="9"/>
      <c r="C656" s="9"/>
    </row>
    <row r="657" spans="1:3" ht="50.95" customHeight="1" x14ac:dyDescent="0.3">
      <c r="A657" s="9"/>
      <c r="B657" s="9"/>
      <c r="C657" s="9"/>
    </row>
    <row r="658" spans="1:3" ht="50.95" customHeight="1" x14ac:dyDescent="0.3">
      <c r="A658" s="9"/>
      <c r="B658" s="9"/>
      <c r="C658" s="9"/>
    </row>
    <row r="659" spans="1:3" ht="50.95" customHeight="1" x14ac:dyDescent="0.3">
      <c r="A659" s="9"/>
      <c r="B659" s="9"/>
      <c r="C659" s="9"/>
    </row>
    <row r="660" spans="1:3" ht="50.95" customHeight="1" x14ac:dyDescent="0.3">
      <c r="A660" s="9"/>
      <c r="B660" s="9"/>
      <c r="C660" s="9"/>
    </row>
    <row r="661" spans="1:3" ht="50.95" customHeight="1" x14ac:dyDescent="0.3">
      <c r="A661" s="9"/>
      <c r="B661" s="9"/>
      <c r="C661" s="9"/>
    </row>
    <row r="662" spans="1:3" ht="50.95" customHeight="1" x14ac:dyDescent="0.3">
      <c r="A662" s="9"/>
      <c r="B662" s="9"/>
      <c r="C662" s="9"/>
    </row>
    <row r="663" spans="1:3" ht="50.95" customHeight="1" x14ac:dyDescent="0.3">
      <c r="A663" s="9"/>
      <c r="B663" s="9"/>
      <c r="C663" s="9"/>
    </row>
    <row r="664" spans="1:3" ht="50.95" customHeight="1" x14ac:dyDescent="0.3">
      <c r="A664" s="9"/>
      <c r="B664" s="9"/>
      <c r="C664" s="9"/>
    </row>
    <row r="665" spans="1:3" ht="50.95" customHeight="1" x14ac:dyDescent="0.3">
      <c r="A665" s="9"/>
      <c r="B665" s="9"/>
      <c r="C665" s="9"/>
    </row>
    <row r="666" spans="1:3" ht="50.95" customHeight="1" x14ac:dyDescent="0.3">
      <c r="A666" s="9"/>
      <c r="B666" s="9"/>
      <c r="C666" s="9"/>
    </row>
    <row r="667" spans="1:3" ht="50.95" customHeight="1" x14ac:dyDescent="0.3">
      <c r="A667" s="9"/>
      <c r="B667" s="9"/>
      <c r="C667" s="9"/>
    </row>
    <row r="668" spans="1:3" ht="50.95" customHeight="1" x14ac:dyDescent="0.3">
      <c r="A668" s="9"/>
      <c r="B668" s="9"/>
      <c r="C668" s="9"/>
    </row>
    <row r="669" spans="1:3" ht="50.95" customHeight="1" x14ac:dyDescent="0.3">
      <c r="A669" s="9"/>
      <c r="B669" s="9"/>
      <c r="C669" s="9"/>
    </row>
    <row r="670" spans="1:3" ht="50.95" customHeight="1" x14ac:dyDescent="0.3">
      <c r="A670" s="9"/>
      <c r="B670" s="9"/>
      <c r="C670" s="9"/>
    </row>
    <row r="671" spans="1:3" ht="50.95" customHeight="1" x14ac:dyDescent="0.3">
      <c r="A671" s="9"/>
      <c r="B671" s="9"/>
      <c r="C671" s="9"/>
    </row>
    <row r="672" spans="1:3" ht="50.95" customHeight="1" x14ac:dyDescent="0.3">
      <c r="A672" s="9"/>
      <c r="B672" s="9"/>
      <c r="C672" s="9"/>
    </row>
    <row r="673" spans="1:3" ht="50.95" customHeight="1" x14ac:dyDescent="0.3">
      <c r="A673" s="9"/>
      <c r="B673" s="9"/>
      <c r="C673" s="9"/>
    </row>
    <row r="674" spans="1:3" ht="50.95" customHeight="1" x14ac:dyDescent="0.3">
      <c r="A674" s="9"/>
      <c r="B674" s="9"/>
      <c r="C674" s="9"/>
    </row>
    <row r="675" spans="1:3" ht="50.95" customHeight="1" x14ac:dyDescent="0.3">
      <c r="A675" s="9"/>
      <c r="B675" s="9"/>
      <c r="C675" s="9"/>
    </row>
    <row r="676" spans="1:3" ht="50.95" customHeight="1" x14ac:dyDescent="0.3">
      <c r="A676" s="9"/>
      <c r="B676" s="9"/>
      <c r="C676" s="9"/>
    </row>
    <row r="677" spans="1:3" ht="50.95" customHeight="1" x14ac:dyDescent="0.3">
      <c r="A677" s="9"/>
      <c r="B677" s="9"/>
      <c r="C677" s="9"/>
    </row>
    <row r="678" spans="1:3" ht="50.95" customHeight="1" x14ac:dyDescent="0.3">
      <c r="A678" s="9"/>
      <c r="B678" s="9"/>
      <c r="C678" s="9"/>
    </row>
    <row r="679" spans="1:3" ht="50.95" customHeight="1" x14ac:dyDescent="0.3">
      <c r="A679" s="9"/>
      <c r="B679" s="9"/>
      <c r="C679" s="9"/>
    </row>
    <row r="680" spans="1:3" ht="50.95" customHeight="1" x14ac:dyDescent="0.3">
      <c r="A680" s="9"/>
      <c r="B680" s="9"/>
      <c r="C680" s="9"/>
    </row>
    <row r="681" spans="1:3" ht="50.95" customHeight="1" x14ac:dyDescent="0.3">
      <c r="A681" s="9"/>
      <c r="B681" s="9"/>
      <c r="C681" s="9"/>
    </row>
    <row r="682" spans="1:3" ht="50.95" customHeight="1" x14ac:dyDescent="0.3">
      <c r="A682" s="9"/>
      <c r="B682" s="9"/>
      <c r="C682" s="9"/>
    </row>
    <row r="683" spans="1:3" ht="50.95" customHeight="1" x14ac:dyDescent="0.3">
      <c r="A683" s="9"/>
      <c r="B683" s="9"/>
      <c r="C683" s="9"/>
    </row>
    <row r="684" spans="1:3" ht="50.95" customHeight="1" x14ac:dyDescent="0.3">
      <c r="A684" s="9"/>
      <c r="B684" s="9"/>
      <c r="C684" s="9"/>
    </row>
    <row r="685" spans="1:3" ht="50.95" customHeight="1" x14ac:dyDescent="0.3">
      <c r="A685" s="9"/>
      <c r="B685" s="9"/>
      <c r="C685" s="9"/>
    </row>
    <row r="686" spans="1:3" ht="50.95" customHeight="1" x14ac:dyDescent="0.3">
      <c r="A686" s="9"/>
      <c r="B686" s="9"/>
      <c r="C686" s="9"/>
    </row>
    <row r="687" spans="1:3" ht="50.95" customHeight="1" x14ac:dyDescent="0.3">
      <c r="A687" s="9"/>
      <c r="B687" s="9"/>
      <c r="C687" s="9"/>
    </row>
    <row r="688" spans="1:3" ht="50.95" customHeight="1" x14ac:dyDescent="0.3">
      <c r="A688" s="9"/>
      <c r="B688" s="9"/>
      <c r="C688" s="9"/>
    </row>
    <row r="689" spans="1:3" ht="50.95" customHeight="1" x14ac:dyDescent="0.3">
      <c r="A689" s="9"/>
      <c r="B689" s="9"/>
      <c r="C689" s="9"/>
    </row>
    <row r="690" spans="1:3" ht="50.95" customHeight="1" x14ac:dyDescent="0.3">
      <c r="A690" s="9"/>
      <c r="B690" s="9"/>
      <c r="C690" s="9"/>
    </row>
    <row r="691" spans="1:3" ht="50.95" customHeight="1" x14ac:dyDescent="0.3">
      <c r="A691" s="9"/>
      <c r="B691" s="9"/>
      <c r="C691" s="9"/>
    </row>
    <row r="692" spans="1:3" ht="50.95" customHeight="1" x14ac:dyDescent="0.3">
      <c r="A692" s="9"/>
      <c r="B692" s="9"/>
      <c r="C692" s="9"/>
    </row>
    <row r="693" spans="1:3" ht="50.95" customHeight="1" x14ac:dyDescent="0.3">
      <c r="A693" s="9"/>
      <c r="B693" s="9"/>
      <c r="C693" s="9"/>
    </row>
    <row r="694" spans="1:3" ht="50.95" customHeight="1" x14ac:dyDescent="0.3">
      <c r="A694" s="9"/>
      <c r="B694" s="9"/>
      <c r="C694" s="9"/>
    </row>
    <row r="695" spans="1:3" ht="50.95" customHeight="1" x14ac:dyDescent="0.3">
      <c r="A695" s="9"/>
      <c r="B695" s="9"/>
      <c r="C695" s="9"/>
    </row>
    <row r="696" spans="1:3" ht="50.95" customHeight="1" x14ac:dyDescent="0.3">
      <c r="A696" s="9"/>
      <c r="B696" s="9"/>
      <c r="C696" s="9"/>
    </row>
    <row r="697" spans="1:3" ht="50.95" customHeight="1" x14ac:dyDescent="0.3">
      <c r="A697" s="9"/>
      <c r="B697" s="9"/>
      <c r="C697" s="9"/>
    </row>
    <row r="698" spans="1:3" ht="50.95" customHeight="1" x14ac:dyDescent="0.3">
      <c r="A698" s="9"/>
      <c r="B698" s="9"/>
      <c r="C698" s="9"/>
    </row>
    <row r="699" spans="1:3" ht="50.95" customHeight="1" x14ac:dyDescent="0.3">
      <c r="A699" s="9"/>
      <c r="B699" s="9"/>
      <c r="C699" s="9"/>
    </row>
    <row r="700" spans="1:3" ht="50.95" customHeight="1" x14ac:dyDescent="0.3">
      <c r="A700" s="9"/>
      <c r="B700" s="9"/>
      <c r="C700" s="9"/>
    </row>
    <row r="701" spans="1:3" ht="50.95" customHeight="1" x14ac:dyDescent="0.3">
      <c r="A701" s="9"/>
      <c r="B701" s="9"/>
      <c r="C701" s="9"/>
    </row>
    <row r="702" spans="1:3" ht="50.95" customHeight="1" x14ac:dyDescent="0.3">
      <c r="A702" s="9"/>
      <c r="B702" s="9"/>
      <c r="C702" s="9"/>
    </row>
    <row r="703" spans="1:3" ht="50.95" customHeight="1" x14ac:dyDescent="0.3">
      <c r="A703" s="9"/>
      <c r="B703" s="9"/>
      <c r="C703" s="9"/>
    </row>
    <row r="704" spans="1:3" ht="50.95" customHeight="1" x14ac:dyDescent="0.3">
      <c r="A704" s="9"/>
      <c r="B704" s="9"/>
      <c r="C704" s="9"/>
    </row>
    <row r="705" spans="1:3" ht="50.95" customHeight="1" x14ac:dyDescent="0.3">
      <c r="A705" s="9"/>
      <c r="B705" s="9"/>
      <c r="C705" s="9"/>
    </row>
    <row r="706" spans="1:3" ht="50.95" customHeight="1" x14ac:dyDescent="0.3">
      <c r="A706" s="9"/>
      <c r="B706" s="9"/>
      <c r="C706" s="9"/>
    </row>
    <row r="707" spans="1:3" ht="50.95" customHeight="1" x14ac:dyDescent="0.3">
      <c r="A707" s="9"/>
      <c r="B707" s="9"/>
      <c r="C707" s="9"/>
    </row>
    <row r="708" spans="1:3" ht="50.95" customHeight="1" x14ac:dyDescent="0.3">
      <c r="A708" s="9"/>
      <c r="B708" s="9"/>
      <c r="C708" s="9"/>
    </row>
    <row r="709" spans="1:3" ht="50.95" customHeight="1" x14ac:dyDescent="0.3">
      <c r="A709" s="9"/>
      <c r="B709" s="9"/>
      <c r="C709" s="9"/>
    </row>
    <row r="710" spans="1:3" ht="50.95" customHeight="1" x14ac:dyDescent="0.3">
      <c r="A710" s="9"/>
      <c r="B710" s="9"/>
      <c r="C710" s="9"/>
    </row>
    <row r="711" spans="1:3" ht="50.95" customHeight="1" x14ac:dyDescent="0.3">
      <c r="A711" s="9"/>
      <c r="B711" s="9"/>
      <c r="C711" s="9"/>
    </row>
    <row r="712" spans="1:3" ht="50.95" customHeight="1" x14ac:dyDescent="0.3">
      <c r="A712" s="9"/>
      <c r="B712" s="9"/>
      <c r="C712" s="9"/>
    </row>
    <row r="713" spans="1:3" ht="50.95" customHeight="1" x14ac:dyDescent="0.3">
      <c r="A713" s="9"/>
      <c r="B713" s="9"/>
      <c r="C713" s="9"/>
    </row>
    <row r="714" spans="1:3" ht="50.95" customHeight="1" x14ac:dyDescent="0.3">
      <c r="A714" s="9"/>
      <c r="B714" s="9"/>
      <c r="C714" s="9"/>
    </row>
    <row r="715" spans="1:3" ht="50.95" customHeight="1" x14ac:dyDescent="0.3">
      <c r="A715" s="9"/>
      <c r="B715" s="9"/>
      <c r="C715" s="9"/>
    </row>
    <row r="716" spans="1:3" ht="50.95" customHeight="1" x14ac:dyDescent="0.3">
      <c r="A716" s="9"/>
      <c r="B716" s="9"/>
      <c r="C716" s="9"/>
    </row>
    <row r="717" spans="1:3" ht="50.95" customHeight="1" x14ac:dyDescent="0.3">
      <c r="A717" s="9"/>
      <c r="B717" s="9"/>
      <c r="C717" s="9"/>
    </row>
    <row r="718" spans="1:3" ht="50.95" customHeight="1" x14ac:dyDescent="0.3">
      <c r="A718" s="9"/>
      <c r="B718" s="9"/>
      <c r="C718" s="9"/>
    </row>
    <row r="719" spans="1:3" ht="50.95" customHeight="1" x14ac:dyDescent="0.3">
      <c r="A719" s="9"/>
      <c r="B719" s="9"/>
      <c r="C719" s="9"/>
    </row>
    <row r="720" spans="1:3" ht="50.95" customHeight="1" x14ac:dyDescent="0.3">
      <c r="A720" s="9"/>
      <c r="B720" s="9"/>
      <c r="C720" s="9"/>
    </row>
    <row r="721" spans="1:3" ht="50.95" customHeight="1" x14ac:dyDescent="0.3">
      <c r="A721" s="9"/>
      <c r="B721" s="9"/>
      <c r="C721" s="9"/>
    </row>
    <row r="722" spans="1:3" ht="50.95" customHeight="1" x14ac:dyDescent="0.3">
      <c r="A722" s="9"/>
      <c r="B722" s="9"/>
      <c r="C722" s="9"/>
    </row>
    <row r="723" spans="1:3" ht="50.95" customHeight="1" x14ac:dyDescent="0.3">
      <c r="A723" s="9"/>
      <c r="B723" s="9"/>
      <c r="C723" s="9"/>
    </row>
    <row r="724" spans="1:3" ht="50.95" customHeight="1" x14ac:dyDescent="0.3">
      <c r="A724" s="9"/>
      <c r="B724" s="9"/>
      <c r="C724" s="9"/>
    </row>
    <row r="725" spans="1:3" ht="50.95" customHeight="1" x14ac:dyDescent="0.3">
      <c r="A725" s="9"/>
      <c r="B725" s="9"/>
      <c r="C725" s="9"/>
    </row>
    <row r="726" spans="1:3" ht="50.95" customHeight="1" x14ac:dyDescent="0.3">
      <c r="A726" s="9"/>
      <c r="B726" s="9"/>
      <c r="C726" s="9"/>
    </row>
    <row r="727" spans="1:3" ht="50.95" customHeight="1" x14ac:dyDescent="0.3">
      <c r="A727" s="9"/>
      <c r="B727" s="9"/>
      <c r="C727" s="9"/>
    </row>
    <row r="728" spans="1:3" ht="50.95" customHeight="1" x14ac:dyDescent="0.3">
      <c r="A728" s="9"/>
      <c r="B728" s="9"/>
      <c r="C728" s="9"/>
    </row>
    <row r="729" spans="1:3" ht="50.95" customHeight="1" x14ac:dyDescent="0.3">
      <c r="A729" s="9"/>
      <c r="B729" s="9"/>
      <c r="C729" s="9"/>
    </row>
    <row r="730" spans="1:3" ht="50.95" customHeight="1" x14ac:dyDescent="0.3">
      <c r="A730" s="9"/>
      <c r="B730" s="9"/>
      <c r="C730" s="9"/>
    </row>
    <row r="731" spans="1:3" ht="50.95" customHeight="1" x14ac:dyDescent="0.3">
      <c r="A731" s="9"/>
      <c r="B731" s="9"/>
      <c r="C731" s="9"/>
    </row>
    <row r="732" spans="1:3" ht="50.95" customHeight="1" x14ac:dyDescent="0.3">
      <c r="A732" s="9"/>
      <c r="B732" s="9"/>
      <c r="C732" s="9"/>
    </row>
    <row r="733" spans="1:3" ht="50.95" customHeight="1" x14ac:dyDescent="0.3">
      <c r="A733" s="9"/>
      <c r="B733" s="9"/>
      <c r="C733" s="9"/>
    </row>
    <row r="734" spans="1:3" ht="50.95" customHeight="1" x14ac:dyDescent="0.3">
      <c r="A734" s="9"/>
      <c r="B734" s="9"/>
      <c r="C734" s="9"/>
    </row>
    <row r="735" spans="1:3" ht="50.95" customHeight="1" x14ac:dyDescent="0.3">
      <c r="A735" s="9"/>
      <c r="B735" s="9"/>
      <c r="C735" s="9"/>
    </row>
    <row r="736" spans="1:3" ht="50.95" customHeight="1" x14ac:dyDescent="0.3">
      <c r="A736" s="9"/>
      <c r="B736" s="9"/>
      <c r="C736" s="9"/>
    </row>
    <row r="737" spans="1:3" ht="50.95" customHeight="1" x14ac:dyDescent="0.3">
      <c r="A737" s="9"/>
      <c r="B737" s="9"/>
      <c r="C737" s="9"/>
    </row>
    <row r="738" spans="1:3" ht="50.95" customHeight="1" x14ac:dyDescent="0.3">
      <c r="A738" s="9"/>
      <c r="B738" s="9"/>
      <c r="C738" s="9"/>
    </row>
    <row r="739" spans="1:3" ht="50.95" customHeight="1" x14ac:dyDescent="0.3">
      <c r="A739" s="9"/>
      <c r="B739" s="9"/>
      <c r="C739" s="9"/>
    </row>
    <row r="740" spans="1:3" ht="50.95" customHeight="1" x14ac:dyDescent="0.3">
      <c r="A740" s="9"/>
      <c r="B740" s="9"/>
      <c r="C740" s="9"/>
    </row>
    <row r="741" spans="1:3" ht="50.95" customHeight="1" x14ac:dyDescent="0.3">
      <c r="A741" s="9"/>
      <c r="B741" s="9"/>
      <c r="C741" s="9"/>
    </row>
    <row r="742" spans="1:3" ht="50.95" customHeight="1" x14ac:dyDescent="0.3">
      <c r="A742" s="9"/>
      <c r="B742" s="9"/>
      <c r="C742" s="9"/>
    </row>
    <row r="743" spans="1:3" ht="50.95" customHeight="1" x14ac:dyDescent="0.3">
      <c r="A743" s="9"/>
      <c r="B743" s="9"/>
      <c r="C743" s="9"/>
    </row>
    <row r="744" spans="1:3" ht="50.95" customHeight="1" x14ac:dyDescent="0.3">
      <c r="A744" s="9"/>
      <c r="B744" s="9"/>
      <c r="C744" s="9"/>
    </row>
    <row r="745" spans="1:3" ht="50.95" customHeight="1" x14ac:dyDescent="0.3">
      <c r="A745" s="9"/>
      <c r="B745" s="9"/>
      <c r="C745" s="9"/>
    </row>
    <row r="746" spans="1:3" ht="50.95" customHeight="1" x14ac:dyDescent="0.3">
      <c r="A746" s="9"/>
      <c r="B746" s="9"/>
      <c r="C746" s="9"/>
    </row>
    <row r="747" spans="1:3" ht="50.95" customHeight="1" x14ac:dyDescent="0.3">
      <c r="A747" s="9"/>
      <c r="B747" s="9"/>
      <c r="C747" s="9"/>
    </row>
    <row r="748" spans="1:3" ht="50.95" customHeight="1" x14ac:dyDescent="0.3">
      <c r="A748" s="9"/>
      <c r="B748" s="9"/>
      <c r="C748" s="9"/>
    </row>
    <row r="749" spans="1:3" ht="50.95" customHeight="1" x14ac:dyDescent="0.3">
      <c r="A749" s="9"/>
      <c r="B749" s="9"/>
      <c r="C749" s="9"/>
    </row>
    <row r="750" spans="1:3" ht="50.95" customHeight="1" x14ac:dyDescent="0.3">
      <c r="A750" s="9"/>
      <c r="B750" s="9"/>
      <c r="C750" s="9"/>
    </row>
    <row r="751" spans="1:3" ht="50.95" customHeight="1" x14ac:dyDescent="0.3">
      <c r="A751" s="9"/>
      <c r="B751" s="9"/>
      <c r="C751" s="9"/>
    </row>
    <row r="752" spans="1:3" ht="50.95" customHeight="1" x14ac:dyDescent="0.3">
      <c r="A752" s="9"/>
      <c r="B752" s="9"/>
      <c r="C752" s="9"/>
    </row>
    <row r="753" spans="1:3" ht="50.95" customHeight="1" x14ac:dyDescent="0.3">
      <c r="A753" s="9"/>
      <c r="B753" s="9"/>
      <c r="C753" s="9"/>
    </row>
    <row r="754" spans="1:3" ht="50.95" customHeight="1" x14ac:dyDescent="0.3">
      <c r="A754" s="9"/>
      <c r="B754" s="9"/>
      <c r="C754" s="9"/>
    </row>
    <row r="755" spans="1:3" ht="50.95" customHeight="1" x14ac:dyDescent="0.3">
      <c r="A755" s="9"/>
      <c r="B755" s="9"/>
      <c r="C755" s="9"/>
    </row>
    <row r="756" spans="1:3" ht="50.95" customHeight="1" x14ac:dyDescent="0.3">
      <c r="A756" s="9"/>
      <c r="B756" s="9"/>
      <c r="C756" s="9"/>
    </row>
    <row r="757" spans="1:3" ht="50.95" customHeight="1" x14ac:dyDescent="0.3">
      <c r="A757" s="9"/>
      <c r="B757" s="9"/>
      <c r="C757" s="9"/>
    </row>
    <row r="758" spans="1:3" ht="50.95" customHeight="1" x14ac:dyDescent="0.3">
      <c r="A758" s="9"/>
      <c r="B758" s="9"/>
      <c r="C758" s="9"/>
    </row>
    <row r="759" spans="1:3" ht="50.95" customHeight="1" x14ac:dyDescent="0.3">
      <c r="A759" s="9"/>
      <c r="B759" s="9"/>
      <c r="C759" s="9"/>
    </row>
    <row r="760" spans="1:3" ht="50.95" customHeight="1" x14ac:dyDescent="0.3">
      <c r="A760" s="9"/>
      <c r="B760" s="9"/>
      <c r="C760" s="9"/>
    </row>
    <row r="761" spans="1:3" ht="50.95" customHeight="1" x14ac:dyDescent="0.3">
      <c r="A761" s="9"/>
      <c r="B761" s="9"/>
      <c r="C761" s="9"/>
    </row>
    <row r="762" spans="1:3" ht="50.95" customHeight="1" x14ac:dyDescent="0.3">
      <c r="A762" s="9"/>
      <c r="B762" s="9"/>
      <c r="C762" s="9"/>
    </row>
    <row r="763" spans="1:3" ht="50.95" customHeight="1" x14ac:dyDescent="0.3">
      <c r="A763" s="9"/>
      <c r="B763" s="9"/>
      <c r="C763" s="9"/>
    </row>
    <row r="764" spans="1:3" ht="50.95" customHeight="1" x14ac:dyDescent="0.3">
      <c r="A764" s="9"/>
      <c r="B764" s="9"/>
      <c r="C764" s="9"/>
    </row>
    <row r="765" spans="1:3" ht="50.95" customHeight="1" x14ac:dyDescent="0.3">
      <c r="A765" s="9"/>
      <c r="B765" s="9"/>
      <c r="C765" s="9"/>
    </row>
    <row r="766" spans="1:3" ht="50.95" customHeight="1" x14ac:dyDescent="0.3">
      <c r="A766" s="9"/>
      <c r="B766" s="9"/>
      <c r="C766" s="9"/>
    </row>
    <row r="767" spans="1:3" ht="50.95" customHeight="1" x14ac:dyDescent="0.3">
      <c r="A767" s="9"/>
      <c r="B767" s="9"/>
      <c r="C767" s="9"/>
    </row>
    <row r="768" spans="1:3" ht="50.95" customHeight="1" x14ac:dyDescent="0.3">
      <c r="A768" s="9"/>
      <c r="B768" s="9"/>
      <c r="C768" s="9"/>
    </row>
    <row r="769" spans="1:3" ht="50.95" customHeight="1" x14ac:dyDescent="0.3">
      <c r="A769" s="9"/>
      <c r="B769" s="9"/>
      <c r="C769" s="9"/>
    </row>
    <row r="770" spans="1:3" ht="50.95" customHeight="1" x14ac:dyDescent="0.3">
      <c r="A770" s="9"/>
      <c r="B770" s="9"/>
      <c r="C770" s="9"/>
    </row>
    <row r="771" spans="1:3" ht="50.95" customHeight="1" x14ac:dyDescent="0.3">
      <c r="A771" s="9"/>
      <c r="B771" s="9"/>
      <c r="C771" s="9"/>
    </row>
    <row r="772" spans="1:3" ht="50.95" customHeight="1" x14ac:dyDescent="0.3">
      <c r="A772" s="9"/>
      <c r="B772" s="9"/>
      <c r="C772" s="9"/>
    </row>
    <row r="773" spans="1:3" ht="50.95" customHeight="1" x14ac:dyDescent="0.3">
      <c r="A773" s="9"/>
      <c r="B773" s="9"/>
      <c r="C773" s="9"/>
    </row>
    <row r="774" spans="1:3" ht="50.95" customHeight="1" x14ac:dyDescent="0.3">
      <c r="A774" s="9"/>
      <c r="B774" s="9"/>
      <c r="C774" s="9"/>
    </row>
    <row r="775" spans="1:3" ht="50.95" customHeight="1" x14ac:dyDescent="0.3">
      <c r="A775" s="9"/>
      <c r="B775" s="9"/>
      <c r="C775" s="9"/>
    </row>
    <row r="776" spans="1:3" ht="50.95" customHeight="1" x14ac:dyDescent="0.3">
      <c r="A776" s="9"/>
      <c r="B776" s="9"/>
      <c r="C776" s="9"/>
    </row>
    <row r="777" spans="1:3" ht="50.95" customHeight="1" x14ac:dyDescent="0.3">
      <c r="A777" s="9"/>
      <c r="B777" s="9"/>
      <c r="C777" s="9"/>
    </row>
    <row r="778" spans="1:3" ht="50.95" customHeight="1" x14ac:dyDescent="0.3">
      <c r="A778" s="9"/>
      <c r="B778" s="9"/>
      <c r="C778" s="9"/>
    </row>
    <row r="779" spans="1:3" ht="50.95" customHeight="1" x14ac:dyDescent="0.3">
      <c r="A779" s="9"/>
      <c r="B779" s="9"/>
      <c r="C779" s="9"/>
    </row>
    <row r="780" spans="1:3" ht="50.95" customHeight="1" x14ac:dyDescent="0.3">
      <c r="A780" s="9"/>
      <c r="B780" s="9"/>
      <c r="C780" s="9"/>
    </row>
    <row r="781" spans="1:3" ht="50.95" customHeight="1" x14ac:dyDescent="0.3">
      <c r="A781" s="9"/>
      <c r="B781" s="9"/>
      <c r="C781" s="9"/>
    </row>
    <row r="782" spans="1:3" ht="50.95" customHeight="1" x14ac:dyDescent="0.3">
      <c r="A782" s="9"/>
      <c r="B782" s="9"/>
      <c r="C782" s="9"/>
    </row>
    <row r="783" spans="1:3" ht="50.95" customHeight="1" x14ac:dyDescent="0.3">
      <c r="A783" s="9"/>
      <c r="B783" s="9"/>
      <c r="C783" s="9"/>
    </row>
    <row r="784" spans="1:3" ht="50.95" customHeight="1" x14ac:dyDescent="0.3">
      <c r="A784" s="9"/>
      <c r="B784" s="9"/>
      <c r="C784" s="9"/>
    </row>
    <row r="785" spans="1:3" ht="50.95" customHeight="1" x14ac:dyDescent="0.3">
      <c r="A785" s="9"/>
      <c r="B785" s="9"/>
      <c r="C785" s="9"/>
    </row>
    <row r="786" spans="1:3" ht="50.95" customHeight="1" x14ac:dyDescent="0.3">
      <c r="A786" s="9"/>
      <c r="B786" s="9"/>
      <c r="C786" s="9"/>
    </row>
    <row r="787" spans="1:3" ht="50.95" customHeight="1" x14ac:dyDescent="0.3">
      <c r="A787" s="9"/>
      <c r="B787" s="9"/>
      <c r="C787" s="9"/>
    </row>
    <row r="788" spans="1:3" ht="50.95" customHeight="1" x14ac:dyDescent="0.3">
      <c r="A788" s="9"/>
      <c r="B788" s="9"/>
      <c r="C788" s="9"/>
    </row>
    <row r="789" spans="1:3" ht="50.95" customHeight="1" x14ac:dyDescent="0.3">
      <c r="A789" s="9"/>
      <c r="B789" s="9"/>
      <c r="C789" s="9"/>
    </row>
    <row r="790" spans="1:3" ht="50.95" customHeight="1" x14ac:dyDescent="0.3">
      <c r="A790" s="9"/>
      <c r="B790" s="9"/>
      <c r="C790" s="9"/>
    </row>
    <row r="791" spans="1:3" ht="50.95" customHeight="1" x14ac:dyDescent="0.3">
      <c r="A791" s="9"/>
      <c r="B791" s="9"/>
      <c r="C791" s="9"/>
    </row>
    <row r="792" spans="1:3" ht="50.95" customHeight="1" x14ac:dyDescent="0.3">
      <c r="A792" s="9"/>
      <c r="B792" s="9"/>
      <c r="C792" s="9"/>
    </row>
    <row r="793" spans="1:3" ht="50.95" customHeight="1" x14ac:dyDescent="0.3">
      <c r="A793" s="9"/>
      <c r="B793" s="9"/>
      <c r="C793" s="9"/>
    </row>
    <row r="794" spans="1:3" ht="50.95" customHeight="1" x14ac:dyDescent="0.3">
      <c r="A794" s="9"/>
      <c r="B794" s="9"/>
      <c r="C794" s="9"/>
    </row>
    <row r="795" spans="1:3" ht="50.95" customHeight="1" x14ac:dyDescent="0.3">
      <c r="A795" s="9"/>
      <c r="B795" s="9"/>
      <c r="C795" s="9"/>
    </row>
    <row r="796" spans="1:3" ht="50.95" customHeight="1" x14ac:dyDescent="0.3">
      <c r="A796" s="9"/>
      <c r="B796" s="9"/>
      <c r="C796" s="9"/>
    </row>
    <row r="797" spans="1:3" ht="50.95" customHeight="1" x14ac:dyDescent="0.3">
      <c r="A797" s="9"/>
      <c r="B797" s="9"/>
      <c r="C797" s="9"/>
    </row>
    <row r="798" spans="1:3" ht="50.95" customHeight="1" x14ac:dyDescent="0.3">
      <c r="A798" s="9"/>
      <c r="B798" s="9"/>
      <c r="C798" s="9"/>
    </row>
    <row r="799" spans="1:3" ht="50.95" customHeight="1" x14ac:dyDescent="0.3">
      <c r="A799" s="9"/>
      <c r="B799" s="9"/>
      <c r="C799" s="9"/>
    </row>
    <row r="800" spans="1:3" ht="50.95" customHeight="1" x14ac:dyDescent="0.3">
      <c r="A800" s="9"/>
      <c r="B800" s="9"/>
      <c r="C800" s="9"/>
    </row>
    <row r="801" spans="1:3" ht="50.95" customHeight="1" x14ac:dyDescent="0.3">
      <c r="A801" s="9"/>
      <c r="B801" s="9"/>
      <c r="C801" s="9"/>
    </row>
    <row r="802" spans="1:3" ht="50.95" customHeight="1" x14ac:dyDescent="0.3">
      <c r="A802" s="9"/>
      <c r="B802" s="9"/>
      <c r="C802" s="9"/>
    </row>
    <row r="803" spans="1:3" ht="50.95" customHeight="1" x14ac:dyDescent="0.3">
      <c r="A803" s="9"/>
      <c r="B803" s="9"/>
      <c r="C803" s="9"/>
    </row>
    <row r="804" spans="1:3" ht="50.95" customHeight="1" x14ac:dyDescent="0.3">
      <c r="A804" s="9"/>
      <c r="B804" s="9"/>
      <c r="C804" s="9"/>
    </row>
    <row r="805" spans="1:3" ht="50.95" customHeight="1" x14ac:dyDescent="0.3">
      <c r="A805" s="9"/>
      <c r="B805" s="9"/>
      <c r="C805" s="9"/>
    </row>
    <row r="806" spans="1:3" ht="50.95" customHeight="1" x14ac:dyDescent="0.3">
      <c r="A806" s="9"/>
      <c r="B806" s="9"/>
      <c r="C806" s="9"/>
    </row>
    <row r="807" spans="1:3" ht="50.95" customHeight="1" x14ac:dyDescent="0.3">
      <c r="A807" s="9"/>
      <c r="B807" s="9"/>
      <c r="C807" s="9"/>
    </row>
    <row r="808" spans="1:3" ht="50.95" customHeight="1" x14ac:dyDescent="0.3">
      <c r="A808" s="9"/>
      <c r="B808" s="9"/>
      <c r="C808" s="9"/>
    </row>
    <row r="809" spans="1:3" ht="50.95" customHeight="1" x14ac:dyDescent="0.3">
      <c r="A809" s="9"/>
      <c r="B809" s="9"/>
      <c r="C809" s="9"/>
    </row>
    <row r="810" spans="1:3" ht="50.95" customHeight="1" x14ac:dyDescent="0.3">
      <c r="A810" s="9"/>
      <c r="B810" s="9"/>
      <c r="C810" s="9"/>
    </row>
    <row r="811" spans="1:3" ht="50.95" customHeight="1" x14ac:dyDescent="0.3">
      <c r="A811" s="9"/>
      <c r="B811" s="9"/>
      <c r="C811" s="9"/>
    </row>
    <row r="812" spans="1:3" ht="50.95" customHeight="1" x14ac:dyDescent="0.3">
      <c r="A812" s="9"/>
      <c r="B812" s="9"/>
      <c r="C812" s="9"/>
    </row>
    <row r="813" spans="1:3" ht="50.95" customHeight="1" x14ac:dyDescent="0.3">
      <c r="A813" s="9"/>
      <c r="B813" s="9"/>
      <c r="C813" s="9"/>
    </row>
    <row r="814" spans="1:3" ht="50.95" customHeight="1" x14ac:dyDescent="0.3">
      <c r="A814" s="9"/>
      <c r="B814" s="9"/>
      <c r="C814" s="9"/>
    </row>
    <row r="815" spans="1:3" ht="50.95" customHeight="1" x14ac:dyDescent="0.3">
      <c r="A815" s="9"/>
      <c r="B815" s="9"/>
      <c r="C815" s="9"/>
    </row>
    <row r="816" spans="1:3" ht="50.95" customHeight="1" x14ac:dyDescent="0.3">
      <c r="A816" s="9"/>
      <c r="B816" s="9"/>
      <c r="C816" s="9"/>
    </row>
    <row r="817" spans="1:3" ht="50.95" customHeight="1" x14ac:dyDescent="0.3">
      <c r="A817" s="9"/>
      <c r="B817" s="9"/>
      <c r="C817" s="9"/>
    </row>
    <row r="818" spans="1:3" ht="50.95" customHeight="1" x14ac:dyDescent="0.3">
      <c r="A818" s="9"/>
      <c r="B818" s="9"/>
      <c r="C818" s="9"/>
    </row>
    <row r="819" spans="1:3" ht="50.95" customHeight="1" x14ac:dyDescent="0.3">
      <c r="A819" s="9"/>
      <c r="B819" s="9"/>
      <c r="C819" s="9"/>
    </row>
    <row r="820" spans="1:3" ht="50.95" customHeight="1" x14ac:dyDescent="0.3">
      <c r="A820" s="9"/>
      <c r="B820" s="9"/>
      <c r="C820" s="9"/>
    </row>
    <row r="821" spans="1:3" ht="50.95" customHeight="1" x14ac:dyDescent="0.3">
      <c r="A821" s="9"/>
      <c r="B821" s="9"/>
      <c r="C821" s="9"/>
    </row>
    <row r="822" spans="1:3" ht="50.95" customHeight="1" x14ac:dyDescent="0.3">
      <c r="A822" s="9"/>
      <c r="B822" s="9"/>
      <c r="C822" s="9"/>
    </row>
    <row r="823" spans="1:3" ht="50.95" customHeight="1" x14ac:dyDescent="0.3">
      <c r="A823" s="9"/>
      <c r="B823" s="9"/>
      <c r="C823" s="9"/>
    </row>
    <row r="824" spans="1:3" ht="50.95" customHeight="1" x14ac:dyDescent="0.3">
      <c r="A824" s="9"/>
      <c r="B824" s="9"/>
      <c r="C824" s="9"/>
    </row>
    <row r="825" spans="1:3" ht="50.95" customHeight="1" x14ac:dyDescent="0.3">
      <c r="A825" s="9"/>
      <c r="B825" s="9"/>
      <c r="C825" s="9"/>
    </row>
    <row r="826" spans="1:3" ht="50.95" customHeight="1" x14ac:dyDescent="0.3">
      <c r="A826" s="9"/>
      <c r="B826" s="9"/>
      <c r="C826" s="9"/>
    </row>
    <row r="827" spans="1:3" ht="50.95" customHeight="1" x14ac:dyDescent="0.3">
      <c r="A827" s="9"/>
      <c r="B827" s="9"/>
      <c r="C827" s="9"/>
    </row>
    <row r="828" spans="1:3" ht="50.95" customHeight="1" x14ac:dyDescent="0.3">
      <c r="A828" s="9"/>
      <c r="B828" s="9"/>
      <c r="C828" s="9"/>
    </row>
    <row r="829" spans="1:3" ht="50.95" customHeight="1" x14ac:dyDescent="0.3">
      <c r="A829" s="9"/>
      <c r="B829" s="9"/>
      <c r="C829" s="9"/>
    </row>
    <row r="830" spans="1:3" ht="50.95" customHeight="1" x14ac:dyDescent="0.3">
      <c r="A830" s="9"/>
      <c r="B830" s="9"/>
      <c r="C830" s="9"/>
    </row>
    <row r="831" spans="1:3" ht="50.95" customHeight="1" x14ac:dyDescent="0.3">
      <c r="A831" s="9"/>
      <c r="B831" s="9"/>
      <c r="C831" s="9"/>
    </row>
    <row r="832" spans="1:3" ht="50.95" customHeight="1" x14ac:dyDescent="0.3">
      <c r="A832" s="9"/>
      <c r="B832" s="9"/>
      <c r="C832" s="9"/>
    </row>
    <row r="833" spans="1:3" ht="50.95" customHeight="1" x14ac:dyDescent="0.3">
      <c r="A833" s="9"/>
      <c r="B833" s="9"/>
      <c r="C833" s="9"/>
    </row>
    <row r="834" spans="1:3" ht="50.95" customHeight="1" x14ac:dyDescent="0.3">
      <c r="A834" s="9"/>
      <c r="B834" s="9"/>
      <c r="C834" s="9"/>
    </row>
    <row r="835" spans="1:3" ht="50.95" customHeight="1" x14ac:dyDescent="0.3">
      <c r="A835" s="9"/>
      <c r="B835" s="9"/>
      <c r="C835" s="9"/>
    </row>
    <row r="836" spans="1:3" ht="50.95" customHeight="1" x14ac:dyDescent="0.3">
      <c r="A836" s="9"/>
      <c r="B836" s="9"/>
      <c r="C836" s="9"/>
    </row>
    <row r="837" spans="1:3" ht="50.95" customHeight="1" x14ac:dyDescent="0.3">
      <c r="A837" s="9"/>
      <c r="B837" s="9"/>
      <c r="C837" s="9"/>
    </row>
    <row r="838" spans="1:3" ht="50.95" customHeight="1" x14ac:dyDescent="0.3">
      <c r="A838" s="9"/>
      <c r="B838" s="9"/>
      <c r="C838" s="9"/>
    </row>
    <row r="839" spans="1:3" ht="50.95" customHeight="1" x14ac:dyDescent="0.3">
      <c r="A839" s="9"/>
      <c r="B839" s="9"/>
      <c r="C839" s="9"/>
    </row>
    <row r="840" spans="1:3" ht="50.95" customHeight="1" x14ac:dyDescent="0.3">
      <c r="A840" s="9"/>
      <c r="B840" s="9"/>
      <c r="C840" s="9"/>
    </row>
    <row r="841" spans="1:3" ht="50.95" customHeight="1" x14ac:dyDescent="0.3">
      <c r="A841" s="9"/>
      <c r="B841" s="9"/>
      <c r="C841" s="9"/>
    </row>
    <row r="842" spans="1:3" ht="50.95" customHeight="1" x14ac:dyDescent="0.3">
      <c r="A842" s="9"/>
      <c r="B842" s="9"/>
      <c r="C842" s="9"/>
    </row>
    <row r="843" spans="1:3" ht="50.95" customHeight="1" x14ac:dyDescent="0.3">
      <c r="A843" s="9"/>
      <c r="B843" s="9"/>
      <c r="C843" s="9"/>
    </row>
    <row r="844" spans="1:3" ht="50.95" customHeight="1" x14ac:dyDescent="0.3">
      <c r="A844" s="9"/>
      <c r="B844" s="9"/>
      <c r="C844" s="9"/>
    </row>
    <row r="845" spans="1:3" ht="50.95" customHeight="1" x14ac:dyDescent="0.3">
      <c r="A845" s="9"/>
      <c r="B845" s="9"/>
      <c r="C845" s="9"/>
    </row>
    <row r="846" spans="1:3" ht="50.95" customHeight="1" x14ac:dyDescent="0.3">
      <c r="A846" s="9"/>
      <c r="B846" s="9"/>
      <c r="C846" s="9"/>
    </row>
    <row r="847" spans="1:3" ht="50.95" customHeight="1" x14ac:dyDescent="0.3">
      <c r="A847" s="9"/>
      <c r="B847" s="9"/>
      <c r="C847" s="9"/>
    </row>
    <row r="848" spans="1:3" ht="50.95" customHeight="1" x14ac:dyDescent="0.3">
      <c r="A848" s="9"/>
      <c r="B848" s="9"/>
      <c r="C848" s="9"/>
    </row>
    <row r="849" spans="1:3" ht="50.95" customHeight="1" x14ac:dyDescent="0.3">
      <c r="A849" s="9"/>
      <c r="B849" s="9"/>
      <c r="C849" s="9"/>
    </row>
    <row r="850" spans="1:3" ht="50.95" customHeight="1" x14ac:dyDescent="0.3">
      <c r="A850" s="9"/>
      <c r="B850" s="9"/>
      <c r="C850" s="9"/>
    </row>
    <row r="851" spans="1:3" ht="50.95" customHeight="1" x14ac:dyDescent="0.3">
      <c r="A851" s="9"/>
      <c r="B851" s="9"/>
      <c r="C851" s="9"/>
    </row>
    <row r="852" spans="1:3" ht="50.95" customHeight="1" x14ac:dyDescent="0.3">
      <c r="A852" s="9"/>
      <c r="B852" s="9"/>
      <c r="C852" s="9"/>
    </row>
    <row r="853" spans="1:3" ht="50.95" customHeight="1" x14ac:dyDescent="0.3">
      <c r="A853" s="9"/>
      <c r="B853" s="9"/>
      <c r="C853" s="9"/>
    </row>
    <row r="854" spans="1:3" ht="50.95" customHeight="1" x14ac:dyDescent="0.3">
      <c r="A854" s="9"/>
      <c r="B854" s="9"/>
      <c r="C854" s="9"/>
    </row>
    <row r="855" spans="1:3" ht="50.95" customHeight="1" x14ac:dyDescent="0.3">
      <c r="A855" s="9"/>
      <c r="B855" s="9"/>
      <c r="C855" s="9"/>
    </row>
    <row r="856" spans="1:3" ht="50.95" customHeight="1" x14ac:dyDescent="0.3">
      <c r="A856" s="9"/>
      <c r="B856" s="9"/>
      <c r="C856" s="9"/>
    </row>
    <row r="857" spans="1:3" ht="50.95" customHeight="1" x14ac:dyDescent="0.3">
      <c r="A857" s="9"/>
      <c r="B857" s="9"/>
      <c r="C857" s="9"/>
    </row>
    <row r="858" spans="1:3" ht="50.95" customHeight="1" x14ac:dyDescent="0.3">
      <c r="A858" s="9"/>
      <c r="B858" s="9"/>
      <c r="C858" s="9"/>
    </row>
    <row r="859" spans="1:3" ht="50.95" customHeight="1" x14ac:dyDescent="0.3">
      <c r="A859" s="9"/>
      <c r="B859" s="9"/>
      <c r="C859" s="9"/>
    </row>
    <row r="860" spans="1:3" ht="50.95" customHeight="1" x14ac:dyDescent="0.3">
      <c r="A860" s="9"/>
      <c r="B860" s="9"/>
      <c r="C860" s="9"/>
    </row>
    <row r="861" spans="1:3" ht="50.95" customHeight="1" x14ac:dyDescent="0.3">
      <c r="A861" s="9"/>
      <c r="B861" s="9"/>
      <c r="C861" s="9"/>
    </row>
    <row r="862" spans="1:3" ht="50.95" customHeight="1" x14ac:dyDescent="0.3">
      <c r="A862" s="9"/>
      <c r="B862" s="9"/>
      <c r="C862" s="9"/>
    </row>
    <row r="863" spans="1:3" ht="50.95" customHeight="1" x14ac:dyDescent="0.3">
      <c r="A863" s="9"/>
      <c r="B863" s="9"/>
      <c r="C863" s="9"/>
    </row>
    <row r="864" spans="1:3" ht="50.95" customHeight="1" x14ac:dyDescent="0.3">
      <c r="A864" s="9"/>
      <c r="B864" s="9"/>
      <c r="C864" s="9"/>
    </row>
    <row r="865" spans="1:3" ht="50.95" customHeight="1" x14ac:dyDescent="0.3">
      <c r="A865" s="9"/>
      <c r="B865" s="9"/>
      <c r="C865" s="9"/>
    </row>
    <row r="866" spans="1:3" ht="50.95" customHeight="1" x14ac:dyDescent="0.3">
      <c r="A866" s="9"/>
      <c r="B866" s="9"/>
      <c r="C866" s="9"/>
    </row>
    <row r="867" spans="1:3" ht="50.95" customHeight="1" x14ac:dyDescent="0.3">
      <c r="A867" s="9"/>
      <c r="B867" s="9"/>
      <c r="C867" s="9"/>
    </row>
    <row r="868" spans="1:3" ht="50.95" customHeight="1" x14ac:dyDescent="0.3">
      <c r="A868" s="9"/>
      <c r="B868" s="9"/>
      <c r="C868" s="9"/>
    </row>
    <row r="869" spans="1:3" ht="50.95" customHeight="1" x14ac:dyDescent="0.3">
      <c r="A869" s="9"/>
      <c r="B869" s="9"/>
      <c r="C869" s="9"/>
    </row>
    <row r="870" spans="1:3" ht="50.95" customHeight="1" x14ac:dyDescent="0.3">
      <c r="A870" s="9"/>
      <c r="B870" s="9"/>
      <c r="C870" s="9"/>
    </row>
    <row r="871" spans="1:3" ht="50.95" customHeight="1" x14ac:dyDescent="0.3">
      <c r="A871" s="9"/>
      <c r="B871" s="9"/>
      <c r="C871" s="9"/>
    </row>
    <row r="872" spans="1:3" ht="50.95" customHeight="1" x14ac:dyDescent="0.3">
      <c r="A872" s="9"/>
      <c r="B872" s="9"/>
      <c r="C872" s="9"/>
    </row>
    <row r="873" spans="1:3" ht="50.95" customHeight="1" x14ac:dyDescent="0.3">
      <c r="A873" s="9"/>
      <c r="B873" s="9"/>
      <c r="C873" s="9"/>
    </row>
    <row r="874" spans="1:3" ht="50.95" customHeight="1" x14ac:dyDescent="0.3">
      <c r="A874" s="9"/>
      <c r="B874" s="9"/>
      <c r="C874" s="9"/>
    </row>
    <row r="875" spans="1:3" ht="50.95" customHeight="1" x14ac:dyDescent="0.3">
      <c r="A875" s="9"/>
      <c r="B875" s="9"/>
      <c r="C875" s="9"/>
    </row>
    <row r="876" spans="1:3" ht="50.95" customHeight="1" x14ac:dyDescent="0.3">
      <c r="A876" s="9"/>
      <c r="B876" s="9"/>
      <c r="C876" s="9"/>
    </row>
    <row r="877" spans="1:3" ht="50.95" customHeight="1" x14ac:dyDescent="0.3">
      <c r="A877" s="9"/>
      <c r="B877" s="9"/>
      <c r="C877" s="9"/>
    </row>
    <row r="878" spans="1:3" ht="50.95" customHeight="1" x14ac:dyDescent="0.3">
      <c r="A878" s="9"/>
      <c r="B878" s="9"/>
      <c r="C878" s="9"/>
    </row>
    <row r="879" spans="1:3" ht="50.95" customHeight="1" x14ac:dyDescent="0.3">
      <c r="A879" s="9"/>
      <c r="B879" s="9"/>
      <c r="C879" s="9"/>
    </row>
    <row r="880" spans="1:3" ht="50.95" customHeight="1" x14ac:dyDescent="0.3">
      <c r="A880" s="9"/>
      <c r="B880" s="9"/>
      <c r="C880" s="9"/>
    </row>
    <row r="881" spans="1:3" ht="50.95" customHeight="1" x14ac:dyDescent="0.3">
      <c r="A881" s="9"/>
      <c r="B881" s="9"/>
      <c r="C881" s="9"/>
    </row>
    <row r="882" spans="1:3" ht="50.95" customHeight="1" x14ac:dyDescent="0.3">
      <c r="A882" s="9"/>
      <c r="B882" s="9"/>
      <c r="C882" s="9"/>
    </row>
    <row r="883" spans="1:3" ht="50.95" customHeight="1" x14ac:dyDescent="0.3">
      <c r="A883" s="9"/>
      <c r="B883" s="9"/>
      <c r="C883" s="9"/>
    </row>
    <row r="884" spans="1:3" ht="50.95" customHeight="1" x14ac:dyDescent="0.3">
      <c r="A884" s="9"/>
      <c r="B884" s="9"/>
      <c r="C884" s="9"/>
    </row>
    <row r="885" spans="1:3" ht="50.95" customHeight="1" x14ac:dyDescent="0.3">
      <c r="A885" s="9"/>
      <c r="B885" s="9"/>
      <c r="C885" s="9"/>
    </row>
    <row r="886" spans="1:3" ht="50.95" customHeight="1" x14ac:dyDescent="0.3">
      <c r="A886" s="9"/>
      <c r="B886" s="9"/>
      <c r="C886" s="9"/>
    </row>
    <row r="887" spans="1:3" ht="50.95" customHeight="1" x14ac:dyDescent="0.3">
      <c r="A887" s="9"/>
      <c r="B887" s="9"/>
      <c r="C887" s="9"/>
    </row>
    <row r="888" spans="1:3" ht="50.95" customHeight="1" x14ac:dyDescent="0.3">
      <c r="A888" s="9"/>
      <c r="B888" s="9"/>
      <c r="C888" s="9"/>
    </row>
    <row r="889" spans="1:3" ht="50.95" customHeight="1" x14ac:dyDescent="0.3">
      <c r="A889" s="9"/>
      <c r="B889" s="9"/>
      <c r="C889" s="9"/>
    </row>
    <row r="890" spans="1:3" ht="50.95" customHeight="1" x14ac:dyDescent="0.3">
      <c r="A890" s="9"/>
      <c r="B890" s="9"/>
      <c r="C890" s="9"/>
    </row>
    <row r="891" spans="1:3" ht="50.95" customHeight="1" x14ac:dyDescent="0.3">
      <c r="A891" s="9"/>
      <c r="B891" s="9"/>
      <c r="C891" s="9"/>
    </row>
    <row r="892" spans="1:3" ht="50.95" customHeight="1" x14ac:dyDescent="0.3">
      <c r="A892" s="9"/>
      <c r="B892" s="9"/>
      <c r="C892" s="9"/>
    </row>
    <row r="893" spans="1:3" ht="50.95" customHeight="1" x14ac:dyDescent="0.3">
      <c r="A893" s="9"/>
      <c r="B893" s="9"/>
      <c r="C893" s="9"/>
    </row>
    <row r="894" spans="1:3" ht="50.95" customHeight="1" x14ac:dyDescent="0.3">
      <c r="A894" s="9"/>
      <c r="B894" s="9"/>
      <c r="C894" s="9"/>
    </row>
    <row r="895" spans="1:3" ht="50.95" customHeight="1" x14ac:dyDescent="0.3">
      <c r="A895" s="9"/>
      <c r="B895" s="9"/>
      <c r="C895" s="9"/>
    </row>
    <row r="896" spans="1:3" ht="50.95" customHeight="1" x14ac:dyDescent="0.3">
      <c r="A896" s="9"/>
      <c r="B896" s="9"/>
      <c r="C896" s="9"/>
    </row>
    <row r="897" spans="1:3" ht="50.95" customHeight="1" x14ac:dyDescent="0.3">
      <c r="A897" s="9"/>
      <c r="B897" s="9"/>
      <c r="C897" s="9"/>
    </row>
    <row r="898" spans="1:3" ht="50.95" customHeight="1" x14ac:dyDescent="0.3">
      <c r="A898" s="9"/>
      <c r="B898" s="9"/>
      <c r="C898" s="9"/>
    </row>
    <row r="899" spans="1:3" ht="50.95" customHeight="1" x14ac:dyDescent="0.3">
      <c r="A899" s="9"/>
      <c r="B899" s="9"/>
      <c r="C899" s="9"/>
    </row>
    <row r="900" spans="1:3" ht="50.95" customHeight="1" x14ac:dyDescent="0.3">
      <c r="A900" s="9"/>
      <c r="B900" s="9"/>
      <c r="C900" s="9"/>
    </row>
    <row r="901" spans="1:3" ht="50.95" customHeight="1" x14ac:dyDescent="0.3">
      <c r="A901" s="9"/>
      <c r="B901" s="9"/>
      <c r="C901" s="9"/>
    </row>
    <row r="902" spans="1:3" ht="50.95" customHeight="1" x14ac:dyDescent="0.3">
      <c r="A902" s="9"/>
      <c r="B902" s="9"/>
      <c r="C902" s="9"/>
    </row>
    <row r="903" spans="1:3" ht="50.95" customHeight="1" x14ac:dyDescent="0.3">
      <c r="A903" s="9"/>
      <c r="B903" s="9"/>
      <c r="C903" s="9"/>
    </row>
    <row r="904" spans="1:3" ht="50.95" customHeight="1" x14ac:dyDescent="0.3">
      <c r="A904" s="9"/>
      <c r="B904" s="9"/>
      <c r="C904" s="9"/>
    </row>
    <row r="905" spans="1:3" ht="50.95" customHeight="1" x14ac:dyDescent="0.3">
      <c r="A905" s="9"/>
      <c r="B905" s="9"/>
      <c r="C905" s="9"/>
    </row>
    <row r="906" spans="1:3" ht="50.95" customHeight="1" x14ac:dyDescent="0.3">
      <c r="A906" s="9"/>
      <c r="B906" s="9"/>
      <c r="C906" s="9"/>
    </row>
  </sheetData>
  <mergeCells count="3">
    <mergeCell ref="A5:D5"/>
    <mergeCell ref="A6:D6"/>
    <mergeCell ref="A7:D7"/>
  </mergeCells>
  <pageMargins left="0.7" right="0.7" top="0.75" bottom="0.75" header="0.3" footer="0.3"/>
  <pageSetup paperSize="9" scale="74" fitToHeight="0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view="pageBreakPreview" zoomScale="93" zoomScaleNormal="100" zoomScaleSheetLayoutView="93" workbookViewId="0">
      <selection activeCell="A16" sqref="A16:XFD16"/>
    </sheetView>
  </sheetViews>
  <sheetFormatPr defaultRowHeight="17" outlineLevelRow="1" x14ac:dyDescent="0.25"/>
  <cols>
    <col min="1" max="1" width="29.125" style="172" customWidth="1"/>
    <col min="2" max="2" width="56.25" style="172" customWidth="1"/>
    <col min="3" max="3" width="19.375" style="636" customWidth="1"/>
    <col min="4" max="4" width="23.875" style="1" hidden="1" customWidth="1"/>
    <col min="5" max="5" width="19.375" style="1" hidden="1" customWidth="1"/>
    <col min="6" max="6" width="18.25" style="160" customWidth="1"/>
    <col min="7" max="7" width="19.625" style="160" customWidth="1"/>
    <col min="8" max="8" width="18.875" style="160" customWidth="1"/>
    <col min="9" max="10" width="9" style="160"/>
    <col min="11" max="192" width="9" style="1"/>
    <col min="193" max="193" width="26.375" style="1" customWidth="1"/>
    <col min="194" max="194" width="78.375" style="1" customWidth="1"/>
    <col min="195" max="195" width="19.625" style="1" customWidth="1"/>
    <col min="196" max="254" width="9" style="1"/>
    <col min="255" max="255" width="24.375" style="1" customWidth="1"/>
    <col min="256" max="256" width="78.375" style="1" customWidth="1"/>
    <col min="257" max="257" width="18.125" style="1" customWidth="1"/>
    <col min="258" max="258" width="7" style="1" customWidth="1"/>
    <col min="259" max="259" width="5.375" style="1" customWidth="1"/>
    <col min="260" max="448" width="9" style="1"/>
    <col min="449" max="449" width="26.375" style="1" customWidth="1"/>
    <col min="450" max="450" width="78.375" style="1" customWidth="1"/>
    <col min="451" max="451" width="19.625" style="1" customWidth="1"/>
    <col min="452" max="510" width="9" style="1"/>
    <col min="511" max="511" width="24.375" style="1" customWidth="1"/>
    <col min="512" max="512" width="78.375" style="1" customWidth="1"/>
    <col min="513" max="513" width="18.125" style="1" customWidth="1"/>
    <col min="514" max="514" width="7" style="1" customWidth="1"/>
    <col min="515" max="515" width="5.375" style="1" customWidth="1"/>
    <col min="516" max="704" width="9" style="1"/>
    <col min="705" max="705" width="26.375" style="1" customWidth="1"/>
    <col min="706" max="706" width="78.375" style="1" customWidth="1"/>
    <col min="707" max="707" width="19.625" style="1" customWidth="1"/>
    <col min="708" max="766" width="9" style="1"/>
    <col min="767" max="767" width="24.375" style="1" customWidth="1"/>
    <col min="768" max="768" width="78.375" style="1" customWidth="1"/>
    <col min="769" max="769" width="18.125" style="1" customWidth="1"/>
    <col min="770" max="770" width="7" style="1" customWidth="1"/>
    <col min="771" max="771" width="5.375" style="1" customWidth="1"/>
    <col min="772" max="960" width="9" style="1"/>
    <col min="961" max="961" width="26.375" style="1" customWidth="1"/>
    <col min="962" max="962" width="78.375" style="1" customWidth="1"/>
    <col min="963" max="963" width="19.625" style="1" customWidth="1"/>
    <col min="964" max="1022" width="9" style="1"/>
    <col min="1023" max="1023" width="24.375" style="1" customWidth="1"/>
    <col min="1024" max="1024" width="78.375" style="1" customWidth="1"/>
    <col min="1025" max="1025" width="18.125" style="1" customWidth="1"/>
    <col min="1026" max="1026" width="7" style="1" customWidth="1"/>
    <col min="1027" max="1027" width="5.375" style="1" customWidth="1"/>
    <col min="1028" max="1216" width="9" style="1"/>
    <col min="1217" max="1217" width="26.375" style="1" customWidth="1"/>
    <col min="1218" max="1218" width="78.375" style="1" customWidth="1"/>
    <col min="1219" max="1219" width="19.625" style="1" customWidth="1"/>
    <col min="1220" max="1278" width="9" style="1"/>
    <col min="1279" max="1279" width="24.375" style="1" customWidth="1"/>
    <col min="1280" max="1280" width="78.375" style="1" customWidth="1"/>
    <col min="1281" max="1281" width="18.125" style="1" customWidth="1"/>
    <col min="1282" max="1282" width="7" style="1" customWidth="1"/>
    <col min="1283" max="1283" width="5.375" style="1" customWidth="1"/>
    <col min="1284" max="1472" width="9" style="1"/>
    <col min="1473" max="1473" width="26.375" style="1" customWidth="1"/>
    <col min="1474" max="1474" width="78.375" style="1" customWidth="1"/>
    <col min="1475" max="1475" width="19.625" style="1" customWidth="1"/>
    <col min="1476" max="1534" width="9" style="1"/>
    <col min="1535" max="1535" width="24.375" style="1" customWidth="1"/>
    <col min="1536" max="1536" width="78.375" style="1" customWidth="1"/>
    <col min="1537" max="1537" width="18.125" style="1" customWidth="1"/>
    <col min="1538" max="1538" width="7" style="1" customWidth="1"/>
    <col min="1539" max="1539" width="5.375" style="1" customWidth="1"/>
    <col min="1540" max="1728" width="9" style="1"/>
    <col min="1729" max="1729" width="26.375" style="1" customWidth="1"/>
    <col min="1730" max="1730" width="78.375" style="1" customWidth="1"/>
    <col min="1731" max="1731" width="19.625" style="1" customWidth="1"/>
    <col min="1732" max="1790" width="9" style="1"/>
    <col min="1791" max="1791" width="24.375" style="1" customWidth="1"/>
    <col min="1792" max="1792" width="78.375" style="1" customWidth="1"/>
    <col min="1793" max="1793" width="18.125" style="1" customWidth="1"/>
    <col min="1794" max="1794" width="7" style="1" customWidth="1"/>
    <col min="1795" max="1795" width="5.375" style="1" customWidth="1"/>
    <col min="1796" max="1984" width="9" style="1"/>
    <col min="1985" max="1985" width="26.375" style="1" customWidth="1"/>
    <col min="1986" max="1986" width="78.375" style="1" customWidth="1"/>
    <col min="1987" max="1987" width="19.625" style="1" customWidth="1"/>
    <col min="1988" max="2046" width="9" style="1"/>
    <col min="2047" max="2047" width="24.375" style="1" customWidth="1"/>
    <col min="2048" max="2048" width="78.375" style="1" customWidth="1"/>
    <col min="2049" max="2049" width="18.125" style="1" customWidth="1"/>
    <col min="2050" max="2050" width="7" style="1" customWidth="1"/>
    <col min="2051" max="2051" width="5.375" style="1" customWidth="1"/>
    <col min="2052" max="2240" width="9" style="1"/>
    <col min="2241" max="2241" width="26.375" style="1" customWidth="1"/>
    <col min="2242" max="2242" width="78.375" style="1" customWidth="1"/>
    <col min="2243" max="2243" width="19.625" style="1" customWidth="1"/>
    <col min="2244" max="2302" width="9" style="1"/>
    <col min="2303" max="2303" width="24.375" style="1" customWidth="1"/>
    <col min="2304" max="2304" width="78.375" style="1" customWidth="1"/>
    <col min="2305" max="2305" width="18.125" style="1" customWidth="1"/>
    <col min="2306" max="2306" width="7" style="1" customWidth="1"/>
    <col min="2307" max="2307" width="5.375" style="1" customWidth="1"/>
    <col min="2308" max="2496" width="9" style="1"/>
    <col min="2497" max="2497" width="26.375" style="1" customWidth="1"/>
    <col min="2498" max="2498" width="78.375" style="1" customWidth="1"/>
    <col min="2499" max="2499" width="19.625" style="1" customWidth="1"/>
    <col min="2500" max="2558" width="9" style="1"/>
    <col min="2559" max="2559" width="24.375" style="1" customWidth="1"/>
    <col min="2560" max="2560" width="78.375" style="1" customWidth="1"/>
    <col min="2561" max="2561" width="18.125" style="1" customWidth="1"/>
    <col min="2562" max="2562" width="7" style="1" customWidth="1"/>
    <col min="2563" max="2563" width="5.375" style="1" customWidth="1"/>
    <col min="2564" max="2752" width="9" style="1"/>
    <col min="2753" max="2753" width="26.375" style="1" customWidth="1"/>
    <col min="2754" max="2754" width="78.375" style="1" customWidth="1"/>
    <col min="2755" max="2755" width="19.625" style="1" customWidth="1"/>
    <col min="2756" max="2814" width="9" style="1"/>
    <col min="2815" max="2815" width="24.375" style="1" customWidth="1"/>
    <col min="2816" max="2816" width="78.375" style="1" customWidth="1"/>
    <col min="2817" max="2817" width="18.125" style="1" customWidth="1"/>
    <col min="2818" max="2818" width="7" style="1" customWidth="1"/>
    <col min="2819" max="2819" width="5.375" style="1" customWidth="1"/>
    <col min="2820" max="3008" width="9" style="1"/>
    <col min="3009" max="3009" width="26.375" style="1" customWidth="1"/>
    <col min="3010" max="3010" width="78.375" style="1" customWidth="1"/>
    <col min="3011" max="3011" width="19.625" style="1" customWidth="1"/>
    <col min="3012" max="3070" width="9" style="1"/>
    <col min="3071" max="3071" width="24.375" style="1" customWidth="1"/>
    <col min="3072" max="3072" width="78.375" style="1" customWidth="1"/>
    <col min="3073" max="3073" width="18.125" style="1" customWidth="1"/>
    <col min="3074" max="3074" width="7" style="1" customWidth="1"/>
    <col min="3075" max="3075" width="5.375" style="1" customWidth="1"/>
    <col min="3076" max="3264" width="9" style="1"/>
    <col min="3265" max="3265" width="26.375" style="1" customWidth="1"/>
    <col min="3266" max="3266" width="78.375" style="1" customWidth="1"/>
    <col min="3267" max="3267" width="19.625" style="1" customWidth="1"/>
    <col min="3268" max="3326" width="9" style="1"/>
    <col min="3327" max="3327" width="24.375" style="1" customWidth="1"/>
    <col min="3328" max="3328" width="78.375" style="1" customWidth="1"/>
    <col min="3329" max="3329" width="18.125" style="1" customWidth="1"/>
    <col min="3330" max="3330" width="7" style="1" customWidth="1"/>
    <col min="3331" max="3331" width="5.375" style="1" customWidth="1"/>
    <col min="3332" max="3520" width="9" style="1"/>
    <col min="3521" max="3521" width="26.375" style="1" customWidth="1"/>
    <col min="3522" max="3522" width="78.375" style="1" customWidth="1"/>
    <col min="3523" max="3523" width="19.625" style="1" customWidth="1"/>
    <col min="3524" max="3582" width="9" style="1"/>
    <col min="3583" max="3583" width="24.375" style="1" customWidth="1"/>
    <col min="3584" max="3584" width="78.375" style="1" customWidth="1"/>
    <col min="3585" max="3585" width="18.125" style="1" customWidth="1"/>
    <col min="3586" max="3586" width="7" style="1" customWidth="1"/>
    <col min="3587" max="3587" width="5.375" style="1" customWidth="1"/>
    <col min="3588" max="3776" width="9" style="1"/>
    <col min="3777" max="3777" width="26.375" style="1" customWidth="1"/>
    <col min="3778" max="3778" width="78.375" style="1" customWidth="1"/>
    <col min="3779" max="3779" width="19.625" style="1" customWidth="1"/>
    <col min="3780" max="3838" width="9" style="1"/>
    <col min="3839" max="3839" width="24.375" style="1" customWidth="1"/>
    <col min="3840" max="3840" width="78.375" style="1" customWidth="1"/>
    <col min="3841" max="3841" width="18.125" style="1" customWidth="1"/>
    <col min="3842" max="3842" width="7" style="1" customWidth="1"/>
    <col min="3843" max="3843" width="5.375" style="1" customWidth="1"/>
    <col min="3844" max="4032" width="9" style="1"/>
    <col min="4033" max="4033" width="26.375" style="1" customWidth="1"/>
    <col min="4034" max="4034" width="78.375" style="1" customWidth="1"/>
    <col min="4035" max="4035" width="19.625" style="1" customWidth="1"/>
    <col min="4036" max="4094" width="9" style="1"/>
    <col min="4095" max="4095" width="24.375" style="1" customWidth="1"/>
    <col min="4096" max="4096" width="78.375" style="1" customWidth="1"/>
    <col min="4097" max="4097" width="18.125" style="1" customWidth="1"/>
    <col min="4098" max="4098" width="7" style="1" customWidth="1"/>
    <col min="4099" max="4099" width="5.375" style="1" customWidth="1"/>
    <col min="4100" max="4288" width="9" style="1"/>
    <col min="4289" max="4289" width="26.375" style="1" customWidth="1"/>
    <col min="4290" max="4290" width="78.375" style="1" customWidth="1"/>
    <col min="4291" max="4291" width="19.625" style="1" customWidth="1"/>
    <col min="4292" max="4350" width="9" style="1"/>
    <col min="4351" max="4351" width="24.375" style="1" customWidth="1"/>
    <col min="4352" max="4352" width="78.375" style="1" customWidth="1"/>
    <col min="4353" max="4353" width="18.125" style="1" customWidth="1"/>
    <col min="4354" max="4354" width="7" style="1" customWidth="1"/>
    <col min="4355" max="4355" width="5.375" style="1" customWidth="1"/>
    <col min="4356" max="4544" width="9" style="1"/>
    <col min="4545" max="4545" width="26.375" style="1" customWidth="1"/>
    <col min="4546" max="4546" width="78.375" style="1" customWidth="1"/>
    <col min="4547" max="4547" width="19.625" style="1" customWidth="1"/>
    <col min="4548" max="4606" width="9" style="1"/>
    <col min="4607" max="4607" width="24.375" style="1" customWidth="1"/>
    <col min="4608" max="4608" width="78.375" style="1" customWidth="1"/>
    <col min="4609" max="4609" width="18.125" style="1" customWidth="1"/>
    <col min="4610" max="4610" width="7" style="1" customWidth="1"/>
    <col min="4611" max="4611" width="5.375" style="1" customWidth="1"/>
    <col min="4612" max="4800" width="9" style="1"/>
    <col min="4801" max="4801" width="26.375" style="1" customWidth="1"/>
    <col min="4802" max="4802" width="78.375" style="1" customWidth="1"/>
    <col min="4803" max="4803" width="19.625" style="1" customWidth="1"/>
    <col min="4804" max="4862" width="9" style="1"/>
    <col min="4863" max="4863" width="24.375" style="1" customWidth="1"/>
    <col min="4864" max="4864" width="78.375" style="1" customWidth="1"/>
    <col min="4865" max="4865" width="18.125" style="1" customWidth="1"/>
    <col min="4866" max="4866" width="7" style="1" customWidth="1"/>
    <col min="4867" max="4867" width="5.375" style="1" customWidth="1"/>
    <col min="4868" max="5056" width="9" style="1"/>
    <col min="5057" max="5057" width="26.375" style="1" customWidth="1"/>
    <col min="5058" max="5058" width="78.375" style="1" customWidth="1"/>
    <col min="5059" max="5059" width="19.625" style="1" customWidth="1"/>
    <col min="5060" max="5118" width="9" style="1"/>
    <col min="5119" max="5119" width="24.375" style="1" customWidth="1"/>
    <col min="5120" max="5120" width="78.375" style="1" customWidth="1"/>
    <col min="5121" max="5121" width="18.125" style="1" customWidth="1"/>
    <col min="5122" max="5122" width="7" style="1" customWidth="1"/>
    <col min="5123" max="5123" width="5.375" style="1" customWidth="1"/>
    <col min="5124" max="5312" width="9" style="1"/>
    <col min="5313" max="5313" width="26.375" style="1" customWidth="1"/>
    <col min="5314" max="5314" width="78.375" style="1" customWidth="1"/>
    <col min="5315" max="5315" width="19.625" style="1" customWidth="1"/>
    <col min="5316" max="5374" width="9" style="1"/>
    <col min="5375" max="5375" width="24.375" style="1" customWidth="1"/>
    <col min="5376" max="5376" width="78.375" style="1" customWidth="1"/>
    <col min="5377" max="5377" width="18.125" style="1" customWidth="1"/>
    <col min="5378" max="5378" width="7" style="1" customWidth="1"/>
    <col min="5379" max="5379" width="5.375" style="1" customWidth="1"/>
    <col min="5380" max="5568" width="9" style="1"/>
    <col min="5569" max="5569" width="26.375" style="1" customWidth="1"/>
    <col min="5570" max="5570" width="78.375" style="1" customWidth="1"/>
    <col min="5571" max="5571" width="19.625" style="1" customWidth="1"/>
    <col min="5572" max="5630" width="9" style="1"/>
    <col min="5631" max="5631" width="24.375" style="1" customWidth="1"/>
    <col min="5632" max="5632" width="78.375" style="1" customWidth="1"/>
    <col min="5633" max="5633" width="18.125" style="1" customWidth="1"/>
    <col min="5634" max="5634" width="7" style="1" customWidth="1"/>
    <col min="5635" max="5635" width="5.375" style="1" customWidth="1"/>
    <col min="5636" max="5824" width="9" style="1"/>
    <col min="5825" max="5825" width="26.375" style="1" customWidth="1"/>
    <col min="5826" max="5826" width="78.375" style="1" customWidth="1"/>
    <col min="5827" max="5827" width="19.625" style="1" customWidth="1"/>
    <col min="5828" max="5886" width="9" style="1"/>
    <col min="5887" max="5887" width="24.375" style="1" customWidth="1"/>
    <col min="5888" max="5888" width="78.375" style="1" customWidth="1"/>
    <col min="5889" max="5889" width="18.125" style="1" customWidth="1"/>
    <col min="5890" max="5890" width="7" style="1" customWidth="1"/>
    <col min="5891" max="5891" width="5.375" style="1" customWidth="1"/>
    <col min="5892" max="6080" width="9" style="1"/>
    <col min="6081" max="6081" width="26.375" style="1" customWidth="1"/>
    <col min="6082" max="6082" width="78.375" style="1" customWidth="1"/>
    <col min="6083" max="6083" width="19.625" style="1" customWidth="1"/>
    <col min="6084" max="6142" width="9" style="1"/>
    <col min="6143" max="6143" width="24.375" style="1" customWidth="1"/>
    <col min="6144" max="6144" width="78.375" style="1" customWidth="1"/>
    <col min="6145" max="6145" width="18.125" style="1" customWidth="1"/>
    <col min="6146" max="6146" width="7" style="1" customWidth="1"/>
    <col min="6147" max="6147" width="5.375" style="1" customWidth="1"/>
    <col min="6148" max="6336" width="9" style="1"/>
    <col min="6337" max="6337" width="26.375" style="1" customWidth="1"/>
    <col min="6338" max="6338" width="78.375" style="1" customWidth="1"/>
    <col min="6339" max="6339" width="19.625" style="1" customWidth="1"/>
    <col min="6340" max="6398" width="9" style="1"/>
    <col min="6399" max="6399" width="24.375" style="1" customWidth="1"/>
    <col min="6400" max="6400" width="78.375" style="1" customWidth="1"/>
    <col min="6401" max="6401" width="18.125" style="1" customWidth="1"/>
    <col min="6402" max="6402" width="7" style="1" customWidth="1"/>
    <col min="6403" max="6403" width="5.375" style="1" customWidth="1"/>
    <col min="6404" max="6592" width="9" style="1"/>
    <col min="6593" max="6593" width="26.375" style="1" customWidth="1"/>
    <col min="6594" max="6594" width="78.375" style="1" customWidth="1"/>
    <col min="6595" max="6595" width="19.625" style="1" customWidth="1"/>
    <col min="6596" max="6654" width="9" style="1"/>
    <col min="6655" max="6655" width="24.375" style="1" customWidth="1"/>
    <col min="6656" max="6656" width="78.375" style="1" customWidth="1"/>
    <col min="6657" max="6657" width="18.125" style="1" customWidth="1"/>
    <col min="6658" max="6658" width="7" style="1" customWidth="1"/>
    <col min="6659" max="6659" width="5.375" style="1" customWidth="1"/>
    <col min="6660" max="6848" width="9" style="1"/>
    <col min="6849" max="6849" width="26.375" style="1" customWidth="1"/>
    <col min="6850" max="6850" width="78.375" style="1" customWidth="1"/>
    <col min="6851" max="6851" width="19.625" style="1" customWidth="1"/>
    <col min="6852" max="6910" width="9" style="1"/>
    <col min="6911" max="6911" width="24.375" style="1" customWidth="1"/>
    <col min="6912" max="6912" width="78.375" style="1" customWidth="1"/>
    <col min="6913" max="6913" width="18.125" style="1" customWidth="1"/>
    <col min="6914" max="6914" width="7" style="1" customWidth="1"/>
    <col min="6915" max="6915" width="5.375" style="1" customWidth="1"/>
    <col min="6916" max="7104" width="9" style="1"/>
    <col min="7105" max="7105" width="26.375" style="1" customWidth="1"/>
    <col min="7106" max="7106" width="78.375" style="1" customWidth="1"/>
    <col min="7107" max="7107" width="19.625" style="1" customWidth="1"/>
    <col min="7108" max="7166" width="9" style="1"/>
    <col min="7167" max="7167" width="24.375" style="1" customWidth="1"/>
    <col min="7168" max="7168" width="78.375" style="1" customWidth="1"/>
    <col min="7169" max="7169" width="18.125" style="1" customWidth="1"/>
    <col min="7170" max="7170" width="7" style="1" customWidth="1"/>
    <col min="7171" max="7171" width="5.375" style="1" customWidth="1"/>
    <col min="7172" max="7360" width="9" style="1"/>
    <col min="7361" max="7361" width="26.375" style="1" customWidth="1"/>
    <col min="7362" max="7362" width="78.375" style="1" customWidth="1"/>
    <col min="7363" max="7363" width="19.625" style="1" customWidth="1"/>
    <col min="7364" max="7422" width="9" style="1"/>
    <col min="7423" max="7423" width="24.375" style="1" customWidth="1"/>
    <col min="7424" max="7424" width="78.375" style="1" customWidth="1"/>
    <col min="7425" max="7425" width="18.125" style="1" customWidth="1"/>
    <col min="7426" max="7426" width="7" style="1" customWidth="1"/>
    <col min="7427" max="7427" width="5.375" style="1" customWidth="1"/>
    <col min="7428" max="7616" width="9" style="1"/>
    <col min="7617" max="7617" width="26.375" style="1" customWidth="1"/>
    <col min="7618" max="7618" width="78.375" style="1" customWidth="1"/>
    <col min="7619" max="7619" width="19.625" style="1" customWidth="1"/>
    <col min="7620" max="7678" width="9" style="1"/>
    <col min="7679" max="7679" width="24.375" style="1" customWidth="1"/>
    <col min="7680" max="7680" width="78.375" style="1" customWidth="1"/>
    <col min="7681" max="7681" width="18.125" style="1" customWidth="1"/>
    <col min="7682" max="7682" width="7" style="1" customWidth="1"/>
    <col min="7683" max="7683" width="5.375" style="1" customWidth="1"/>
    <col min="7684" max="7872" width="9" style="1"/>
    <col min="7873" max="7873" width="26.375" style="1" customWidth="1"/>
    <col min="7874" max="7874" width="78.375" style="1" customWidth="1"/>
    <col min="7875" max="7875" width="19.625" style="1" customWidth="1"/>
    <col min="7876" max="7934" width="9" style="1"/>
    <col min="7935" max="7935" width="24.375" style="1" customWidth="1"/>
    <col min="7936" max="7936" width="78.375" style="1" customWidth="1"/>
    <col min="7937" max="7937" width="18.125" style="1" customWidth="1"/>
    <col min="7938" max="7938" width="7" style="1" customWidth="1"/>
    <col min="7939" max="7939" width="5.375" style="1" customWidth="1"/>
    <col min="7940" max="8128" width="9" style="1"/>
    <col min="8129" max="8129" width="26.375" style="1" customWidth="1"/>
    <col min="8130" max="8130" width="78.375" style="1" customWidth="1"/>
    <col min="8131" max="8131" width="19.625" style="1" customWidth="1"/>
    <col min="8132" max="8190" width="9" style="1"/>
    <col min="8191" max="8191" width="24.375" style="1" customWidth="1"/>
    <col min="8192" max="8192" width="78.375" style="1" customWidth="1"/>
    <col min="8193" max="8193" width="18.125" style="1" customWidth="1"/>
    <col min="8194" max="8194" width="7" style="1" customWidth="1"/>
    <col min="8195" max="8195" width="5.375" style="1" customWidth="1"/>
    <col min="8196" max="8384" width="9" style="1"/>
    <col min="8385" max="8385" width="26.375" style="1" customWidth="1"/>
    <col min="8386" max="8386" width="78.375" style="1" customWidth="1"/>
    <col min="8387" max="8387" width="19.625" style="1" customWidth="1"/>
    <col min="8388" max="8446" width="9" style="1"/>
    <col min="8447" max="8447" width="24.375" style="1" customWidth="1"/>
    <col min="8448" max="8448" width="78.375" style="1" customWidth="1"/>
    <col min="8449" max="8449" width="18.125" style="1" customWidth="1"/>
    <col min="8450" max="8450" width="7" style="1" customWidth="1"/>
    <col min="8451" max="8451" width="5.375" style="1" customWidth="1"/>
    <col min="8452" max="8640" width="9" style="1"/>
    <col min="8641" max="8641" width="26.375" style="1" customWidth="1"/>
    <col min="8642" max="8642" width="78.375" style="1" customWidth="1"/>
    <col min="8643" max="8643" width="19.625" style="1" customWidth="1"/>
    <col min="8644" max="8702" width="9" style="1"/>
    <col min="8703" max="8703" width="24.375" style="1" customWidth="1"/>
    <col min="8704" max="8704" width="78.375" style="1" customWidth="1"/>
    <col min="8705" max="8705" width="18.125" style="1" customWidth="1"/>
    <col min="8706" max="8706" width="7" style="1" customWidth="1"/>
    <col min="8707" max="8707" width="5.375" style="1" customWidth="1"/>
    <col min="8708" max="8896" width="9" style="1"/>
    <col min="8897" max="8897" width="26.375" style="1" customWidth="1"/>
    <col min="8898" max="8898" width="78.375" style="1" customWidth="1"/>
    <col min="8899" max="8899" width="19.625" style="1" customWidth="1"/>
    <col min="8900" max="8958" width="9" style="1"/>
    <col min="8959" max="8959" width="24.375" style="1" customWidth="1"/>
    <col min="8960" max="8960" width="78.375" style="1" customWidth="1"/>
    <col min="8961" max="8961" width="18.125" style="1" customWidth="1"/>
    <col min="8962" max="8962" width="7" style="1" customWidth="1"/>
    <col min="8963" max="8963" width="5.375" style="1" customWidth="1"/>
    <col min="8964" max="9152" width="9" style="1"/>
    <col min="9153" max="9153" width="26.375" style="1" customWidth="1"/>
    <col min="9154" max="9154" width="78.375" style="1" customWidth="1"/>
    <col min="9155" max="9155" width="19.625" style="1" customWidth="1"/>
    <col min="9156" max="9214" width="9" style="1"/>
    <col min="9215" max="9215" width="24.375" style="1" customWidth="1"/>
    <col min="9216" max="9216" width="78.375" style="1" customWidth="1"/>
    <col min="9217" max="9217" width="18.125" style="1" customWidth="1"/>
    <col min="9218" max="9218" width="7" style="1" customWidth="1"/>
    <col min="9219" max="9219" width="5.375" style="1" customWidth="1"/>
    <col min="9220" max="9408" width="9" style="1"/>
    <col min="9409" max="9409" width="26.375" style="1" customWidth="1"/>
    <col min="9410" max="9410" width="78.375" style="1" customWidth="1"/>
    <col min="9411" max="9411" width="19.625" style="1" customWidth="1"/>
    <col min="9412" max="9470" width="9" style="1"/>
    <col min="9471" max="9471" width="24.375" style="1" customWidth="1"/>
    <col min="9472" max="9472" width="78.375" style="1" customWidth="1"/>
    <col min="9473" max="9473" width="18.125" style="1" customWidth="1"/>
    <col min="9474" max="9474" width="7" style="1" customWidth="1"/>
    <col min="9475" max="9475" width="5.375" style="1" customWidth="1"/>
    <col min="9476" max="9664" width="9" style="1"/>
    <col min="9665" max="9665" width="26.375" style="1" customWidth="1"/>
    <col min="9666" max="9666" width="78.375" style="1" customWidth="1"/>
    <col min="9667" max="9667" width="19.625" style="1" customWidth="1"/>
    <col min="9668" max="9726" width="9" style="1"/>
    <col min="9727" max="9727" width="24.375" style="1" customWidth="1"/>
    <col min="9728" max="9728" width="78.375" style="1" customWidth="1"/>
    <col min="9729" max="9729" width="18.125" style="1" customWidth="1"/>
    <col min="9730" max="9730" width="7" style="1" customWidth="1"/>
    <col min="9731" max="9731" width="5.375" style="1" customWidth="1"/>
    <col min="9732" max="9920" width="9" style="1"/>
    <col min="9921" max="9921" width="26.375" style="1" customWidth="1"/>
    <col min="9922" max="9922" width="78.375" style="1" customWidth="1"/>
    <col min="9923" max="9923" width="19.625" style="1" customWidth="1"/>
    <col min="9924" max="9982" width="9" style="1"/>
    <col min="9983" max="9983" width="24.375" style="1" customWidth="1"/>
    <col min="9984" max="9984" width="78.375" style="1" customWidth="1"/>
    <col min="9985" max="9985" width="18.125" style="1" customWidth="1"/>
    <col min="9986" max="9986" width="7" style="1" customWidth="1"/>
    <col min="9987" max="9987" width="5.375" style="1" customWidth="1"/>
    <col min="9988" max="10176" width="9" style="1"/>
    <col min="10177" max="10177" width="26.375" style="1" customWidth="1"/>
    <col min="10178" max="10178" width="78.375" style="1" customWidth="1"/>
    <col min="10179" max="10179" width="19.625" style="1" customWidth="1"/>
    <col min="10180" max="10238" width="9" style="1"/>
    <col min="10239" max="10239" width="24.375" style="1" customWidth="1"/>
    <col min="10240" max="10240" width="78.375" style="1" customWidth="1"/>
    <col min="10241" max="10241" width="18.125" style="1" customWidth="1"/>
    <col min="10242" max="10242" width="7" style="1" customWidth="1"/>
    <col min="10243" max="10243" width="5.375" style="1" customWidth="1"/>
    <col min="10244" max="10432" width="9" style="1"/>
    <col min="10433" max="10433" width="26.375" style="1" customWidth="1"/>
    <col min="10434" max="10434" width="78.375" style="1" customWidth="1"/>
    <col min="10435" max="10435" width="19.625" style="1" customWidth="1"/>
    <col min="10436" max="10494" width="9" style="1"/>
    <col min="10495" max="10495" width="24.375" style="1" customWidth="1"/>
    <col min="10496" max="10496" width="78.375" style="1" customWidth="1"/>
    <col min="10497" max="10497" width="18.125" style="1" customWidth="1"/>
    <col min="10498" max="10498" width="7" style="1" customWidth="1"/>
    <col min="10499" max="10499" width="5.375" style="1" customWidth="1"/>
    <col min="10500" max="10688" width="9" style="1"/>
    <col min="10689" max="10689" width="26.375" style="1" customWidth="1"/>
    <col min="10690" max="10690" width="78.375" style="1" customWidth="1"/>
    <col min="10691" max="10691" width="19.625" style="1" customWidth="1"/>
    <col min="10692" max="10750" width="9" style="1"/>
    <col min="10751" max="10751" width="24.375" style="1" customWidth="1"/>
    <col min="10752" max="10752" width="78.375" style="1" customWidth="1"/>
    <col min="10753" max="10753" width="18.125" style="1" customWidth="1"/>
    <col min="10754" max="10754" width="7" style="1" customWidth="1"/>
    <col min="10755" max="10755" width="5.375" style="1" customWidth="1"/>
    <col min="10756" max="10944" width="9" style="1"/>
    <col min="10945" max="10945" width="26.375" style="1" customWidth="1"/>
    <col min="10946" max="10946" width="78.375" style="1" customWidth="1"/>
    <col min="10947" max="10947" width="19.625" style="1" customWidth="1"/>
    <col min="10948" max="11006" width="9" style="1"/>
    <col min="11007" max="11007" width="24.375" style="1" customWidth="1"/>
    <col min="11008" max="11008" width="78.375" style="1" customWidth="1"/>
    <col min="11009" max="11009" width="18.125" style="1" customWidth="1"/>
    <col min="11010" max="11010" width="7" style="1" customWidth="1"/>
    <col min="11011" max="11011" width="5.375" style="1" customWidth="1"/>
    <col min="11012" max="11200" width="9" style="1"/>
    <col min="11201" max="11201" width="26.375" style="1" customWidth="1"/>
    <col min="11202" max="11202" width="78.375" style="1" customWidth="1"/>
    <col min="11203" max="11203" width="19.625" style="1" customWidth="1"/>
    <col min="11204" max="11262" width="9" style="1"/>
    <col min="11263" max="11263" width="24.375" style="1" customWidth="1"/>
    <col min="11264" max="11264" width="78.375" style="1" customWidth="1"/>
    <col min="11265" max="11265" width="18.125" style="1" customWidth="1"/>
    <col min="11266" max="11266" width="7" style="1" customWidth="1"/>
    <col min="11267" max="11267" width="5.375" style="1" customWidth="1"/>
    <col min="11268" max="11456" width="9" style="1"/>
    <col min="11457" max="11457" width="26.375" style="1" customWidth="1"/>
    <col min="11458" max="11458" width="78.375" style="1" customWidth="1"/>
    <col min="11459" max="11459" width="19.625" style="1" customWidth="1"/>
    <col min="11460" max="11518" width="9" style="1"/>
    <col min="11519" max="11519" width="24.375" style="1" customWidth="1"/>
    <col min="11520" max="11520" width="78.375" style="1" customWidth="1"/>
    <col min="11521" max="11521" width="18.125" style="1" customWidth="1"/>
    <col min="11522" max="11522" width="7" style="1" customWidth="1"/>
    <col min="11523" max="11523" width="5.375" style="1" customWidth="1"/>
    <col min="11524" max="11712" width="9" style="1"/>
    <col min="11713" max="11713" width="26.375" style="1" customWidth="1"/>
    <col min="11714" max="11714" width="78.375" style="1" customWidth="1"/>
    <col min="11715" max="11715" width="19.625" style="1" customWidth="1"/>
    <col min="11716" max="11774" width="9" style="1"/>
    <col min="11775" max="11775" width="24.375" style="1" customWidth="1"/>
    <col min="11776" max="11776" width="78.375" style="1" customWidth="1"/>
    <col min="11777" max="11777" width="18.125" style="1" customWidth="1"/>
    <col min="11778" max="11778" width="7" style="1" customWidth="1"/>
    <col min="11779" max="11779" width="5.375" style="1" customWidth="1"/>
    <col min="11780" max="11968" width="9" style="1"/>
    <col min="11969" max="11969" width="26.375" style="1" customWidth="1"/>
    <col min="11970" max="11970" width="78.375" style="1" customWidth="1"/>
    <col min="11971" max="11971" width="19.625" style="1" customWidth="1"/>
    <col min="11972" max="12030" width="9" style="1"/>
    <col min="12031" max="12031" width="24.375" style="1" customWidth="1"/>
    <col min="12032" max="12032" width="78.375" style="1" customWidth="1"/>
    <col min="12033" max="12033" width="18.125" style="1" customWidth="1"/>
    <col min="12034" max="12034" width="7" style="1" customWidth="1"/>
    <col min="12035" max="12035" width="5.375" style="1" customWidth="1"/>
    <col min="12036" max="12224" width="9" style="1"/>
    <col min="12225" max="12225" width="26.375" style="1" customWidth="1"/>
    <col min="12226" max="12226" width="78.375" style="1" customWidth="1"/>
    <col min="12227" max="12227" width="19.625" style="1" customWidth="1"/>
    <col min="12228" max="12286" width="9" style="1"/>
    <col min="12287" max="12287" width="24.375" style="1" customWidth="1"/>
    <col min="12288" max="12288" width="78.375" style="1" customWidth="1"/>
    <col min="12289" max="12289" width="18.125" style="1" customWidth="1"/>
    <col min="12290" max="12290" width="7" style="1" customWidth="1"/>
    <col min="12291" max="12291" width="5.375" style="1" customWidth="1"/>
    <col min="12292" max="12480" width="9" style="1"/>
    <col min="12481" max="12481" width="26.375" style="1" customWidth="1"/>
    <col min="12482" max="12482" width="78.375" style="1" customWidth="1"/>
    <col min="12483" max="12483" width="19.625" style="1" customWidth="1"/>
    <col min="12484" max="12542" width="9" style="1"/>
    <col min="12543" max="12543" width="24.375" style="1" customWidth="1"/>
    <col min="12544" max="12544" width="78.375" style="1" customWidth="1"/>
    <col min="12545" max="12545" width="18.125" style="1" customWidth="1"/>
    <col min="12546" max="12546" width="7" style="1" customWidth="1"/>
    <col min="12547" max="12547" width="5.375" style="1" customWidth="1"/>
    <col min="12548" max="12736" width="9" style="1"/>
    <col min="12737" max="12737" width="26.375" style="1" customWidth="1"/>
    <col min="12738" max="12738" width="78.375" style="1" customWidth="1"/>
    <col min="12739" max="12739" width="19.625" style="1" customWidth="1"/>
    <col min="12740" max="12798" width="9" style="1"/>
    <col min="12799" max="12799" width="24.375" style="1" customWidth="1"/>
    <col min="12800" max="12800" width="78.375" style="1" customWidth="1"/>
    <col min="12801" max="12801" width="18.125" style="1" customWidth="1"/>
    <col min="12802" max="12802" width="7" style="1" customWidth="1"/>
    <col min="12803" max="12803" width="5.375" style="1" customWidth="1"/>
    <col min="12804" max="12992" width="9" style="1"/>
    <col min="12993" max="12993" width="26.375" style="1" customWidth="1"/>
    <col min="12994" max="12994" width="78.375" style="1" customWidth="1"/>
    <col min="12995" max="12995" width="19.625" style="1" customWidth="1"/>
    <col min="12996" max="13054" width="9" style="1"/>
    <col min="13055" max="13055" width="24.375" style="1" customWidth="1"/>
    <col min="13056" max="13056" width="78.375" style="1" customWidth="1"/>
    <col min="13057" max="13057" width="18.125" style="1" customWidth="1"/>
    <col min="13058" max="13058" width="7" style="1" customWidth="1"/>
    <col min="13059" max="13059" width="5.375" style="1" customWidth="1"/>
    <col min="13060" max="13248" width="9" style="1"/>
    <col min="13249" max="13249" width="26.375" style="1" customWidth="1"/>
    <col min="13250" max="13250" width="78.375" style="1" customWidth="1"/>
    <col min="13251" max="13251" width="19.625" style="1" customWidth="1"/>
    <col min="13252" max="13310" width="9" style="1"/>
    <col min="13311" max="13311" width="24.375" style="1" customWidth="1"/>
    <col min="13312" max="13312" width="78.375" style="1" customWidth="1"/>
    <col min="13313" max="13313" width="18.125" style="1" customWidth="1"/>
    <col min="13314" max="13314" width="7" style="1" customWidth="1"/>
    <col min="13315" max="13315" width="5.375" style="1" customWidth="1"/>
    <col min="13316" max="13504" width="9" style="1"/>
    <col min="13505" max="13505" width="26.375" style="1" customWidth="1"/>
    <col min="13506" max="13506" width="78.375" style="1" customWidth="1"/>
    <col min="13507" max="13507" width="19.625" style="1" customWidth="1"/>
    <col min="13508" max="13566" width="9" style="1"/>
    <col min="13567" max="13567" width="24.375" style="1" customWidth="1"/>
    <col min="13568" max="13568" width="78.375" style="1" customWidth="1"/>
    <col min="13569" max="13569" width="18.125" style="1" customWidth="1"/>
    <col min="13570" max="13570" width="7" style="1" customWidth="1"/>
    <col min="13571" max="13571" width="5.375" style="1" customWidth="1"/>
    <col min="13572" max="13760" width="9" style="1"/>
    <col min="13761" max="13761" width="26.375" style="1" customWidth="1"/>
    <col min="13762" max="13762" width="78.375" style="1" customWidth="1"/>
    <col min="13763" max="13763" width="19.625" style="1" customWidth="1"/>
    <col min="13764" max="13822" width="9" style="1"/>
    <col min="13823" max="13823" width="24.375" style="1" customWidth="1"/>
    <col min="13824" max="13824" width="78.375" style="1" customWidth="1"/>
    <col min="13825" max="13825" width="18.125" style="1" customWidth="1"/>
    <col min="13826" max="13826" width="7" style="1" customWidth="1"/>
    <col min="13827" max="13827" width="5.375" style="1" customWidth="1"/>
    <col min="13828" max="14016" width="9" style="1"/>
    <col min="14017" max="14017" width="26.375" style="1" customWidth="1"/>
    <col min="14018" max="14018" width="78.375" style="1" customWidth="1"/>
    <col min="14019" max="14019" width="19.625" style="1" customWidth="1"/>
    <col min="14020" max="14078" width="9" style="1"/>
    <col min="14079" max="14079" width="24.375" style="1" customWidth="1"/>
    <col min="14080" max="14080" width="78.375" style="1" customWidth="1"/>
    <col min="14081" max="14081" width="18.125" style="1" customWidth="1"/>
    <col min="14082" max="14082" width="7" style="1" customWidth="1"/>
    <col min="14083" max="14083" width="5.375" style="1" customWidth="1"/>
    <col min="14084" max="14272" width="9" style="1"/>
    <col min="14273" max="14273" width="26.375" style="1" customWidth="1"/>
    <col min="14274" max="14274" width="78.375" style="1" customWidth="1"/>
    <col min="14275" max="14275" width="19.625" style="1" customWidth="1"/>
    <col min="14276" max="14334" width="9" style="1"/>
    <col min="14335" max="14335" width="24.375" style="1" customWidth="1"/>
    <col min="14336" max="14336" width="78.375" style="1" customWidth="1"/>
    <col min="14337" max="14337" width="18.125" style="1" customWidth="1"/>
    <col min="14338" max="14338" width="7" style="1" customWidth="1"/>
    <col min="14339" max="14339" width="5.375" style="1" customWidth="1"/>
    <col min="14340" max="14528" width="9" style="1"/>
    <col min="14529" max="14529" width="26.375" style="1" customWidth="1"/>
    <col min="14530" max="14530" width="78.375" style="1" customWidth="1"/>
    <col min="14531" max="14531" width="19.625" style="1" customWidth="1"/>
    <col min="14532" max="14590" width="9" style="1"/>
    <col min="14591" max="14591" width="24.375" style="1" customWidth="1"/>
    <col min="14592" max="14592" width="78.375" style="1" customWidth="1"/>
    <col min="14593" max="14593" width="18.125" style="1" customWidth="1"/>
    <col min="14594" max="14594" width="7" style="1" customWidth="1"/>
    <col min="14595" max="14595" width="5.375" style="1" customWidth="1"/>
    <col min="14596" max="14784" width="9" style="1"/>
    <col min="14785" max="14785" width="26.375" style="1" customWidth="1"/>
    <col min="14786" max="14786" width="78.375" style="1" customWidth="1"/>
    <col min="14787" max="14787" width="19.625" style="1" customWidth="1"/>
    <col min="14788" max="14846" width="9" style="1"/>
    <col min="14847" max="14847" width="24.375" style="1" customWidth="1"/>
    <col min="14848" max="14848" width="78.375" style="1" customWidth="1"/>
    <col min="14849" max="14849" width="18.125" style="1" customWidth="1"/>
    <col min="14850" max="14850" width="7" style="1" customWidth="1"/>
    <col min="14851" max="14851" width="5.375" style="1" customWidth="1"/>
    <col min="14852" max="15040" width="9" style="1"/>
    <col min="15041" max="15041" width="26.375" style="1" customWidth="1"/>
    <col min="15042" max="15042" width="78.375" style="1" customWidth="1"/>
    <col min="15043" max="15043" width="19.625" style="1" customWidth="1"/>
    <col min="15044" max="15102" width="9" style="1"/>
    <col min="15103" max="15103" width="24.375" style="1" customWidth="1"/>
    <col min="15104" max="15104" width="78.375" style="1" customWidth="1"/>
    <col min="15105" max="15105" width="18.125" style="1" customWidth="1"/>
    <col min="15106" max="15106" width="7" style="1" customWidth="1"/>
    <col min="15107" max="15107" width="5.375" style="1" customWidth="1"/>
    <col min="15108" max="15296" width="9" style="1"/>
    <col min="15297" max="15297" width="26.375" style="1" customWidth="1"/>
    <col min="15298" max="15298" width="78.375" style="1" customWidth="1"/>
    <col min="15299" max="15299" width="19.625" style="1" customWidth="1"/>
    <col min="15300" max="15358" width="9" style="1"/>
    <col min="15359" max="15359" width="24.375" style="1" customWidth="1"/>
    <col min="15360" max="15360" width="78.375" style="1" customWidth="1"/>
    <col min="15361" max="15361" width="18.125" style="1" customWidth="1"/>
    <col min="15362" max="15362" width="7" style="1" customWidth="1"/>
    <col min="15363" max="15363" width="5.375" style="1" customWidth="1"/>
    <col min="15364" max="15552" width="9" style="1"/>
    <col min="15553" max="15553" width="26.375" style="1" customWidth="1"/>
    <col min="15554" max="15554" width="78.375" style="1" customWidth="1"/>
    <col min="15555" max="15555" width="19.625" style="1" customWidth="1"/>
    <col min="15556" max="15614" width="9" style="1"/>
    <col min="15615" max="15615" width="24.375" style="1" customWidth="1"/>
    <col min="15616" max="15616" width="78.375" style="1" customWidth="1"/>
    <col min="15617" max="15617" width="18.125" style="1" customWidth="1"/>
    <col min="15618" max="15618" width="7" style="1" customWidth="1"/>
    <col min="15619" max="15619" width="5.375" style="1" customWidth="1"/>
    <col min="15620" max="15808" width="9" style="1"/>
    <col min="15809" max="15809" width="26.375" style="1" customWidth="1"/>
    <col min="15810" max="15810" width="78.375" style="1" customWidth="1"/>
    <col min="15811" max="15811" width="19.625" style="1" customWidth="1"/>
    <col min="15812" max="15870" width="9" style="1"/>
    <col min="15871" max="15871" width="24.375" style="1" customWidth="1"/>
    <col min="15872" max="15872" width="78.375" style="1" customWidth="1"/>
    <col min="15873" max="15873" width="18.125" style="1" customWidth="1"/>
    <col min="15874" max="15874" width="7" style="1" customWidth="1"/>
    <col min="15875" max="15875" width="5.375" style="1" customWidth="1"/>
    <col min="15876" max="16064" width="9" style="1"/>
    <col min="16065" max="16065" width="26.375" style="1" customWidth="1"/>
    <col min="16066" max="16066" width="78.375" style="1" customWidth="1"/>
    <col min="16067" max="16067" width="19.625" style="1" customWidth="1"/>
    <col min="16068" max="16126" width="9" style="1"/>
    <col min="16127" max="16127" width="24.375" style="1" customWidth="1"/>
    <col min="16128" max="16128" width="78.375" style="1" customWidth="1"/>
    <col min="16129" max="16129" width="18.125" style="1" customWidth="1"/>
    <col min="16130" max="16130" width="7" style="1" customWidth="1"/>
    <col min="16131" max="16131" width="5.375" style="1" customWidth="1"/>
    <col min="16132" max="16320" width="9" style="1"/>
    <col min="16321" max="16321" width="26.375" style="1" customWidth="1"/>
    <col min="16322" max="16322" width="78.375" style="1" customWidth="1"/>
    <col min="16323" max="16323" width="19.625" style="1" customWidth="1"/>
    <col min="16324" max="16384" width="9" style="1"/>
  </cols>
  <sheetData>
    <row r="1" spans="1:7" x14ac:dyDescent="0.25">
      <c r="C1" s="636" t="s">
        <v>1141</v>
      </c>
    </row>
    <row r="2" spans="1:7" x14ac:dyDescent="0.25">
      <c r="C2" s="258" t="s">
        <v>800</v>
      </c>
    </row>
    <row r="3" spans="1:7" x14ac:dyDescent="0.25">
      <c r="C3" s="258" t="s">
        <v>591</v>
      </c>
    </row>
    <row r="4" spans="1:7" x14ac:dyDescent="0.25">
      <c r="C4" s="636" t="s">
        <v>887</v>
      </c>
    </row>
    <row r="5" spans="1:7" ht="22.75" customHeight="1" x14ac:dyDescent="0.3">
      <c r="A5" s="644" t="s">
        <v>237</v>
      </c>
      <c r="B5" s="644"/>
      <c r="C5" s="644"/>
    </row>
    <row r="6" spans="1:7" ht="18.7" customHeight="1" x14ac:dyDescent="0.3">
      <c r="A6" s="645" t="s">
        <v>1115</v>
      </c>
      <c r="B6" s="645"/>
      <c r="C6" s="645"/>
    </row>
    <row r="7" spans="1:7" ht="16.5" customHeight="1" x14ac:dyDescent="0.25">
      <c r="C7" s="636" t="s">
        <v>382</v>
      </c>
    </row>
    <row r="8" spans="1:7" ht="52.5" customHeight="1" x14ac:dyDescent="0.25">
      <c r="A8" s="541" t="s">
        <v>159</v>
      </c>
      <c r="B8" s="173" t="s">
        <v>164</v>
      </c>
      <c r="C8" s="173" t="s">
        <v>698</v>
      </c>
      <c r="D8" s="175" t="s">
        <v>835</v>
      </c>
      <c r="E8" s="527" t="s">
        <v>836</v>
      </c>
      <c r="G8" s="528"/>
    </row>
    <row r="9" spans="1:7" ht="27.7" customHeight="1" x14ac:dyDescent="0.3">
      <c r="A9" s="542" t="s">
        <v>165</v>
      </c>
      <c r="B9" s="176" t="s">
        <v>166</v>
      </c>
      <c r="C9" s="432">
        <f>C10+C14+C19+C22+C24+C28+C30+C33+C36+C12+C37</f>
        <v>188713000</v>
      </c>
      <c r="D9" s="177">
        <f>D10+D12+D14+D19+D22+D24+D28+D30+D33+D36+D37</f>
        <v>426818000</v>
      </c>
      <c r="E9" s="190" t="e">
        <f>#REF!-D9</f>
        <v>#REF!</v>
      </c>
      <c r="G9" s="529"/>
    </row>
    <row r="10" spans="1:7" ht="29.25" customHeight="1" x14ac:dyDescent="0.3">
      <c r="A10" s="542" t="s">
        <v>167</v>
      </c>
      <c r="B10" s="180" t="s">
        <v>168</v>
      </c>
      <c r="C10" s="538">
        <f>SUM(C11:C11)</f>
        <v>122270000</v>
      </c>
      <c r="D10" s="181">
        <f>D11</f>
        <v>340274000</v>
      </c>
      <c r="E10" s="190" t="e">
        <f>#REF!-D10</f>
        <v>#REF!</v>
      </c>
      <c r="G10" s="530"/>
    </row>
    <row r="11" spans="1:7" ht="28.55" customHeight="1" x14ac:dyDescent="0.3">
      <c r="A11" s="542" t="s">
        <v>169</v>
      </c>
      <c r="B11" s="180" t="s">
        <v>170</v>
      </c>
      <c r="C11" s="538">
        <v>122270000</v>
      </c>
      <c r="D11" s="182">
        <v>340274000</v>
      </c>
      <c r="E11" s="190" t="e">
        <f>#REF!-D11</f>
        <v>#REF!</v>
      </c>
      <c r="G11" s="530"/>
    </row>
    <row r="12" spans="1:7" ht="56.25" customHeight="1" x14ac:dyDescent="0.3">
      <c r="A12" s="542" t="s">
        <v>171</v>
      </c>
      <c r="B12" s="180" t="s">
        <v>441</v>
      </c>
      <c r="C12" s="538">
        <f>C13</f>
        <v>15908000</v>
      </c>
      <c r="D12" s="182">
        <f>D13</f>
        <v>13057000</v>
      </c>
      <c r="E12" s="190" t="e">
        <f>#REF!-D12</f>
        <v>#REF!</v>
      </c>
      <c r="G12" s="530"/>
    </row>
    <row r="13" spans="1:7" ht="39.75" customHeight="1" x14ac:dyDescent="0.3">
      <c r="A13" s="542" t="s">
        <v>172</v>
      </c>
      <c r="B13" s="180" t="s">
        <v>173</v>
      </c>
      <c r="C13" s="538">
        <v>15908000</v>
      </c>
      <c r="D13" s="182">
        <v>13057000</v>
      </c>
      <c r="E13" s="190" t="e">
        <f>#REF!-D13</f>
        <v>#REF!</v>
      </c>
      <c r="G13" s="530"/>
    </row>
    <row r="14" spans="1:7" ht="20.25" customHeight="1" x14ac:dyDescent="0.3">
      <c r="A14" s="542" t="s">
        <v>174</v>
      </c>
      <c r="B14" s="180" t="s">
        <v>175</v>
      </c>
      <c r="C14" s="538">
        <f>C15+C16+C17+C18</f>
        <v>8600000</v>
      </c>
      <c r="D14" s="182">
        <f>D15+D17+D18</f>
        <v>25450000</v>
      </c>
      <c r="E14" s="190" t="e">
        <f>#REF!-D14</f>
        <v>#REF!</v>
      </c>
      <c r="G14" s="530"/>
    </row>
    <row r="15" spans="1:7" ht="37.549999999999997" customHeight="1" x14ac:dyDescent="0.3">
      <c r="A15" s="542" t="s">
        <v>428</v>
      </c>
      <c r="B15" s="180" t="s">
        <v>429</v>
      </c>
      <c r="C15" s="538">
        <v>1400000</v>
      </c>
      <c r="D15" s="182">
        <v>16500000</v>
      </c>
      <c r="E15" s="190" t="e">
        <f>#REF!-D15</f>
        <v>#REF!</v>
      </c>
      <c r="G15" s="530"/>
    </row>
    <row r="16" spans="1:7" ht="35.5" hidden="1" customHeight="1" x14ac:dyDescent="0.3">
      <c r="A16" s="542" t="s">
        <v>601</v>
      </c>
      <c r="B16" s="180" t="s">
        <v>891</v>
      </c>
      <c r="C16" s="538">
        <v>0</v>
      </c>
      <c r="D16" s="183">
        <v>0</v>
      </c>
      <c r="E16" s="190" t="e">
        <f>#REF!-D16</f>
        <v>#REF!</v>
      </c>
      <c r="G16" s="530"/>
    </row>
    <row r="17" spans="1:7" ht="29.9" customHeight="1" x14ac:dyDescent="0.3">
      <c r="A17" s="542" t="s">
        <v>176</v>
      </c>
      <c r="B17" s="180" t="s">
        <v>177</v>
      </c>
      <c r="C17" s="538">
        <v>2500000</v>
      </c>
      <c r="D17" s="182">
        <v>1250000</v>
      </c>
      <c r="E17" s="190" t="e">
        <f>#REF!-D17</f>
        <v>#REF!</v>
      </c>
      <c r="G17" s="530"/>
    </row>
    <row r="18" spans="1:7" ht="55.2" customHeight="1" x14ac:dyDescent="0.3">
      <c r="A18" s="542" t="s">
        <v>663</v>
      </c>
      <c r="B18" s="180" t="s">
        <v>549</v>
      </c>
      <c r="C18" s="538">
        <v>4700000</v>
      </c>
      <c r="D18" s="182">
        <v>7700000</v>
      </c>
      <c r="E18" s="190" t="e">
        <f>#REF!-D18</f>
        <v>#REF!</v>
      </c>
      <c r="G18" s="530"/>
    </row>
    <row r="19" spans="1:7" ht="26.5" customHeight="1" x14ac:dyDescent="0.3">
      <c r="A19" s="542" t="s">
        <v>431</v>
      </c>
      <c r="B19" s="180" t="s">
        <v>432</v>
      </c>
      <c r="C19" s="538">
        <f>C20+C21</f>
        <v>15600000</v>
      </c>
      <c r="D19" s="182">
        <f>D20+D21</f>
        <v>27500000</v>
      </c>
      <c r="E19" s="190" t="e">
        <f>#REF!-D19</f>
        <v>#REF!</v>
      </c>
      <c r="G19" s="530"/>
    </row>
    <row r="20" spans="1:7" ht="53.5" customHeight="1" x14ac:dyDescent="0.3">
      <c r="A20" s="542" t="s">
        <v>578</v>
      </c>
      <c r="B20" s="180" t="s">
        <v>550</v>
      </c>
      <c r="C20" s="538">
        <v>4600000</v>
      </c>
      <c r="D20" s="182">
        <v>4500000</v>
      </c>
      <c r="E20" s="190" t="e">
        <f>#REF!-D20</f>
        <v>#REF!</v>
      </c>
      <c r="G20" s="530"/>
    </row>
    <row r="21" spans="1:7" ht="34" customHeight="1" x14ac:dyDescent="0.3">
      <c r="A21" s="542" t="s">
        <v>434</v>
      </c>
      <c r="B21" s="180" t="s">
        <v>433</v>
      </c>
      <c r="C21" s="538">
        <v>11000000</v>
      </c>
      <c r="D21" s="182">
        <v>23000000</v>
      </c>
      <c r="E21" s="190" t="e">
        <f>#REF!-D21</f>
        <v>#REF!</v>
      </c>
      <c r="G21" s="530"/>
    </row>
    <row r="22" spans="1:7" ht="23.3" customHeight="1" x14ac:dyDescent="0.3">
      <c r="A22" s="542" t="s">
        <v>178</v>
      </c>
      <c r="B22" s="180" t="s">
        <v>179</v>
      </c>
      <c r="C22" s="538">
        <f>C23</f>
        <v>2500000</v>
      </c>
      <c r="D22" s="182">
        <f>D23</f>
        <v>2300000</v>
      </c>
      <c r="E22" s="190" t="e">
        <f>#REF!-D22</f>
        <v>#REF!</v>
      </c>
      <c r="G22" s="530"/>
    </row>
    <row r="23" spans="1:7" ht="66.25" customHeight="1" x14ac:dyDescent="0.3">
      <c r="A23" s="542" t="s">
        <v>435</v>
      </c>
      <c r="B23" s="180" t="s">
        <v>436</v>
      </c>
      <c r="C23" s="538">
        <v>2500000</v>
      </c>
      <c r="D23" s="182">
        <v>2300000</v>
      </c>
      <c r="E23" s="190" t="e">
        <f>#REF!-D23</f>
        <v>#REF!</v>
      </c>
      <c r="G23" s="530"/>
    </row>
    <row r="24" spans="1:7" ht="55.55" customHeight="1" x14ac:dyDescent="0.3">
      <c r="A24" s="542" t="s">
        <v>180</v>
      </c>
      <c r="B24" s="185" t="s">
        <v>181</v>
      </c>
      <c r="C24" s="538">
        <f>SUM(C25:C27)</f>
        <v>19340000</v>
      </c>
      <c r="D24" s="182">
        <f>D25+D26+D27</f>
        <v>15090000</v>
      </c>
      <c r="E24" s="190" t="e">
        <f>#REF!-D24</f>
        <v>#REF!</v>
      </c>
      <c r="G24" s="530"/>
    </row>
    <row r="25" spans="1:7" ht="107.5" customHeight="1" x14ac:dyDescent="0.3">
      <c r="A25" s="542" t="s">
        <v>546</v>
      </c>
      <c r="B25" s="180" t="s">
        <v>551</v>
      </c>
      <c r="C25" s="538">
        <v>10550000</v>
      </c>
      <c r="D25" s="182">
        <v>10500000</v>
      </c>
      <c r="E25" s="190" t="e">
        <f>#REF!-D25</f>
        <v>#REF!</v>
      </c>
      <c r="G25" s="530"/>
    </row>
    <row r="26" spans="1:7" ht="54" customHeight="1" x14ac:dyDescent="0.3">
      <c r="A26" s="542" t="s">
        <v>547</v>
      </c>
      <c r="B26" s="180" t="s">
        <v>552</v>
      </c>
      <c r="C26" s="538">
        <f>2490000</f>
        <v>2490000</v>
      </c>
      <c r="D26" s="182">
        <v>2990000</v>
      </c>
      <c r="E26" s="190" t="e">
        <f>#REF!-D26</f>
        <v>#REF!</v>
      </c>
      <c r="G26" s="530"/>
    </row>
    <row r="27" spans="1:7" ht="101.25" customHeight="1" x14ac:dyDescent="0.3">
      <c r="A27" s="542" t="s">
        <v>548</v>
      </c>
      <c r="B27" s="180" t="s">
        <v>553</v>
      </c>
      <c r="C27" s="538">
        <f>3200000+3100000</f>
        <v>6300000</v>
      </c>
      <c r="D27" s="182">
        <v>1600000</v>
      </c>
      <c r="E27" s="190" t="e">
        <f>#REF!-D27</f>
        <v>#REF!</v>
      </c>
      <c r="G27" s="530"/>
    </row>
    <row r="28" spans="1:7" ht="38.049999999999997" customHeight="1" x14ac:dyDescent="0.3">
      <c r="A28" s="542" t="s">
        <v>182</v>
      </c>
      <c r="B28" s="185" t="s">
        <v>183</v>
      </c>
      <c r="C28" s="538">
        <f>SUM(C29:C29)</f>
        <v>124000</v>
      </c>
      <c r="D28" s="182">
        <f>D29</f>
        <v>163000</v>
      </c>
      <c r="E28" s="190" t="e">
        <f>#REF!-D28</f>
        <v>#REF!</v>
      </c>
      <c r="G28" s="530"/>
    </row>
    <row r="29" spans="1:7" ht="32.299999999999997" customHeight="1" x14ac:dyDescent="0.3">
      <c r="A29" s="542" t="s">
        <v>184</v>
      </c>
      <c r="B29" s="180" t="s">
        <v>185</v>
      </c>
      <c r="C29" s="538">
        <v>124000</v>
      </c>
      <c r="D29" s="182">
        <v>163000</v>
      </c>
      <c r="E29" s="190" t="e">
        <f>#REF!-D29</f>
        <v>#REF!</v>
      </c>
      <c r="G29" s="530"/>
    </row>
    <row r="30" spans="1:7" ht="37.549999999999997" customHeight="1" x14ac:dyDescent="0.3">
      <c r="A30" s="542" t="s">
        <v>186</v>
      </c>
      <c r="B30" s="180" t="s">
        <v>892</v>
      </c>
      <c r="C30" s="538">
        <f>C31</f>
        <v>636000</v>
      </c>
      <c r="D30" s="182">
        <f>D31</f>
        <v>742000</v>
      </c>
      <c r="E30" s="190" t="e">
        <f>#REF!-D30</f>
        <v>#REF!</v>
      </c>
      <c r="G30" s="530"/>
    </row>
    <row r="31" spans="1:7" ht="58.75" customHeight="1" x14ac:dyDescent="0.3">
      <c r="A31" s="542" t="s">
        <v>569</v>
      </c>
      <c r="B31" s="180" t="s">
        <v>554</v>
      </c>
      <c r="C31" s="538">
        <v>636000</v>
      </c>
      <c r="D31" s="182">
        <v>742000</v>
      </c>
      <c r="E31" s="190" t="e">
        <f>#REF!-D31</f>
        <v>#REF!</v>
      </c>
      <c r="G31" s="530"/>
    </row>
    <row r="32" spans="1:7" ht="37.4" hidden="1" customHeight="1" x14ac:dyDescent="0.3">
      <c r="A32" s="542" t="s">
        <v>1079</v>
      </c>
      <c r="B32" s="180" t="s">
        <v>1116</v>
      </c>
      <c r="C32" s="539">
        <v>0</v>
      </c>
      <c r="D32" s="182"/>
      <c r="E32" s="190"/>
      <c r="G32" s="531"/>
    </row>
    <row r="33" spans="1:7" ht="39.25" customHeight="1" x14ac:dyDescent="0.3">
      <c r="A33" s="542" t="s">
        <v>187</v>
      </c>
      <c r="B33" s="180" t="s">
        <v>188</v>
      </c>
      <c r="C33" s="538">
        <f>C34+C35</f>
        <v>2600000</v>
      </c>
      <c r="D33" s="182">
        <f>D34+D35</f>
        <v>1600000</v>
      </c>
      <c r="E33" s="190" t="e">
        <f>#REF!-D33</f>
        <v>#REF!</v>
      </c>
      <c r="G33" s="530"/>
    </row>
    <row r="34" spans="1:7" ht="99.7" customHeight="1" x14ac:dyDescent="0.3">
      <c r="A34" s="542" t="s">
        <v>664</v>
      </c>
      <c r="B34" s="180" t="s">
        <v>665</v>
      </c>
      <c r="C34" s="538">
        <v>1000000</v>
      </c>
      <c r="D34" s="182">
        <v>1000000</v>
      </c>
      <c r="E34" s="190" t="e">
        <f>#REF!-D34</f>
        <v>#REF!</v>
      </c>
      <c r="G34" s="530"/>
    </row>
    <row r="35" spans="1:7" ht="68.3" customHeight="1" x14ac:dyDescent="0.3">
      <c r="A35" s="542" t="s">
        <v>571</v>
      </c>
      <c r="B35" s="180" t="s">
        <v>556</v>
      </c>
      <c r="C35" s="538">
        <v>1600000</v>
      </c>
      <c r="D35" s="182">
        <v>600000</v>
      </c>
      <c r="E35" s="190" t="e">
        <f>#REF!-D35</f>
        <v>#REF!</v>
      </c>
      <c r="G35" s="530"/>
    </row>
    <row r="36" spans="1:7" ht="27" customHeight="1" outlineLevel="1" x14ac:dyDescent="0.3">
      <c r="A36" s="542" t="s">
        <v>189</v>
      </c>
      <c r="B36" s="185" t="s">
        <v>190</v>
      </c>
      <c r="C36" s="538">
        <v>1000000</v>
      </c>
      <c r="D36" s="182">
        <v>550000</v>
      </c>
      <c r="E36" s="190" t="e">
        <f>#REF!-D36</f>
        <v>#REF!</v>
      </c>
      <c r="G36" s="530"/>
    </row>
    <row r="37" spans="1:7" ht="23.95" customHeight="1" outlineLevel="1" x14ac:dyDescent="0.3">
      <c r="A37" s="542" t="s">
        <v>437</v>
      </c>
      <c r="B37" s="185" t="s">
        <v>438</v>
      </c>
      <c r="C37" s="162">
        <f>C38</f>
        <v>135000</v>
      </c>
      <c r="D37" s="182">
        <f>D38</f>
        <v>92000</v>
      </c>
      <c r="E37" s="190" t="e">
        <f>#REF!-D37</f>
        <v>#REF!</v>
      </c>
      <c r="G37" s="532"/>
    </row>
    <row r="38" spans="1:7" ht="21.75" customHeight="1" outlineLevel="1" x14ac:dyDescent="0.3">
      <c r="A38" s="542" t="s">
        <v>572</v>
      </c>
      <c r="B38" s="180" t="s">
        <v>557</v>
      </c>
      <c r="C38" s="162">
        <v>135000</v>
      </c>
      <c r="D38" s="182">
        <v>92000</v>
      </c>
      <c r="E38" s="190" t="e">
        <f>#REF!-D38</f>
        <v>#REF!</v>
      </c>
      <c r="G38" s="532"/>
    </row>
    <row r="39" spans="1:7" ht="27" customHeight="1" outlineLevel="1" x14ac:dyDescent="0.3">
      <c r="A39" s="543" t="s">
        <v>191</v>
      </c>
      <c r="B39" s="186" t="s">
        <v>192</v>
      </c>
      <c r="C39" s="244">
        <f>C40+C74+C76</f>
        <v>964721529.25</v>
      </c>
      <c r="D39" s="187" t="e">
        <f>D40</f>
        <v>#REF!</v>
      </c>
      <c r="E39" s="190" t="e">
        <f>#REF!-D39</f>
        <v>#REF!</v>
      </c>
      <c r="G39" s="533"/>
    </row>
    <row r="40" spans="1:7" ht="58.75" customHeight="1" x14ac:dyDescent="0.3">
      <c r="A40" s="544" t="s">
        <v>193</v>
      </c>
      <c r="B40" s="189" t="s">
        <v>239</v>
      </c>
      <c r="C40" s="217">
        <f>C45+C58+C70+C41</f>
        <v>964721529.25</v>
      </c>
      <c r="D40" s="190" t="e">
        <f>D45+D58+D70</f>
        <v>#REF!</v>
      </c>
      <c r="E40" s="190" t="e">
        <f>#REF!-D40</f>
        <v>#REF!</v>
      </c>
      <c r="G40" s="534"/>
    </row>
    <row r="41" spans="1:7" ht="37.549999999999997" customHeight="1" x14ac:dyDescent="0.3">
      <c r="A41" s="543" t="s">
        <v>634</v>
      </c>
      <c r="B41" s="186" t="s">
        <v>635</v>
      </c>
      <c r="C41" s="244">
        <f>C42+C44+C43</f>
        <v>306093066</v>
      </c>
      <c r="D41" s="187">
        <v>0</v>
      </c>
      <c r="E41" s="190" t="e">
        <f>#REF!-D41</f>
        <v>#REF!</v>
      </c>
      <c r="F41" s="159"/>
      <c r="G41" s="529"/>
    </row>
    <row r="42" spans="1:7" ht="57.75" customHeight="1" x14ac:dyDescent="0.3">
      <c r="A42" s="544" t="s">
        <v>889</v>
      </c>
      <c r="B42" s="189" t="s">
        <v>890</v>
      </c>
      <c r="C42" s="540">
        <v>306093066</v>
      </c>
      <c r="D42" s="190">
        <v>0</v>
      </c>
      <c r="E42" s="190" t="e">
        <f>#REF!-D42</f>
        <v>#REF!</v>
      </c>
      <c r="G42" s="535"/>
    </row>
    <row r="43" spans="1:7" ht="57.75" hidden="1" customHeight="1" x14ac:dyDescent="0.3">
      <c r="A43" s="544" t="s">
        <v>650</v>
      </c>
      <c r="B43" s="189" t="s">
        <v>649</v>
      </c>
      <c r="C43" s="433">
        <v>0</v>
      </c>
      <c r="D43" s="190"/>
      <c r="E43" s="190"/>
      <c r="G43" s="536"/>
    </row>
    <row r="44" spans="1:7" ht="27" hidden="1" customHeight="1" x14ac:dyDescent="0.3">
      <c r="A44" s="544" t="s">
        <v>636</v>
      </c>
      <c r="B44" s="189" t="s">
        <v>637</v>
      </c>
      <c r="C44" s="217">
        <v>0</v>
      </c>
      <c r="D44" s="190">
        <v>0</v>
      </c>
      <c r="E44" s="190" t="e">
        <f>#REF!-D44</f>
        <v>#REF!</v>
      </c>
      <c r="G44" s="536"/>
    </row>
    <row r="45" spans="1:7" ht="39.25" customHeight="1" x14ac:dyDescent="0.3">
      <c r="A45" s="543" t="s">
        <v>288</v>
      </c>
      <c r="B45" s="186" t="s">
        <v>281</v>
      </c>
      <c r="C45" s="244">
        <f>C48+C52+C57+C47+C46+C50+C53+C49+C54+C51+C55+C56</f>
        <v>37549748.350000001</v>
      </c>
      <c r="D45" s="178" t="e">
        <f>D49+#REF!+D50+D52+D53+#REF!+#REF!+D54+D57</f>
        <v>#REF!</v>
      </c>
      <c r="E45" s="190" t="e">
        <f>#REF!-D45</f>
        <v>#REF!</v>
      </c>
      <c r="G45" s="533"/>
    </row>
    <row r="46" spans="1:7" ht="101.9" x14ac:dyDescent="0.3">
      <c r="A46" s="189" t="s">
        <v>966</v>
      </c>
      <c r="B46" s="189" t="s">
        <v>1003</v>
      </c>
      <c r="C46" s="217">
        <v>2869484.71</v>
      </c>
      <c r="D46" s="190"/>
      <c r="E46" s="190"/>
      <c r="F46" s="250"/>
      <c r="G46" s="537"/>
    </row>
    <row r="47" spans="1:7" ht="50.95" hidden="1" x14ac:dyDescent="0.3">
      <c r="A47" s="544" t="s">
        <v>605</v>
      </c>
      <c r="B47" s="189" t="s">
        <v>604</v>
      </c>
      <c r="C47" s="217">
        <v>0</v>
      </c>
      <c r="D47" s="190"/>
      <c r="E47" s="190" t="e">
        <f>#REF!-D47</f>
        <v>#REF!</v>
      </c>
    </row>
    <row r="48" spans="1:7" ht="101.9" hidden="1" x14ac:dyDescent="0.3">
      <c r="A48" s="544" t="s">
        <v>573</v>
      </c>
      <c r="B48" s="189" t="s">
        <v>558</v>
      </c>
      <c r="C48" s="217">
        <v>0</v>
      </c>
      <c r="D48" s="190"/>
      <c r="E48" s="190" t="e">
        <f>#REF!-D48</f>
        <v>#REF!</v>
      </c>
    </row>
    <row r="49" spans="1:7" ht="74.05" hidden="1" customHeight="1" x14ac:dyDescent="0.3">
      <c r="A49" s="544" t="s">
        <v>607</v>
      </c>
      <c r="B49" s="189" t="s">
        <v>606</v>
      </c>
      <c r="C49" s="217">
        <f>2892074.61-2892074.61</f>
        <v>0</v>
      </c>
      <c r="D49" s="190">
        <v>2498730</v>
      </c>
      <c r="E49" s="190" t="e">
        <f>#REF!-D49</f>
        <v>#REF!</v>
      </c>
    </row>
    <row r="50" spans="1:7" ht="50.95" customHeight="1" x14ac:dyDescent="0.3">
      <c r="A50" s="544" t="s">
        <v>603</v>
      </c>
      <c r="B50" s="189" t="s">
        <v>602</v>
      </c>
      <c r="C50" s="433">
        <v>698601.61</v>
      </c>
      <c r="D50" s="190">
        <v>562109.94999999995</v>
      </c>
      <c r="E50" s="190" t="e">
        <f>#REF!-D50</f>
        <v>#REF!</v>
      </c>
      <c r="G50" s="159"/>
    </row>
    <row r="51" spans="1:7" ht="39.4" hidden="1" customHeight="1" x14ac:dyDescent="0.3">
      <c r="A51" s="544" t="s">
        <v>967</v>
      </c>
      <c r="B51" s="189" t="s">
        <v>968</v>
      </c>
      <c r="C51" s="217"/>
      <c r="D51" s="190"/>
      <c r="E51" s="190"/>
    </row>
    <row r="52" spans="1:7" ht="50.95" hidden="1" customHeight="1" x14ac:dyDescent="0.3">
      <c r="A52" s="544" t="s">
        <v>574</v>
      </c>
      <c r="B52" s="189" t="s">
        <v>559</v>
      </c>
      <c r="C52" s="217"/>
      <c r="D52" s="190">
        <v>6583307.1100000003</v>
      </c>
      <c r="E52" s="190" t="e">
        <f>#REF!-D52</f>
        <v>#REF!</v>
      </c>
      <c r="G52" s="159"/>
    </row>
    <row r="53" spans="1:7" ht="106" hidden="1" customHeight="1" x14ac:dyDescent="0.3">
      <c r="A53" s="544" t="s">
        <v>782</v>
      </c>
      <c r="B53" s="189" t="s">
        <v>851</v>
      </c>
      <c r="C53" s="217"/>
      <c r="D53" s="190">
        <v>3301263.62</v>
      </c>
      <c r="E53" s="190" t="e">
        <f>#REF!-D53</f>
        <v>#REF!</v>
      </c>
    </row>
    <row r="54" spans="1:7" ht="42.45" hidden="1" customHeight="1" x14ac:dyDescent="0.3">
      <c r="A54" s="544" t="s">
        <v>590</v>
      </c>
      <c r="B54" s="189" t="s">
        <v>980</v>
      </c>
      <c r="C54" s="217"/>
      <c r="D54" s="190">
        <v>4367650</v>
      </c>
      <c r="E54" s="190" t="e">
        <f>#REF!-D54</f>
        <v>#REF!</v>
      </c>
    </row>
    <row r="55" spans="1:7" ht="59.1" hidden="1" customHeight="1" x14ac:dyDescent="0.3">
      <c r="A55" s="544" t="s">
        <v>876</v>
      </c>
      <c r="B55" s="185" t="s">
        <v>979</v>
      </c>
      <c r="C55" s="433"/>
      <c r="D55" s="190"/>
      <c r="E55" s="190"/>
    </row>
    <row r="56" spans="1:7" ht="74.05" hidden="1" customHeight="1" x14ac:dyDescent="0.3">
      <c r="A56" s="544" t="s">
        <v>1069</v>
      </c>
      <c r="B56" s="185" t="s">
        <v>1070</v>
      </c>
      <c r="C56" s="433"/>
      <c r="D56" s="190"/>
      <c r="E56" s="190"/>
    </row>
    <row r="57" spans="1:7" ht="28.2" customHeight="1" x14ac:dyDescent="0.3">
      <c r="A57" s="544" t="s">
        <v>575</v>
      </c>
      <c r="B57" s="189" t="s">
        <v>560</v>
      </c>
      <c r="C57" s="217">
        <v>33981662.030000001</v>
      </c>
      <c r="D57" s="190">
        <v>13288679.59</v>
      </c>
      <c r="E57" s="190" t="e">
        <f>#REF!-D57</f>
        <v>#REF!</v>
      </c>
      <c r="G57" s="159"/>
    </row>
    <row r="58" spans="1:7" ht="34" x14ac:dyDescent="0.3">
      <c r="A58" s="545" t="s">
        <v>279</v>
      </c>
      <c r="B58" s="186" t="s">
        <v>247</v>
      </c>
      <c r="C58" s="244">
        <f>C59+C60+C61+C62+C63+C65+C67+C69+C68</f>
        <v>593597337.60000002</v>
      </c>
      <c r="D58" s="178">
        <f>D59+D60+D61+D62+D63+D65+D67+D68+D69</f>
        <v>431044211.17000002</v>
      </c>
      <c r="E58" s="190" t="e">
        <f>#REF!-D58</f>
        <v>#REF!</v>
      </c>
      <c r="G58" s="533"/>
    </row>
    <row r="59" spans="1:7" ht="51.65" customHeight="1" x14ac:dyDescent="0.3">
      <c r="A59" s="544" t="s">
        <v>576</v>
      </c>
      <c r="B59" s="189" t="s">
        <v>561</v>
      </c>
      <c r="C59" s="217">
        <v>568447149.60000002</v>
      </c>
      <c r="D59" s="190">
        <v>395359722.13</v>
      </c>
      <c r="E59" s="190" t="e">
        <f>#REF!-D59</f>
        <v>#REF!</v>
      </c>
      <c r="G59" s="159"/>
    </row>
    <row r="60" spans="1:7" ht="101.9" x14ac:dyDescent="0.3">
      <c r="A60" s="544" t="s">
        <v>577</v>
      </c>
      <c r="B60" s="189" t="s">
        <v>562</v>
      </c>
      <c r="C60" s="217">
        <v>3925411</v>
      </c>
      <c r="D60" s="190">
        <v>3179069</v>
      </c>
      <c r="E60" s="190" t="e">
        <f>#REF!-D60</f>
        <v>#REF!</v>
      </c>
      <c r="G60" s="159"/>
    </row>
    <row r="61" spans="1:7" ht="87.8" hidden="1" customHeight="1" x14ac:dyDescent="0.3">
      <c r="A61" s="544" t="s">
        <v>878</v>
      </c>
      <c r="B61" s="189" t="s">
        <v>893</v>
      </c>
      <c r="C61" s="217">
        <v>0</v>
      </c>
      <c r="D61" s="190">
        <v>16214571.039999999</v>
      </c>
      <c r="E61" s="190" t="e">
        <f>#REF!-D61</f>
        <v>#REF!</v>
      </c>
      <c r="G61" s="159"/>
    </row>
    <row r="62" spans="1:7" ht="68.3" customHeight="1" x14ac:dyDescent="0.3">
      <c r="A62" s="544" t="s">
        <v>579</v>
      </c>
      <c r="B62" s="189" t="s">
        <v>894</v>
      </c>
      <c r="C62" s="217">
        <v>1804512</v>
      </c>
      <c r="D62" s="190">
        <v>1430240</v>
      </c>
      <c r="E62" s="190" t="e">
        <f>#REF!-D62</f>
        <v>#REF!</v>
      </c>
      <c r="G62" s="159"/>
    </row>
    <row r="63" spans="1:7" ht="86.95" customHeight="1" x14ac:dyDescent="0.3">
      <c r="A63" s="544" t="s">
        <v>580</v>
      </c>
      <c r="B63" s="189" t="s">
        <v>563</v>
      </c>
      <c r="C63" s="217">
        <v>4251</v>
      </c>
      <c r="D63" s="190">
        <v>13010</v>
      </c>
      <c r="E63" s="190" t="e">
        <f>#REF!-D63</f>
        <v>#REF!</v>
      </c>
      <c r="G63" s="159"/>
    </row>
    <row r="64" spans="1:7" ht="67.95" hidden="1" x14ac:dyDescent="0.3">
      <c r="A64" s="544" t="s">
        <v>581</v>
      </c>
      <c r="B64" s="189" t="s">
        <v>564</v>
      </c>
      <c r="C64" s="217"/>
      <c r="D64" s="187" t="e">
        <f>D9+D39</f>
        <v>#REF!</v>
      </c>
      <c r="E64" s="190" t="e">
        <f>#REF!-D64</f>
        <v>#REF!</v>
      </c>
    </row>
    <row r="65" spans="1:9" ht="91.7" customHeight="1" x14ac:dyDescent="0.3">
      <c r="A65" s="544" t="s">
        <v>582</v>
      </c>
      <c r="B65" s="189" t="s">
        <v>565</v>
      </c>
      <c r="C65" s="217">
        <v>14435550</v>
      </c>
      <c r="D65" s="179">
        <v>10876600</v>
      </c>
      <c r="E65" s="190" t="e">
        <f>#REF!-D65</f>
        <v>#REF!</v>
      </c>
      <c r="G65" s="159"/>
    </row>
    <row r="66" spans="1:9" ht="50.95" hidden="1" x14ac:dyDescent="0.3">
      <c r="A66" s="544" t="s">
        <v>583</v>
      </c>
      <c r="B66" s="189" t="s">
        <v>566</v>
      </c>
      <c r="C66" s="217"/>
      <c r="D66" s="179"/>
      <c r="E66" s="190" t="e">
        <f>#REF!-D66</f>
        <v>#REF!</v>
      </c>
    </row>
    <row r="67" spans="1:9" ht="50.95" x14ac:dyDescent="0.3">
      <c r="A67" s="544" t="s">
        <v>584</v>
      </c>
      <c r="B67" s="189" t="s">
        <v>567</v>
      </c>
      <c r="C67" s="217">
        <v>1588992</v>
      </c>
      <c r="D67" s="179">
        <v>1442603</v>
      </c>
      <c r="E67" s="190" t="e">
        <f>#REF!-D67</f>
        <v>#REF!</v>
      </c>
      <c r="G67" s="159"/>
    </row>
    <row r="68" spans="1:9" ht="36" customHeight="1" x14ac:dyDescent="0.3">
      <c r="A68" s="544" t="s">
        <v>585</v>
      </c>
      <c r="B68" s="189" t="s">
        <v>568</v>
      </c>
      <c r="C68" s="217">
        <v>2942229</v>
      </c>
      <c r="D68" s="179">
        <v>353579</v>
      </c>
      <c r="E68" s="190" t="e">
        <f>#REF!-D68</f>
        <v>#REF!</v>
      </c>
      <c r="G68" s="159"/>
    </row>
    <row r="69" spans="1:9" ht="40.75" customHeight="1" x14ac:dyDescent="0.3">
      <c r="A69" s="544" t="s">
        <v>661</v>
      </c>
      <c r="B69" s="189" t="s">
        <v>662</v>
      </c>
      <c r="C69" s="217">
        <v>449243</v>
      </c>
      <c r="D69" s="179">
        <v>2174817</v>
      </c>
      <c r="E69" s="190" t="e">
        <f>#REF!-D69</f>
        <v>#REF!</v>
      </c>
      <c r="G69" s="159"/>
    </row>
    <row r="70" spans="1:9" x14ac:dyDescent="0.3">
      <c r="A70" s="543" t="s">
        <v>511</v>
      </c>
      <c r="B70" s="186" t="s">
        <v>512</v>
      </c>
      <c r="C70" s="244">
        <f>C71+C72</f>
        <v>27481377.300000001</v>
      </c>
      <c r="D70" s="178">
        <f>D71</f>
        <v>20475000</v>
      </c>
      <c r="E70" s="190" t="e">
        <f>#REF!-D70</f>
        <v>#REF!</v>
      </c>
      <c r="G70" s="533"/>
    </row>
    <row r="71" spans="1:9" ht="110.9" customHeight="1" x14ac:dyDescent="0.3">
      <c r="A71" s="544" t="s">
        <v>983</v>
      </c>
      <c r="B71" s="185" t="s">
        <v>1133</v>
      </c>
      <c r="C71" s="217">
        <v>4081377.3</v>
      </c>
      <c r="D71" s="179">
        <v>20475000</v>
      </c>
      <c r="E71" s="190" t="e">
        <f>#REF!-D71</f>
        <v>#REF!</v>
      </c>
      <c r="G71" s="601"/>
      <c r="H71" s="436"/>
      <c r="I71" s="534"/>
    </row>
    <row r="72" spans="1:9" ht="152.85" customHeight="1" x14ac:dyDescent="0.3">
      <c r="A72" s="544" t="s">
        <v>586</v>
      </c>
      <c r="B72" s="189" t="s">
        <v>1132</v>
      </c>
      <c r="C72" s="217">
        <v>23400000</v>
      </c>
      <c r="D72" s="179"/>
      <c r="E72" s="190"/>
      <c r="G72" s="159"/>
    </row>
    <row r="73" spans="1:9" ht="39.25" hidden="1" customHeight="1" x14ac:dyDescent="0.3">
      <c r="A73" s="544" t="s">
        <v>1084</v>
      </c>
      <c r="B73" s="225" t="s">
        <v>1083</v>
      </c>
      <c r="C73" s="217">
        <v>0</v>
      </c>
      <c r="D73" s="179"/>
      <c r="E73" s="190"/>
    </row>
    <row r="74" spans="1:9" ht="30.6" hidden="1" customHeight="1" x14ac:dyDescent="0.3">
      <c r="A74" s="172" t="s">
        <v>1001</v>
      </c>
      <c r="B74" s="430" t="s">
        <v>1002</v>
      </c>
      <c r="C74" s="434">
        <f>C75</f>
        <v>0</v>
      </c>
      <c r="D74" s="179"/>
      <c r="E74" s="190"/>
    </row>
    <row r="75" spans="1:9" ht="39.4" hidden="1" customHeight="1" x14ac:dyDescent="0.3">
      <c r="A75" s="431" t="s">
        <v>999</v>
      </c>
      <c r="B75" s="185" t="s">
        <v>1000</v>
      </c>
      <c r="C75" s="217"/>
      <c r="D75" s="179"/>
      <c r="E75" s="190"/>
    </row>
    <row r="76" spans="1:9" ht="89.5" hidden="1" customHeight="1" x14ac:dyDescent="0.3">
      <c r="A76" s="431" t="s">
        <v>1075</v>
      </c>
      <c r="B76" s="185" t="s">
        <v>1076</v>
      </c>
      <c r="C76" s="217"/>
      <c r="D76" s="179"/>
      <c r="E76" s="190"/>
    </row>
    <row r="77" spans="1:9" ht="54.35" hidden="1" customHeight="1" x14ac:dyDescent="0.3">
      <c r="A77" s="431" t="s">
        <v>1077</v>
      </c>
      <c r="B77" s="185" t="s">
        <v>1078</v>
      </c>
      <c r="C77" s="217"/>
      <c r="D77" s="179"/>
      <c r="E77" s="190"/>
    </row>
    <row r="78" spans="1:9" x14ac:dyDescent="0.3">
      <c r="A78" s="545"/>
      <c r="B78" s="191" t="s">
        <v>125</v>
      </c>
      <c r="C78" s="244">
        <f>C9+C39</f>
        <v>1153434529.25</v>
      </c>
      <c r="D78" s="192"/>
      <c r="E78" s="190" t="e">
        <f>#REF!-D78</f>
        <v>#REF!</v>
      </c>
      <c r="G78" s="533"/>
    </row>
    <row r="80" spans="1:9" x14ac:dyDescent="0.25">
      <c r="A80" s="172">
        <v>0</v>
      </c>
    </row>
    <row r="84" spans="3:3" x14ac:dyDescent="0.25">
      <c r="C84" s="636">
        <f>C39/C78*100</f>
        <v>83.639036701744374</v>
      </c>
    </row>
  </sheetData>
  <mergeCells count="2">
    <mergeCell ref="A5:C5"/>
    <mergeCell ref="A6:C6"/>
  </mergeCells>
  <pageMargins left="0.98425196850393704" right="0.39370078740157483" top="0.39370078740157483" bottom="0.3937007874015748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view="pageBreakPreview" zoomScale="90" zoomScaleNormal="100" zoomScaleSheetLayoutView="90" workbookViewId="0">
      <selection activeCell="B12" sqref="B12"/>
    </sheetView>
  </sheetViews>
  <sheetFormatPr defaultRowHeight="17" x14ac:dyDescent="0.3"/>
  <cols>
    <col min="1" max="1" width="30.375" style="268" customWidth="1"/>
    <col min="2" max="2" width="66.625" style="183" customWidth="1"/>
    <col min="3" max="4" width="19.875" style="183" customWidth="1"/>
    <col min="5" max="5" width="15.375" style="183" bestFit="1" customWidth="1"/>
    <col min="6" max="6" width="17.625" style="183" customWidth="1"/>
    <col min="7" max="256" width="9.125" style="183"/>
    <col min="257" max="257" width="26.375" style="183" customWidth="1"/>
    <col min="258" max="258" width="78.375" style="183" customWidth="1"/>
    <col min="259" max="259" width="19.625" style="183" customWidth="1"/>
    <col min="260" max="512" width="9.125" style="183"/>
    <col min="513" max="513" width="26.375" style="183" customWidth="1"/>
    <col min="514" max="514" width="78.375" style="183" customWidth="1"/>
    <col min="515" max="515" width="19.625" style="183" customWidth="1"/>
    <col min="516" max="768" width="9.125" style="183"/>
    <col min="769" max="769" width="26.375" style="183" customWidth="1"/>
    <col min="770" max="770" width="78.375" style="183" customWidth="1"/>
    <col min="771" max="771" width="19.625" style="183" customWidth="1"/>
    <col min="772" max="1024" width="9.125" style="183"/>
    <col min="1025" max="1025" width="26.375" style="183" customWidth="1"/>
    <col min="1026" max="1026" width="78.375" style="183" customWidth="1"/>
    <col min="1027" max="1027" width="19.625" style="183" customWidth="1"/>
    <col min="1028" max="1280" width="9.125" style="183"/>
    <col min="1281" max="1281" width="26.375" style="183" customWidth="1"/>
    <col min="1282" max="1282" width="78.375" style="183" customWidth="1"/>
    <col min="1283" max="1283" width="19.625" style="183" customWidth="1"/>
    <col min="1284" max="1536" width="9.125" style="183"/>
    <col min="1537" max="1537" width="26.375" style="183" customWidth="1"/>
    <col min="1538" max="1538" width="78.375" style="183" customWidth="1"/>
    <col min="1539" max="1539" width="19.625" style="183" customWidth="1"/>
    <col min="1540" max="1792" width="9.125" style="183"/>
    <col min="1793" max="1793" width="26.375" style="183" customWidth="1"/>
    <col min="1794" max="1794" width="78.375" style="183" customWidth="1"/>
    <col min="1795" max="1795" width="19.625" style="183" customWidth="1"/>
    <col min="1796" max="2048" width="9.125" style="183"/>
    <col min="2049" max="2049" width="26.375" style="183" customWidth="1"/>
    <col min="2050" max="2050" width="78.375" style="183" customWidth="1"/>
    <col min="2051" max="2051" width="19.625" style="183" customWidth="1"/>
    <col min="2052" max="2304" width="9.125" style="183"/>
    <col min="2305" max="2305" width="26.375" style="183" customWidth="1"/>
    <col min="2306" max="2306" width="78.375" style="183" customWidth="1"/>
    <col min="2307" max="2307" width="19.625" style="183" customWidth="1"/>
    <col min="2308" max="2560" width="9.125" style="183"/>
    <col min="2561" max="2561" width="26.375" style="183" customWidth="1"/>
    <col min="2562" max="2562" width="78.375" style="183" customWidth="1"/>
    <col min="2563" max="2563" width="19.625" style="183" customWidth="1"/>
    <col min="2564" max="2816" width="9.125" style="183"/>
    <col min="2817" max="2817" width="26.375" style="183" customWidth="1"/>
    <col min="2818" max="2818" width="78.375" style="183" customWidth="1"/>
    <col min="2819" max="2819" width="19.625" style="183" customWidth="1"/>
    <col min="2820" max="3072" width="9.125" style="183"/>
    <col min="3073" max="3073" width="26.375" style="183" customWidth="1"/>
    <col min="3074" max="3074" width="78.375" style="183" customWidth="1"/>
    <col min="3075" max="3075" width="19.625" style="183" customWidth="1"/>
    <col min="3076" max="3328" width="9.125" style="183"/>
    <col min="3329" max="3329" width="26.375" style="183" customWidth="1"/>
    <col min="3330" max="3330" width="78.375" style="183" customWidth="1"/>
    <col min="3331" max="3331" width="19.625" style="183" customWidth="1"/>
    <col min="3332" max="3584" width="9.125" style="183"/>
    <col min="3585" max="3585" width="26.375" style="183" customWidth="1"/>
    <col min="3586" max="3586" width="78.375" style="183" customWidth="1"/>
    <col min="3587" max="3587" width="19.625" style="183" customWidth="1"/>
    <col min="3588" max="3840" width="9.125" style="183"/>
    <col min="3841" max="3841" width="26.375" style="183" customWidth="1"/>
    <col min="3842" max="3842" width="78.375" style="183" customWidth="1"/>
    <col min="3843" max="3843" width="19.625" style="183" customWidth="1"/>
    <col min="3844" max="4096" width="9.125" style="183"/>
    <col min="4097" max="4097" width="26.375" style="183" customWidth="1"/>
    <col min="4098" max="4098" width="78.375" style="183" customWidth="1"/>
    <col min="4099" max="4099" width="19.625" style="183" customWidth="1"/>
    <col min="4100" max="4352" width="9.125" style="183"/>
    <col min="4353" max="4353" width="26.375" style="183" customWidth="1"/>
    <col min="4354" max="4354" width="78.375" style="183" customWidth="1"/>
    <col min="4355" max="4355" width="19.625" style="183" customWidth="1"/>
    <col min="4356" max="4608" width="9.125" style="183"/>
    <col min="4609" max="4609" width="26.375" style="183" customWidth="1"/>
    <col min="4610" max="4610" width="78.375" style="183" customWidth="1"/>
    <col min="4611" max="4611" width="19.625" style="183" customWidth="1"/>
    <col min="4612" max="4864" width="9.125" style="183"/>
    <col min="4865" max="4865" width="26.375" style="183" customWidth="1"/>
    <col min="4866" max="4866" width="78.375" style="183" customWidth="1"/>
    <col min="4867" max="4867" width="19.625" style="183" customWidth="1"/>
    <col min="4868" max="5120" width="9.125" style="183"/>
    <col min="5121" max="5121" width="26.375" style="183" customWidth="1"/>
    <col min="5122" max="5122" width="78.375" style="183" customWidth="1"/>
    <col min="5123" max="5123" width="19.625" style="183" customWidth="1"/>
    <col min="5124" max="5376" width="9.125" style="183"/>
    <col min="5377" max="5377" width="26.375" style="183" customWidth="1"/>
    <col min="5378" max="5378" width="78.375" style="183" customWidth="1"/>
    <col min="5379" max="5379" width="19.625" style="183" customWidth="1"/>
    <col min="5380" max="5632" width="9.125" style="183"/>
    <col min="5633" max="5633" width="26.375" style="183" customWidth="1"/>
    <col min="5634" max="5634" width="78.375" style="183" customWidth="1"/>
    <col min="5635" max="5635" width="19.625" style="183" customWidth="1"/>
    <col min="5636" max="5888" width="9.125" style="183"/>
    <col min="5889" max="5889" width="26.375" style="183" customWidth="1"/>
    <col min="5890" max="5890" width="78.375" style="183" customWidth="1"/>
    <col min="5891" max="5891" width="19.625" style="183" customWidth="1"/>
    <col min="5892" max="6144" width="9.125" style="183"/>
    <col min="6145" max="6145" width="26.375" style="183" customWidth="1"/>
    <col min="6146" max="6146" width="78.375" style="183" customWidth="1"/>
    <col min="6147" max="6147" width="19.625" style="183" customWidth="1"/>
    <col min="6148" max="6400" width="9.125" style="183"/>
    <col min="6401" max="6401" width="26.375" style="183" customWidth="1"/>
    <col min="6402" max="6402" width="78.375" style="183" customWidth="1"/>
    <col min="6403" max="6403" width="19.625" style="183" customWidth="1"/>
    <col min="6404" max="6656" width="9.125" style="183"/>
    <col min="6657" max="6657" width="26.375" style="183" customWidth="1"/>
    <col min="6658" max="6658" width="78.375" style="183" customWidth="1"/>
    <col min="6659" max="6659" width="19.625" style="183" customWidth="1"/>
    <col min="6660" max="6912" width="9.125" style="183"/>
    <col min="6913" max="6913" width="26.375" style="183" customWidth="1"/>
    <col min="6914" max="6914" width="78.375" style="183" customWidth="1"/>
    <col min="6915" max="6915" width="19.625" style="183" customWidth="1"/>
    <col min="6916" max="7168" width="9.125" style="183"/>
    <col min="7169" max="7169" width="26.375" style="183" customWidth="1"/>
    <col min="7170" max="7170" width="78.375" style="183" customWidth="1"/>
    <col min="7171" max="7171" width="19.625" style="183" customWidth="1"/>
    <col min="7172" max="7424" width="9.125" style="183"/>
    <col min="7425" max="7425" width="26.375" style="183" customWidth="1"/>
    <col min="7426" max="7426" width="78.375" style="183" customWidth="1"/>
    <col min="7427" max="7427" width="19.625" style="183" customWidth="1"/>
    <col min="7428" max="7680" width="9.125" style="183"/>
    <col min="7681" max="7681" width="26.375" style="183" customWidth="1"/>
    <col min="7682" max="7682" width="78.375" style="183" customWidth="1"/>
    <col min="7683" max="7683" width="19.625" style="183" customWidth="1"/>
    <col min="7684" max="7936" width="9.125" style="183"/>
    <col min="7937" max="7937" width="26.375" style="183" customWidth="1"/>
    <col min="7938" max="7938" width="78.375" style="183" customWidth="1"/>
    <col min="7939" max="7939" width="19.625" style="183" customWidth="1"/>
    <col min="7940" max="8192" width="9.125" style="183"/>
    <col min="8193" max="8193" width="26.375" style="183" customWidth="1"/>
    <col min="8194" max="8194" width="78.375" style="183" customWidth="1"/>
    <col min="8195" max="8195" width="19.625" style="183" customWidth="1"/>
    <col min="8196" max="8448" width="9.125" style="183"/>
    <col min="8449" max="8449" width="26.375" style="183" customWidth="1"/>
    <col min="8450" max="8450" width="78.375" style="183" customWidth="1"/>
    <col min="8451" max="8451" width="19.625" style="183" customWidth="1"/>
    <col min="8452" max="8704" width="9.125" style="183"/>
    <col min="8705" max="8705" width="26.375" style="183" customWidth="1"/>
    <col min="8706" max="8706" width="78.375" style="183" customWidth="1"/>
    <col min="8707" max="8707" width="19.625" style="183" customWidth="1"/>
    <col min="8708" max="8960" width="9.125" style="183"/>
    <col min="8961" max="8961" width="26.375" style="183" customWidth="1"/>
    <col min="8962" max="8962" width="78.375" style="183" customWidth="1"/>
    <col min="8963" max="8963" width="19.625" style="183" customWidth="1"/>
    <col min="8964" max="9216" width="9.125" style="183"/>
    <col min="9217" max="9217" width="26.375" style="183" customWidth="1"/>
    <col min="9218" max="9218" width="78.375" style="183" customWidth="1"/>
    <col min="9219" max="9219" width="19.625" style="183" customWidth="1"/>
    <col min="9220" max="9472" width="9.125" style="183"/>
    <col min="9473" max="9473" width="26.375" style="183" customWidth="1"/>
    <col min="9474" max="9474" width="78.375" style="183" customWidth="1"/>
    <col min="9475" max="9475" width="19.625" style="183" customWidth="1"/>
    <col min="9476" max="9728" width="9.125" style="183"/>
    <col min="9729" max="9729" width="26.375" style="183" customWidth="1"/>
    <col min="9730" max="9730" width="78.375" style="183" customWidth="1"/>
    <col min="9731" max="9731" width="19.625" style="183" customWidth="1"/>
    <col min="9732" max="9984" width="9.125" style="183"/>
    <col min="9985" max="9985" width="26.375" style="183" customWidth="1"/>
    <col min="9986" max="9986" width="78.375" style="183" customWidth="1"/>
    <col min="9987" max="9987" width="19.625" style="183" customWidth="1"/>
    <col min="9988" max="10240" width="9.125" style="183"/>
    <col min="10241" max="10241" width="26.375" style="183" customWidth="1"/>
    <col min="10242" max="10242" width="78.375" style="183" customWidth="1"/>
    <col min="10243" max="10243" width="19.625" style="183" customWidth="1"/>
    <col min="10244" max="10496" width="9.125" style="183"/>
    <col min="10497" max="10497" width="26.375" style="183" customWidth="1"/>
    <col min="10498" max="10498" width="78.375" style="183" customWidth="1"/>
    <col min="10499" max="10499" width="19.625" style="183" customWidth="1"/>
    <col min="10500" max="10752" width="9.125" style="183"/>
    <col min="10753" max="10753" width="26.375" style="183" customWidth="1"/>
    <col min="10754" max="10754" width="78.375" style="183" customWidth="1"/>
    <col min="10755" max="10755" width="19.625" style="183" customWidth="1"/>
    <col min="10756" max="11008" width="9.125" style="183"/>
    <col min="11009" max="11009" width="26.375" style="183" customWidth="1"/>
    <col min="11010" max="11010" width="78.375" style="183" customWidth="1"/>
    <col min="11011" max="11011" width="19.625" style="183" customWidth="1"/>
    <col min="11012" max="11264" width="9.125" style="183"/>
    <col min="11265" max="11265" width="26.375" style="183" customWidth="1"/>
    <col min="11266" max="11266" width="78.375" style="183" customWidth="1"/>
    <col min="11267" max="11267" width="19.625" style="183" customWidth="1"/>
    <col min="11268" max="11520" width="9.125" style="183"/>
    <col min="11521" max="11521" width="26.375" style="183" customWidth="1"/>
    <col min="11522" max="11522" width="78.375" style="183" customWidth="1"/>
    <col min="11523" max="11523" width="19.625" style="183" customWidth="1"/>
    <col min="11524" max="11776" width="9.125" style="183"/>
    <col min="11777" max="11777" width="26.375" style="183" customWidth="1"/>
    <col min="11778" max="11778" width="78.375" style="183" customWidth="1"/>
    <col min="11779" max="11779" width="19.625" style="183" customWidth="1"/>
    <col min="11780" max="12032" width="9.125" style="183"/>
    <col min="12033" max="12033" width="26.375" style="183" customWidth="1"/>
    <col min="12034" max="12034" width="78.375" style="183" customWidth="1"/>
    <col min="12035" max="12035" width="19.625" style="183" customWidth="1"/>
    <col min="12036" max="12288" width="9.125" style="183"/>
    <col min="12289" max="12289" width="26.375" style="183" customWidth="1"/>
    <col min="12290" max="12290" width="78.375" style="183" customWidth="1"/>
    <col min="12291" max="12291" width="19.625" style="183" customWidth="1"/>
    <col min="12292" max="12544" width="9.125" style="183"/>
    <col min="12545" max="12545" width="26.375" style="183" customWidth="1"/>
    <col min="12546" max="12546" width="78.375" style="183" customWidth="1"/>
    <col min="12547" max="12547" width="19.625" style="183" customWidth="1"/>
    <col min="12548" max="12800" width="9.125" style="183"/>
    <col min="12801" max="12801" width="26.375" style="183" customWidth="1"/>
    <col min="12802" max="12802" width="78.375" style="183" customWidth="1"/>
    <col min="12803" max="12803" width="19.625" style="183" customWidth="1"/>
    <col min="12804" max="13056" width="9.125" style="183"/>
    <col min="13057" max="13057" width="26.375" style="183" customWidth="1"/>
    <col min="13058" max="13058" width="78.375" style="183" customWidth="1"/>
    <col min="13059" max="13059" width="19.625" style="183" customWidth="1"/>
    <col min="13060" max="13312" width="9.125" style="183"/>
    <col min="13313" max="13313" width="26.375" style="183" customWidth="1"/>
    <col min="13314" max="13314" width="78.375" style="183" customWidth="1"/>
    <col min="13315" max="13315" width="19.625" style="183" customWidth="1"/>
    <col min="13316" max="13568" width="9.125" style="183"/>
    <col min="13569" max="13569" width="26.375" style="183" customWidth="1"/>
    <col min="13570" max="13570" width="78.375" style="183" customWidth="1"/>
    <col min="13571" max="13571" width="19.625" style="183" customWidth="1"/>
    <col min="13572" max="13824" width="9.125" style="183"/>
    <col min="13825" max="13825" width="26.375" style="183" customWidth="1"/>
    <col min="13826" max="13826" width="78.375" style="183" customWidth="1"/>
    <col min="13827" max="13827" width="19.625" style="183" customWidth="1"/>
    <col min="13828" max="14080" width="9.125" style="183"/>
    <col min="14081" max="14081" width="26.375" style="183" customWidth="1"/>
    <col min="14082" max="14082" width="78.375" style="183" customWidth="1"/>
    <col min="14083" max="14083" width="19.625" style="183" customWidth="1"/>
    <col min="14084" max="14336" width="9.125" style="183"/>
    <col min="14337" max="14337" width="26.375" style="183" customWidth="1"/>
    <col min="14338" max="14338" width="78.375" style="183" customWidth="1"/>
    <col min="14339" max="14339" width="19.625" style="183" customWidth="1"/>
    <col min="14340" max="14592" width="9.125" style="183"/>
    <col min="14593" max="14593" width="26.375" style="183" customWidth="1"/>
    <col min="14594" max="14594" width="78.375" style="183" customWidth="1"/>
    <col min="14595" max="14595" width="19.625" style="183" customWidth="1"/>
    <col min="14596" max="14848" width="9.125" style="183"/>
    <col min="14849" max="14849" width="26.375" style="183" customWidth="1"/>
    <col min="14850" max="14850" width="78.375" style="183" customWidth="1"/>
    <col min="14851" max="14851" width="19.625" style="183" customWidth="1"/>
    <col min="14852" max="15104" width="9.125" style="183"/>
    <col min="15105" max="15105" width="26.375" style="183" customWidth="1"/>
    <col min="15106" max="15106" width="78.375" style="183" customWidth="1"/>
    <col min="15107" max="15107" width="19.625" style="183" customWidth="1"/>
    <col min="15108" max="15360" width="9.125" style="183"/>
    <col min="15361" max="15361" width="26.375" style="183" customWidth="1"/>
    <col min="15362" max="15362" width="78.375" style="183" customWidth="1"/>
    <col min="15363" max="15363" width="19.625" style="183" customWidth="1"/>
    <col min="15364" max="15616" width="9.125" style="183"/>
    <col min="15617" max="15617" width="26.375" style="183" customWidth="1"/>
    <col min="15618" max="15618" width="78.375" style="183" customWidth="1"/>
    <col min="15619" max="15619" width="19.625" style="183" customWidth="1"/>
    <col min="15620" max="15872" width="9.125" style="183"/>
    <col min="15873" max="15873" width="26.375" style="183" customWidth="1"/>
    <col min="15874" max="15874" width="78.375" style="183" customWidth="1"/>
    <col min="15875" max="15875" width="19.625" style="183" customWidth="1"/>
    <col min="15876" max="16128" width="9.125" style="183"/>
    <col min="16129" max="16129" width="26.375" style="183" customWidth="1"/>
    <col min="16130" max="16130" width="78.375" style="183" customWidth="1"/>
    <col min="16131" max="16131" width="19.625" style="183" customWidth="1"/>
    <col min="16132" max="16384" width="9.125" style="183"/>
  </cols>
  <sheetData>
    <row r="1" spans="1:6" x14ac:dyDescent="0.3">
      <c r="D1" s="197" t="s">
        <v>1142</v>
      </c>
    </row>
    <row r="2" spans="1:6" x14ac:dyDescent="0.3">
      <c r="D2" s="197" t="s">
        <v>800</v>
      </c>
    </row>
    <row r="3" spans="1:6" x14ac:dyDescent="0.3">
      <c r="D3" s="197" t="s">
        <v>591</v>
      </c>
    </row>
    <row r="4" spans="1:6" x14ac:dyDescent="0.3">
      <c r="D4" s="197" t="s">
        <v>887</v>
      </c>
    </row>
    <row r="5" spans="1:6" x14ac:dyDescent="0.3">
      <c r="A5" s="646" t="s">
        <v>237</v>
      </c>
      <c r="B5" s="646"/>
      <c r="C5" s="646"/>
      <c r="D5" s="646"/>
    </row>
    <row r="6" spans="1:6" x14ac:dyDescent="0.3">
      <c r="A6" s="647" t="s">
        <v>1130</v>
      </c>
      <c r="B6" s="647"/>
      <c r="C6" s="647"/>
      <c r="D6" s="647"/>
    </row>
    <row r="7" spans="1:6" x14ac:dyDescent="0.3">
      <c r="D7" s="575" t="s">
        <v>382</v>
      </c>
    </row>
    <row r="8" spans="1:6" ht="52.5" customHeight="1" x14ac:dyDescent="0.3">
      <c r="A8" s="188" t="s">
        <v>159</v>
      </c>
      <c r="B8" s="174" t="s">
        <v>164</v>
      </c>
      <c r="C8" s="174" t="s">
        <v>871</v>
      </c>
      <c r="D8" s="174" t="s">
        <v>1129</v>
      </c>
    </row>
    <row r="9" spans="1:6" ht="19.55" customHeight="1" x14ac:dyDescent="0.3">
      <c r="A9" s="576" t="s">
        <v>439</v>
      </c>
      <c r="B9" s="577" t="s">
        <v>166</v>
      </c>
      <c r="C9" s="578">
        <f>C10+C12+C14+C18+C21+C23+C27+C29+C31+C34+C35</f>
        <v>176300000</v>
      </c>
      <c r="D9" s="578">
        <f>D10+D12+D14+D18+D21+D23+D27+D29+D31+D34+D35</f>
        <v>180519000</v>
      </c>
      <c r="F9" s="183">
        <f>D9/D65*100</f>
        <v>16.166647438530727</v>
      </c>
    </row>
    <row r="10" spans="1:6" ht="19.55" customHeight="1" x14ac:dyDescent="0.3">
      <c r="A10" s="579" t="s">
        <v>167</v>
      </c>
      <c r="B10" s="580" t="s">
        <v>440</v>
      </c>
      <c r="C10" s="581">
        <v>111277000</v>
      </c>
      <c r="D10" s="581">
        <v>114949000</v>
      </c>
      <c r="F10" s="183">
        <f>D10/D65*100</f>
        <v>10.29442859982422</v>
      </c>
    </row>
    <row r="11" spans="1:6" ht="19.55" customHeight="1" x14ac:dyDescent="0.3">
      <c r="A11" s="579" t="s">
        <v>169</v>
      </c>
      <c r="B11" s="579" t="s">
        <v>170</v>
      </c>
      <c r="C11" s="581">
        <v>111277000</v>
      </c>
      <c r="D11" s="581">
        <v>114949000</v>
      </c>
    </row>
    <row r="12" spans="1:6" ht="50.95" x14ac:dyDescent="0.3">
      <c r="A12" s="579" t="s">
        <v>171</v>
      </c>
      <c r="B12" s="582" t="s">
        <v>441</v>
      </c>
      <c r="C12" s="581">
        <f>C13</f>
        <v>17038000</v>
      </c>
      <c r="D12" s="581">
        <f>D13</f>
        <v>17735000</v>
      </c>
      <c r="F12" s="183">
        <f>D12/D65*100</f>
        <v>1.5882842931898715</v>
      </c>
    </row>
    <row r="13" spans="1:6" ht="34" x14ac:dyDescent="0.3">
      <c r="A13" s="579" t="s">
        <v>172</v>
      </c>
      <c r="B13" s="582" t="s">
        <v>173</v>
      </c>
      <c r="C13" s="581">
        <v>17038000</v>
      </c>
      <c r="D13" s="581">
        <v>17735000</v>
      </c>
    </row>
    <row r="14" spans="1:6" ht="21.25" customHeight="1" x14ac:dyDescent="0.3">
      <c r="A14" s="583" t="s">
        <v>174</v>
      </c>
      <c r="B14" s="583" t="s">
        <v>442</v>
      </c>
      <c r="C14" s="581">
        <v>8700000</v>
      </c>
      <c r="D14" s="581">
        <v>8800000</v>
      </c>
      <c r="F14" s="183">
        <f>D14/D65*100</f>
        <v>0.78809708373672793</v>
      </c>
    </row>
    <row r="15" spans="1:6" ht="36.700000000000003" customHeight="1" x14ac:dyDescent="0.3">
      <c r="A15" s="579" t="s">
        <v>428</v>
      </c>
      <c r="B15" s="579" t="s">
        <v>429</v>
      </c>
      <c r="C15" s="581">
        <v>1500000</v>
      </c>
      <c r="D15" s="581">
        <v>1600000</v>
      </c>
    </row>
    <row r="16" spans="1:6" ht="19.55" customHeight="1" x14ac:dyDescent="0.3">
      <c r="A16" s="584" t="s">
        <v>443</v>
      </c>
      <c r="B16" s="584" t="s">
        <v>177</v>
      </c>
      <c r="C16" s="581">
        <v>2500000</v>
      </c>
      <c r="D16" s="581">
        <v>2500000</v>
      </c>
    </row>
    <row r="17" spans="1:6" ht="50.95" x14ac:dyDescent="0.3">
      <c r="A17" s="584" t="s">
        <v>430</v>
      </c>
      <c r="B17" s="584" t="s">
        <v>549</v>
      </c>
      <c r="C17" s="581">
        <v>4700000</v>
      </c>
      <c r="D17" s="581">
        <v>4700000</v>
      </c>
    </row>
    <row r="18" spans="1:6" ht="18.7" customHeight="1" x14ac:dyDescent="0.3">
      <c r="A18" s="584" t="s">
        <v>431</v>
      </c>
      <c r="B18" s="584" t="s">
        <v>432</v>
      </c>
      <c r="C18" s="581">
        <v>16000000</v>
      </c>
      <c r="D18" s="581">
        <v>16000000</v>
      </c>
      <c r="F18" s="183">
        <f>D18/D65*100</f>
        <v>1.4329037886122327</v>
      </c>
    </row>
    <row r="19" spans="1:6" ht="50.95" x14ac:dyDescent="0.3">
      <c r="A19" s="584" t="s">
        <v>578</v>
      </c>
      <c r="B19" s="584" t="s">
        <v>550</v>
      </c>
      <c r="C19" s="581">
        <v>5000000</v>
      </c>
      <c r="D19" s="581">
        <v>5000000</v>
      </c>
    </row>
    <row r="20" spans="1:6" ht="23.95" customHeight="1" x14ac:dyDescent="0.3">
      <c r="A20" s="584" t="s">
        <v>434</v>
      </c>
      <c r="B20" s="584" t="s">
        <v>433</v>
      </c>
      <c r="C20" s="581">
        <v>11000000</v>
      </c>
      <c r="D20" s="581">
        <v>11000000</v>
      </c>
    </row>
    <row r="21" spans="1:6" x14ac:dyDescent="0.3">
      <c r="A21" s="583" t="s">
        <v>178</v>
      </c>
      <c r="B21" s="583" t="s">
        <v>444</v>
      </c>
      <c r="C21" s="581">
        <v>2500000</v>
      </c>
      <c r="D21" s="581">
        <v>2500000</v>
      </c>
      <c r="F21" s="183">
        <f>D21/D65*100</f>
        <v>0.22389121697066133</v>
      </c>
    </row>
    <row r="22" spans="1:6" ht="55.55" customHeight="1" x14ac:dyDescent="0.3">
      <c r="A22" s="584" t="s">
        <v>435</v>
      </c>
      <c r="B22" s="585" t="s">
        <v>436</v>
      </c>
      <c r="C22" s="581">
        <v>2500000</v>
      </c>
      <c r="D22" s="581">
        <v>2500000</v>
      </c>
    </row>
    <row r="23" spans="1:6" ht="50.95" x14ac:dyDescent="0.3">
      <c r="A23" s="584" t="s">
        <v>180</v>
      </c>
      <c r="B23" s="584" t="s">
        <v>445</v>
      </c>
      <c r="C23" s="581">
        <v>16270000</v>
      </c>
      <c r="D23" s="581">
        <v>16020000</v>
      </c>
      <c r="F23" s="183">
        <f>D23/D65*100</f>
        <v>1.434694918347998</v>
      </c>
    </row>
    <row r="24" spans="1:6" ht="101.9" x14ac:dyDescent="0.3">
      <c r="A24" s="584" t="s">
        <v>546</v>
      </c>
      <c r="B24" s="585" t="s">
        <v>551</v>
      </c>
      <c r="C24" s="581">
        <v>10600000</v>
      </c>
      <c r="D24" s="581">
        <v>10650000</v>
      </c>
    </row>
    <row r="25" spans="1:6" ht="60.8" customHeight="1" x14ac:dyDescent="0.3">
      <c r="A25" s="584" t="s">
        <v>547</v>
      </c>
      <c r="B25" s="586" t="s">
        <v>552</v>
      </c>
      <c r="C25" s="581">
        <v>2570000</v>
      </c>
      <c r="D25" s="581">
        <v>2370000</v>
      </c>
    </row>
    <row r="26" spans="1:6" ht="84.9" x14ac:dyDescent="0.3">
      <c r="A26" s="584" t="s">
        <v>548</v>
      </c>
      <c r="B26" s="585" t="s">
        <v>553</v>
      </c>
      <c r="C26" s="581">
        <v>3100000</v>
      </c>
      <c r="D26" s="581">
        <v>3000000</v>
      </c>
    </row>
    <row r="27" spans="1:6" ht="34" x14ac:dyDescent="0.3">
      <c r="A27" s="584" t="s">
        <v>182</v>
      </c>
      <c r="B27" s="583" t="s">
        <v>446</v>
      </c>
      <c r="C27" s="581">
        <v>124000</v>
      </c>
      <c r="D27" s="581">
        <v>124000</v>
      </c>
      <c r="F27" s="183">
        <f>D27/D65*100</f>
        <v>1.1105004361744804E-2</v>
      </c>
    </row>
    <row r="28" spans="1:6" ht="19.55" customHeight="1" x14ac:dyDescent="0.3">
      <c r="A28" s="584" t="s">
        <v>184</v>
      </c>
      <c r="B28" s="585" t="s">
        <v>185</v>
      </c>
      <c r="C28" s="581">
        <v>124000</v>
      </c>
      <c r="D28" s="581">
        <v>124000</v>
      </c>
    </row>
    <row r="29" spans="1:6" ht="39.75" customHeight="1" x14ac:dyDescent="0.3">
      <c r="A29" s="584" t="s">
        <v>186</v>
      </c>
      <c r="B29" s="583" t="s">
        <v>895</v>
      </c>
      <c r="C29" s="581">
        <v>636000</v>
      </c>
      <c r="D29" s="581">
        <v>636000</v>
      </c>
      <c r="F29" s="183">
        <f>D29/D65*100</f>
        <v>5.6957925597336249E-2</v>
      </c>
    </row>
    <row r="30" spans="1:6" ht="57.25" customHeight="1" x14ac:dyDescent="0.3">
      <c r="A30" s="584" t="s">
        <v>569</v>
      </c>
      <c r="B30" s="585" t="s">
        <v>554</v>
      </c>
      <c r="C30" s="581">
        <v>636000</v>
      </c>
      <c r="D30" s="581">
        <v>636000</v>
      </c>
    </row>
    <row r="31" spans="1:6" ht="36" customHeight="1" x14ac:dyDescent="0.3">
      <c r="A31" s="584" t="s">
        <v>187</v>
      </c>
      <c r="B31" s="585" t="s">
        <v>447</v>
      </c>
      <c r="C31" s="581">
        <v>2620000</v>
      </c>
      <c r="D31" s="581">
        <v>2620000</v>
      </c>
      <c r="F31" s="183">
        <f>D31/D65*100</f>
        <v>0.2346379953852531</v>
      </c>
    </row>
    <row r="32" spans="1:6" ht="113.3" customHeight="1" x14ac:dyDescent="0.3">
      <c r="A32" s="584" t="s">
        <v>570</v>
      </c>
      <c r="B32" s="585" t="s">
        <v>555</v>
      </c>
      <c r="C32" s="581">
        <v>1000000</v>
      </c>
      <c r="D32" s="581">
        <v>1000000</v>
      </c>
    </row>
    <row r="33" spans="1:6" ht="54" customHeight="1" x14ac:dyDescent="0.3">
      <c r="A33" s="584" t="s">
        <v>571</v>
      </c>
      <c r="B33" s="585" t="s">
        <v>587</v>
      </c>
      <c r="C33" s="581">
        <v>1620000</v>
      </c>
      <c r="D33" s="581">
        <v>1620000</v>
      </c>
    </row>
    <row r="34" spans="1:6" x14ac:dyDescent="0.3">
      <c r="A34" s="584" t="s">
        <v>189</v>
      </c>
      <c r="B34" s="583" t="s">
        <v>190</v>
      </c>
      <c r="C34" s="581">
        <v>1000000</v>
      </c>
      <c r="D34" s="581">
        <v>1000000</v>
      </c>
      <c r="F34" s="183">
        <f>D34/D65*100</f>
        <v>8.9556486788264542E-2</v>
      </c>
    </row>
    <row r="35" spans="1:6" x14ac:dyDescent="0.3">
      <c r="A35" s="580" t="s">
        <v>437</v>
      </c>
      <c r="B35" s="579" t="s">
        <v>438</v>
      </c>
      <c r="C35" s="581">
        <v>135000</v>
      </c>
      <c r="D35" s="581">
        <v>135000</v>
      </c>
      <c r="F35" s="183">
        <f>D35/D65*100</f>
        <v>1.2090125716415713E-2</v>
      </c>
    </row>
    <row r="36" spans="1:6" ht="32.299999999999997" customHeight="1" x14ac:dyDescent="0.3">
      <c r="A36" s="584" t="s">
        <v>572</v>
      </c>
      <c r="B36" s="583" t="s">
        <v>557</v>
      </c>
      <c r="C36" s="581">
        <v>135000</v>
      </c>
      <c r="D36" s="581">
        <v>135000</v>
      </c>
    </row>
    <row r="37" spans="1:6" s="461" customFormat="1" ht="18" customHeight="1" collapsed="1" x14ac:dyDescent="0.3">
      <c r="A37" s="382" t="s">
        <v>191</v>
      </c>
      <c r="B37" s="382" t="s">
        <v>192</v>
      </c>
      <c r="C37" s="178">
        <f>C38</f>
        <v>894781970.54999995</v>
      </c>
      <c r="D37" s="178">
        <f>D38</f>
        <v>936094699.20000005</v>
      </c>
      <c r="E37" s="587">
        <f>C37-'прил 6 '!B46</f>
        <v>0</v>
      </c>
      <c r="F37" s="587">
        <f>D37-'прил 6 '!C46</f>
        <v>0</v>
      </c>
    </row>
    <row r="38" spans="1:6" ht="50.95" x14ac:dyDescent="0.3">
      <c r="A38" s="588" t="s">
        <v>193</v>
      </c>
      <c r="B38" s="188" t="s">
        <v>239</v>
      </c>
      <c r="C38" s="179">
        <f>C39+C41+C51+C62</f>
        <v>894781970.54999995</v>
      </c>
      <c r="D38" s="179">
        <f>D39+D41+D51+D62</f>
        <v>936094699.20000005</v>
      </c>
      <c r="E38" s="587"/>
      <c r="F38" s="184"/>
    </row>
    <row r="39" spans="1:6" ht="34" x14ac:dyDescent="0.3">
      <c r="A39" s="382" t="s">
        <v>634</v>
      </c>
      <c r="B39" s="186" t="s">
        <v>635</v>
      </c>
      <c r="C39" s="179">
        <f>C40</f>
        <v>243480996</v>
      </c>
      <c r="D39" s="179">
        <f>D40</f>
        <v>243480996</v>
      </c>
      <c r="E39" s="587"/>
    </row>
    <row r="40" spans="1:6" ht="50.95" x14ac:dyDescent="0.3">
      <c r="A40" s="188" t="s">
        <v>889</v>
      </c>
      <c r="B40" s="189" t="s">
        <v>844</v>
      </c>
      <c r="C40" s="589">
        <v>243480996</v>
      </c>
      <c r="D40" s="589">
        <v>243480996</v>
      </c>
      <c r="E40" s="587"/>
    </row>
    <row r="41" spans="1:6" ht="34" x14ac:dyDescent="0.3">
      <c r="A41" s="382" t="s">
        <v>288</v>
      </c>
      <c r="B41" s="382" t="s">
        <v>281</v>
      </c>
      <c r="C41" s="178">
        <f>C42+C44+C45+C46+C47+C48+C50+C43+C49</f>
        <v>14047271.83</v>
      </c>
      <c r="D41" s="178">
        <f>D42+D44+D45+D46+D47+D48+D50+D49</f>
        <v>14028254.670000002</v>
      </c>
      <c r="E41" s="587"/>
    </row>
    <row r="42" spans="1:6" ht="81.7" hidden="1" customHeight="1" x14ac:dyDescent="0.3">
      <c r="A42" s="188" t="s">
        <v>607</v>
      </c>
      <c r="B42" s="188" t="s">
        <v>606</v>
      </c>
      <c r="C42" s="449">
        <f>2869484.71-2869484.71</f>
        <v>0</v>
      </c>
      <c r="D42" s="449">
        <f>2872483.88-2872483.88</f>
        <v>0</v>
      </c>
      <c r="E42" s="587"/>
    </row>
    <row r="43" spans="1:6" ht="102.6" hidden="1" customHeight="1" x14ac:dyDescent="0.3">
      <c r="A43" s="188" t="s">
        <v>966</v>
      </c>
      <c r="B43" s="189" t="s">
        <v>1003</v>
      </c>
      <c r="C43" s="449">
        <v>0</v>
      </c>
      <c r="D43" s="449">
        <v>0</v>
      </c>
      <c r="E43" s="587"/>
    </row>
    <row r="44" spans="1:6" ht="40.1" hidden="1" customHeight="1" x14ac:dyDescent="0.3">
      <c r="A44" s="189" t="s">
        <v>590</v>
      </c>
      <c r="B44" s="189" t="s">
        <v>588</v>
      </c>
      <c r="C44" s="179">
        <v>0</v>
      </c>
      <c r="D44" s="179">
        <v>0</v>
      </c>
      <c r="E44" s="587"/>
    </row>
    <row r="45" spans="1:6" ht="113.3" hidden="1" customHeight="1" x14ac:dyDescent="0.3">
      <c r="A45" s="188" t="s">
        <v>876</v>
      </c>
      <c r="B45" s="188" t="s">
        <v>877</v>
      </c>
      <c r="C45" s="590">
        <v>0</v>
      </c>
      <c r="D45" s="590">
        <v>0</v>
      </c>
      <c r="E45" s="587"/>
    </row>
    <row r="46" spans="1:6" ht="60.45" customHeight="1" x14ac:dyDescent="0.3">
      <c r="A46" s="189" t="s">
        <v>603</v>
      </c>
      <c r="B46" s="180" t="s">
        <v>602</v>
      </c>
      <c r="C46" s="591">
        <v>536617.18000000005</v>
      </c>
      <c r="D46" s="591">
        <v>496095.23</v>
      </c>
      <c r="E46" s="587"/>
    </row>
    <row r="47" spans="1:6" ht="62.15" hidden="1" customHeight="1" x14ac:dyDescent="0.3">
      <c r="A47" s="188" t="s">
        <v>574</v>
      </c>
      <c r="B47" s="180" t="s">
        <v>559</v>
      </c>
      <c r="C47" s="592">
        <v>0</v>
      </c>
      <c r="D47" s="592">
        <f>7566254.97-7566254.97</f>
        <v>0</v>
      </c>
      <c r="E47" s="587"/>
    </row>
    <row r="48" spans="1:6" ht="91.2" hidden="1" customHeight="1" x14ac:dyDescent="0.3">
      <c r="A48" s="188" t="s">
        <v>782</v>
      </c>
      <c r="B48" s="180" t="s">
        <v>754</v>
      </c>
      <c r="C48" s="179">
        <v>0</v>
      </c>
      <c r="D48" s="179">
        <v>0</v>
      </c>
      <c r="E48" s="587"/>
    </row>
    <row r="49" spans="1:5" ht="72" customHeight="1" x14ac:dyDescent="0.3">
      <c r="A49" s="312" t="s">
        <v>898</v>
      </c>
      <c r="B49" s="180" t="s">
        <v>897</v>
      </c>
      <c r="C49" s="593">
        <v>1722056.68</v>
      </c>
      <c r="D49" s="593">
        <v>1743316.64</v>
      </c>
      <c r="E49" s="587"/>
    </row>
    <row r="50" spans="1:5" x14ac:dyDescent="0.3">
      <c r="A50" s="188" t="s">
        <v>575</v>
      </c>
      <c r="B50" s="188" t="s">
        <v>560</v>
      </c>
      <c r="C50" s="179">
        <f>'прил 6 '!B19+'прил 6 '!B20+'прил 6 '!B21</f>
        <v>11788597.970000001</v>
      </c>
      <c r="D50" s="179">
        <f>'прил 6 '!C19+'прил 6 '!C20+'прил 6 '!C21</f>
        <v>11788842.800000001</v>
      </c>
      <c r="E50" s="587"/>
    </row>
    <row r="51" spans="1:5" ht="34" x14ac:dyDescent="0.3">
      <c r="A51" s="594" t="s">
        <v>279</v>
      </c>
      <c r="B51" s="382" t="s">
        <v>247</v>
      </c>
      <c r="C51" s="178">
        <f>C52+C53+C54+C55+C56+C58+C59+C60+C61</f>
        <v>609772325.41999996</v>
      </c>
      <c r="D51" s="178">
        <f>D52+D53+D54+D55+D56+D58+D59+D60+D61</f>
        <v>651104071.23000002</v>
      </c>
      <c r="E51" s="587"/>
    </row>
    <row r="52" spans="1:5" ht="34" x14ac:dyDescent="0.3">
      <c r="A52" s="188" t="s">
        <v>576</v>
      </c>
      <c r="B52" s="188" t="s">
        <v>561</v>
      </c>
      <c r="C52" s="179">
        <v>583969113.41999996</v>
      </c>
      <c r="D52" s="179">
        <v>624714715.73000002</v>
      </c>
      <c r="E52" s="587"/>
    </row>
    <row r="53" spans="1:5" ht="94.75" customHeight="1" x14ac:dyDescent="0.3">
      <c r="A53" s="188" t="s">
        <v>577</v>
      </c>
      <c r="B53" s="189" t="s">
        <v>562</v>
      </c>
      <c r="C53" s="593">
        <v>4081437</v>
      </c>
      <c r="D53" s="593">
        <v>4244892</v>
      </c>
      <c r="E53" s="587"/>
    </row>
    <row r="54" spans="1:5" ht="96.8" hidden="1" customHeight="1" x14ac:dyDescent="0.3">
      <c r="A54" s="188" t="s">
        <v>878</v>
      </c>
      <c r="B54" s="189" t="s">
        <v>853</v>
      </c>
      <c r="C54" s="595">
        <v>0</v>
      </c>
      <c r="D54" s="595">
        <v>0</v>
      </c>
      <c r="E54" s="587"/>
    </row>
    <row r="55" spans="1:5" ht="80.5" customHeight="1" x14ac:dyDescent="0.3">
      <c r="A55" s="188" t="s">
        <v>579</v>
      </c>
      <c r="B55" s="189" t="s">
        <v>894</v>
      </c>
      <c r="C55" s="593">
        <v>1869840</v>
      </c>
      <c r="D55" s="593">
        <v>1869840</v>
      </c>
      <c r="E55" s="587"/>
    </row>
    <row r="56" spans="1:5" ht="75.25" customHeight="1" x14ac:dyDescent="0.3">
      <c r="A56" s="188" t="s">
        <v>580</v>
      </c>
      <c r="B56" s="189" t="s">
        <v>563</v>
      </c>
      <c r="C56" s="593">
        <v>3786</v>
      </c>
      <c r="D56" s="593">
        <v>3786</v>
      </c>
      <c r="E56" s="587"/>
    </row>
    <row r="57" spans="1:5" ht="57.25" hidden="1" customHeight="1" x14ac:dyDescent="0.3">
      <c r="A57" s="188" t="s">
        <v>589</v>
      </c>
      <c r="B57" s="189" t="s">
        <v>564</v>
      </c>
      <c r="C57" s="179"/>
      <c r="D57" s="179"/>
      <c r="E57" s="587"/>
    </row>
    <row r="58" spans="1:5" ht="67.95" x14ac:dyDescent="0.3">
      <c r="A58" s="188" t="s">
        <v>582</v>
      </c>
      <c r="B58" s="189" t="s">
        <v>565</v>
      </c>
      <c r="C58" s="591">
        <v>14681200</v>
      </c>
      <c r="D58" s="591">
        <v>14909943.5</v>
      </c>
      <c r="E58" s="587"/>
    </row>
    <row r="59" spans="1:5" ht="34" x14ac:dyDescent="0.3">
      <c r="A59" s="188" t="s">
        <v>584</v>
      </c>
      <c r="B59" s="188" t="s">
        <v>567</v>
      </c>
      <c r="C59" s="593">
        <v>1641578</v>
      </c>
      <c r="D59" s="593">
        <v>1696267</v>
      </c>
      <c r="E59" s="587"/>
    </row>
    <row r="60" spans="1:5" ht="34" x14ac:dyDescent="0.3">
      <c r="A60" s="188" t="s">
        <v>585</v>
      </c>
      <c r="B60" s="188" t="s">
        <v>568</v>
      </c>
      <c r="C60" s="593">
        <v>3059918</v>
      </c>
      <c r="D60" s="593">
        <v>3182315</v>
      </c>
      <c r="E60" s="587"/>
    </row>
    <row r="61" spans="1:5" x14ac:dyDescent="0.3">
      <c r="A61" s="188" t="s">
        <v>661</v>
      </c>
      <c r="B61" s="188" t="s">
        <v>662</v>
      </c>
      <c r="C61" s="593">
        <v>465453</v>
      </c>
      <c r="D61" s="593">
        <v>482312</v>
      </c>
      <c r="E61" s="587"/>
    </row>
    <row r="62" spans="1:5" x14ac:dyDescent="0.3">
      <c r="A62" s="382" t="s">
        <v>511</v>
      </c>
      <c r="B62" s="382" t="s">
        <v>512</v>
      </c>
      <c r="C62" s="178">
        <f>C63+C64</f>
        <v>27481377.300000001</v>
      </c>
      <c r="D62" s="178">
        <f>D63+D64</f>
        <v>27481377.300000001</v>
      </c>
      <c r="E62" s="587"/>
    </row>
    <row r="63" spans="1:5" ht="101.25" customHeight="1" x14ac:dyDescent="0.3">
      <c r="A63" s="188" t="s">
        <v>586</v>
      </c>
      <c r="B63" s="189" t="s">
        <v>854</v>
      </c>
      <c r="C63" s="593">
        <v>23400000</v>
      </c>
      <c r="D63" s="593">
        <v>23400000</v>
      </c>
      <c r="E63" s="587"/>
    </row>
    <row r="64" spans="1:5" ht="98.5" customHeight="1" x14ac:dyDescent="0.3">
      <c r="A64" s="188" t="s">
        <v>983</v>
      </c>
      <c r="B64" s="185" t="s">
        <v>982</v>
      </c>
      <c r="C64" s="596">
        <v>4081377.3</v>
      </c>
      <c r="D64" s="596">
        <v>4081377.3</v>
      </c>
      <c r="E64" s="587"/>
    </row>
    <row r="65" spans="1:5" x14ac:dyDescent="0.3">
      <c r="A65" s="594"/>
      <c r="B65" s="597" t="s">
        <v>125</v>
      </c>
      <c r="C65" s="178">
        <f>C9+C37</f>
        <v>1071081970.55</v>
      </c>
      <c r="D65" s="178">
        <f>D9+D37</f>
        <v>1116613699.2</v>
      </c>
      <c r="E65" s="587"/>
    </row>
    <row r="66" spans="1:5" x14ac:dyDescent="0.3">
      <c r="A66" s="598"/>
      <c r="B66" s="599"/>
      <c r="C66" s="600"/>
    </row>
    <row r="67" spans="1:5" x14ac:dyDescent="0.3">
      <c r="A67" s="598"/>
      <c r="B67" s="599"/>
      <c r="C67" s="600"/>
    </row>
    <row r="69" spans="1:5" x14ac:dyDescent="0.3">
      <c r="C69" s="183">
        <f>C37/C65*100</f>
        <v>83.540008622358755</v>
      </c>
      <c r="D69" s="183">
        <f>D37/D65*100</f>
        <v>83.833352561469283</v>
      </c>
    </row>
  </sheetData>
  <mergeCells count="2">
    <mergeCell ref="A5:D5"/>
    <mergeCell ref="A6:D6"/>
  </mergeCells>
  <pageMargins left="0.70866141732283472" right="0.70866141732283472" top="0.74803149606299213" bottom="0.74803149606299213" header="0.31496062992125984" footer="0.31496062992125984"/>
  <pageSetup paperSize="9" scale="6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view="pageBreakPreview" zoomScale="91" zoomScaleNormal="100" zoomScaleSheetLayoutView="91" workbookViewId="0">
      <selection activeCell="A27" sqref="A27:XFD27"/>
    </sheetView>
  </sheetViews>
  <sheetFormatPr defaultColWidth="9" defaultRowHeight="19.05" x14ac:dyDescent="0.35"/>
  <cols>
    <col min="1" max="1" width="86.625" style="183" customWidth="1"/>
    <col min="2" max="2" width="24.625" style="443" customWidth="1"/>
    <col min="3" max="16384" width="9" style="381"/>
  </cols>
  <sheetData>
    <row r="1" spans="1:2" x14ac:dyDescent="0.35">
      <c r="B1" s="608" t="s">
        <v>1143</v>
      </c>
    </row>
    <row r="2" spans="1:2" x14ac:dyDescent="0.35">
      <c r="B2" s="197" t="s">
        <v>800</v>
      </c>
    </row>
    <row r="3" spans="1:2" x14ac:dyDescent="0.35">
      <c r="B3" s="608" t="s">
        <v>591</v>
      </c>
    </row>
    <row r="4" spans="1:2" x14ac:dyDescent="0.35">
      <c r="B4" s="608" t="s">
        <v>887</v>
      </c>
    </row>
    <row r="5" spans="1:2" x14ac:dyDescent="0.35">
      <c r="A5" s="649" t="s">
        <v>237</v>
      </c>
      <c r="B5" s="649"/>
    </row>
    <row r="6" spans="1:2" ht="19.2" customHeight="1" x14ac:dyDescent="0.35">
      <c r="A6" s="648" t="s">
        <v>1100</v>
      </c>
      <c r="B6" s="648"/>
    </row>
    <row r="7" spans="1:2" ht="15.8" customHeight="1" x14ac:dyDescent="0.35">
      <c r="A7" s="648"/>
      <c r="B7" s="648"/>
    </row>
    <row r="8" spans="1:2" ht="19.2" customHeight="1" x14ac:dyDescent="0.35">
      <c r="A8" s="308"/>
      <c r="B8" s="437" t="s">
        <v>382</v>
      </c>
    </row>
    <row r="9" spans="1:2" x14ac:dyDescent="0.35">
      <c r="A9" s="354" t="s">
        <v>400</v>
      </c>
      <c r="B9" s="438" t="s">
        <v>698</v>
      </c>
    </row>
    <row r="10" spans="1:2" ht="34.65" x14ac:dyDescent="0.35">
      <c r="A10" s="382" t="s">
        <v>904</v>
      </c>
      <c r="B10" s="439">
        <f>B11+B12+B13</f>
        <v>306093066</v>
      </c>
    </row>
    <row r="11" spans="1:2" ht="46.2" customHeight="1" x14ac:dyDescent="0.35">
      <c r="A11" s="355" t="s">
        <v>901</v>
      </c>
      <c r="B11" s="270">
        <v>306093066</v>
      </c>
    </row>
    <row r="12" spans="1:2" ht="58.75" hidden="1" customHeight="1" x14ac:dyDescent="0.35">
      <c r="A12" s="356" t="s">
        <v>882</v>
      </c>
      <c r="B12" s="270">
        <v>0</v>
      </c>
    </row>
    <row r="13" spans="1:2" ht="58.75" hidden="1" customHeight="1" x14ac:dyDescent="0.35">
      <c r="A13" s="356" t="s">
        <v>649</v>
      </c>
      <c r="B13" s="270">
        <v>0</v>
      </c>
    </row>
    <row r="14" spans="1:2" ht="48.9" customHeight="1" x14ac:dyDescent="0.35">
      <c r="A14" s="360" t="s">
        <v>903</v>
      </c>
      <c r="B14" s="440">
        <f>B15+B16+B17+B18+B19+B20+B21+B22+B23+B26+B24+B25</f>
        <v>37549748.350000001</v>
      </c>
    </row>
    <row r="15" spans="1:2" ht="57.75" hidden="1" customHeight="1" x14ac:dyDescent="0.35">
      <c r="A15" s="185" t="s">
        <v>606</v>
      </c>
      <c r="B15" s="270">
        <f>2892074.61-2892074.61</f>
        <v>0</v>
      </c>
    </row>
    <row r="16" spans="1:2" ht="72" hidden="1" customHeight="1" x14ac:dyDescent="0.35">
      <c r="A16" s="185" t="s">
        <v>900</v>
      </c>
      <c r="B16" s="270">
        <v>0</v>
      </c>
    </row>
    <row r="17" spans="1:2" ht="72" hidden="1" customHeight="1" x14ac:dyDescent="0.35">
      <c r="A17" s="185" t="s">
        <v>972</v>
      </c>
      <c r="B17" s="270">
        <v>0</v>
      </c>
    </row>
    <row r="18" spans="1:2" ht="45.7" hidden="1" customHeight="1" x14ac:dyDescent="0.35">
      <c r="A18" s="185" t="s">
        <v>968</v>
      </c>
      <c r="B18" s="270">
        <v>0</v>
      </c>
    </row>
    <row r="19" spans="1:2" ht="39.4" customHeight="1" x14ac:dyDescent="0.35">
      <c r="A19" s="189" t="s">
        <v>602</v>
      </c>
      <c r="B19" s="270">
        <v>698601.61</v>
      </c>
    </row>
    <row r="20" spans="1:2" ht="66.599999999999994" hidden="1" customHeight="1" x14ac:dyDescent="0.35">
      <c r="A20" s="189" t="s">
        <v>851</v>
      </c>
      <c r="B20" s="270">
        <v>0</v>
      </c>
    </row>
    <row r="21" spans="1:2" ht="41.45" hidden="1" customHeight="1" x14ac:dyDescent="0.35">
      <c r="A21" s="189" t="s">
        <v>559</v>
      </c>
      <c r="B21" s="270">
        <v>0</v>
      </c>
    </row>
    <row r="22" spans="1:2" ht="67.75" hidden="1" customHeight="1" x14ac:dyDescent="0.35">
      <c r="A22" s="185" t="s">
        <v>975</v>
      </c>
      <c r="B22" s="270">
        <v>0</v>
      </c>
    </row>
    <row r="23" spans="1:2" ht="99.2" hidden="1" customHeight="1" x14ac:dyDescent="0.35">
      <c r="A23" s="185" t="s">
        <v>978</v>
      </c>
      <c r="B23" s="270">
        <v>0</v>
      </c>
    </row>
    <row r="24" spans="1:2" ht="62.5" hidden="1" customHeight="1" x14ac:dyDescent="0.35">
      <c r="A24" s="185" t="s">
        <v>1068</v>
      </c>
      <c r="B24" s="270">
        <v>0</v>
      </c>
    </row>
    <row r="25" spans="1:2" ht="62.5" customHeight="1" x14ac:dyDescent="0.35">
      <c r="A25" s="436" t="s">
        <v>965</v>
      </c>
      <c r="B25" s="238">
        <v>2869484.71</v>
      </c>
    </row>
    <row r="26" spans="1:2" ht="29.25" customHeight="1" x14ac:dyDescent="0.35">
      <c r="A26" s="383" t="s">
        <v>902</v>
      </c>
      <c r="B26" s="270">
        <f>B27+B28+B29+B30+B31+B32+B33+B34+B35+B36+B37+B38+B39</f>
        <v>33981662.030000001</v>
      </c>
    </row>
    <row r="27" spans="1:2" ht="27.2" hidden="1" customHeight="1" x14ac:dyDescent="0.35">
      <c r="A27" s="380" t="s">
        <v>906</v>
      </c>
      <c r="B27" s="270">
        <v>0</v>
      </c>
    </row>
    <row r="28" spans="1:2" ht="30.6" customHeight="1" x14ac:dyDescent="0.35">
      <c r="A28" s="380" t="s">
        <v>909</v>
      </c>
      <c r="B28" s="441">
        <v>114861.53</v>
      </c>
    </row>
    <row r="29" spans="1:2" ht="36" customHeight="1" x14ac:dyDescent="0.35">
      <c r="A29" s="380" t="s">
        <v>910</v>
      </c>
      <c r="B29" s="270">
        <v>742500</v>
      </c>
    </row>
    <row r="30" spans="1:2" ht="39.75" customHeight="1" x14ac:dyDescent="0.35">
      <c r="A30" s="380" t="s">
        <v>907</v>
      </c>
      <c r="B30" s="238">
        <v>168005</v>
      </c>
    </row>
    <row r="31" spans="1:2" ht="26.5" customHeight="1" x14ac:dyDescent="0.35">
      <c r="A31" s="380" t="s">
        <v>905</v>
      </c>
      <c r="B31" s="270">
        <v>7384331.9400000004</v>
      </c>
    </row>
    <row r="32" spans="1:2" ht="38.9" hidden="1" customHeight="1" x14ac:dyDescent="0.35">
      <c r="A32" s="380" t="s">
        <v>908</v>
      </c>
      <c r="B32" s="270">
        <v>0</v>
      </c>
    </row>
    <row r="33" spans="1:2" ht="38.9" customHeight="1" x14ac:dyDescent="0.35">
      <c r="A33" s="380" t="s">
        <v>911</v>
      </c>
      <c r="B33" s="442">
        <v>11351059.210000001</v>
      </c>
    </row>
    <row r="34" spans="1:2" ht="38.9" hidden="1" customHeight="1" x14ac:dyDescent="0.35">
      <c r="A34" s="380" t="s">
        <v>1062</v>
      </c>
      <c r="B34" s="270">
        <v>0</v>
      </c>
    </row>
    <row r="35" spans="1:2" ht="38.9" hidden="1" customHeight="1" x14ac:dyDescent="0.35">
      <c r="A35" s="380" t="s">
        <v>1064</v>
      </c>
      <c r="B35" s="270">
        <v>0</v>
      </c>
    </row>
    <row r="36" spans="1:2" ht="38.9" hidden="1" customHeight="1" x14ac:dyDescent="0.35">
      <c r="A36" s="380" t="s">
        <v>1080</v>
      </c>
      <c r="B36" s="270">
        <v>0</v>
      </c>
    </row>
    <row r="37" spans="1:2" ht="38.9" customHeight="1" x14ac:dyDescent="0.35">
      <c r="A37" s="380" t="s">
        <v>1109</v>
      </c>
      <c r="B37" s="270">
        <v>10293772</v>
      </c>
    </row>
    <row r="38" spans="1:2" ht="38.9" customHeight="1" x14ac:dyDescent="0.35">
      <c r="A38" s="380" t="s">
        <v>1110</v>
      </c>
      <c r="B38" s="270">
        <v>3027055.06</v>
      </c>
    </row>
    <row r="39" spans="1:2" ht="38.9" customHeight="1" x14ac:dyDescent="0.35">
      <c r="A39" s="380" t="s">
        <v>1111</v>
      </c>
      <c r="B39" s="270">
        <v>900077.29</v>
      </c>
    </row>
    <row r="40" spans="1:2" ht="40.1" customHeight="1" x14ac:dyDescent="0.35">
      <c r="A40" s="357" t="s">
        <v>912</v>
      </c>
      <c r="B40" s="439">
        <f>B41+B42+B43+B44+B45+B46+B48+B49+B50+B47</f>
        <v>593597337.60000002</v>
      </c>
    </row>
    <row r="41" spans="1:2" ht="59.1" customHeight="1" x14ac:dyDescent="0.35">
      <c r="A41" s="185" t="s">
        <v>518</v>
      </c>
      <c r="B41" s="444">
        <v>1588992</v>
      </c>
    </row>
    <row r="42" spans="1:2" ht="59.1" customHeight="1" x14ac:dyDescent="0.35">
      <c r="A42" s="185" t="s">
        <v>913</v>
      </c>
      <c r="B42" s="441">
        <v>449243</v>
      </c>
    </row>
    <row r="43" spans="1:2" ht="60.45" customHeight="1" x14ac:dyDescent="0.35">
      <c r="A43" s="185" t="s">
        <v>850</v>
      </c>
      <c r="B43" s="445">
        <v>1804512</v>
      </c>
    </row>
    <row r="44" spans="1:2" ht="84.9" customHeight="1" x14ac:dyDescent="0.35">
      <c r="A44" s="185" t="s">
        <v>426</v>
      </c>
      <c r="B44" s="445">
        <v>14435550</v>
      </c>
    </row>
    <row r="45" spans="1:2" ht="63.2" customHeight="1" x14ac:dyDescent="0.35">
      <c r="A45" s="185" t="s">
        <v>852</v>
      </c>
      <c r="B45" s="445">
        <v>4251</v>
      </c>
    </row>
    <row r="46" spans="1:2" ht="58.75" hidden="1" customHeight="1" x14ac:dyDescent="0.35">
      <c r="A46" s="185" t="s">
        <v>853</v>
      </c>
      <c r="B46" s="238">
        <f>21307950-21307950</f>
        <v>0</v>
      </c>
    </row>
    <row r="47" spans="1:2" ht="58.75" hidden="1" customHeight="1" x14ac:dyDescent="0.35">
      <c r="A47" s="185" t="s">
        <v>853</v>
      </c>
      <c r="B47" s="238">
        <v>0</v>
      </c>
    </row>
    <row r="48" spans="1:2" ht="71.5" customHeight="1" x14ac:dyDescent="0.35">
      <c r="A48" s="185" t="s">
        <v>562</v>
      </c>
      <c r="B48" s="444">
        <v>3925411</v>
      </c>
    </row>
    <row r="49" spans="1:2" ht="40.1" customHeight="1" x14ac:dyDescent="0.35">
      <c r="A49" s="185" t="s">
        <v>568</v>
      </c>
      <c r="B49" s="446">
        <v>2942229</v>
      </c>
    </row>
    <row r="50" spans="1:2" ht="38.9" customHeight="1" x14ac:dyDescent="0.35">
      <c r="A50" s="357" t="s">
        <v>928</v>
      </c>
      <c r="B50" s="439">
        <f>B51+B52+B53+B54+B55+B56+B57+B58+B59+B60+B61</f>
        <v>568447149.60000002</v>
      </c>
    </row>
    <row r="51" spans="1:2" ht="51.65" customHeight="1" x14ac:dyDescent="0.35">
      <c r="A51" s="185" t="s">
        <v>916</v>
      </c>
      <c r="B51" s="441">
        <v>3387.08</v>
      </c>
    </row>
    <row r="52" spans="1:2" ht="74.900000000000006" customHeight="1" x14ac:dyDescent="0.35">
      <c r="A52" s="185" t="s">
        <v>917</v>
      </c>
      <c r="B52" s="441">
        <v>402585494</v>
      </c>
    </row>
    <row r="53" spans="1:2" ht="38.049999999999997" customHeight="1" x14ac:dyDescent="0.35">
      <c r="A53" s="185" t="s">
        <v>918</v>
      </c>
      <c r="B53" s="441">
        <v>1219473</v>
      </c>
    </row>
    <row r="54" spans="1:2" ht="59.8" customHeight="1" x14ac:dyDescent="0.35">
      <c r="A54" s="185" t="s">
        <v>919</v>
      </c>
      <c r="B54" s="441">
        <v>104913996</v>
      </c>
    </row>
    <row r="55" spans="1:2" ht="34" x14ac:dyDescent="0.35">
      <c r="A55" s="185" t="s">
        <v>920</v>
      </c>
      <c r="B55" s="441">
        <v>4048374</v>
      </c>
    </row>
    <row r="56" spans="1:2" ht="60.45" customHeight="1" x14ac:dyDescent="0.35">
      <c r="A56" s="185" t="s">
        <v>921</v>
      </c>
      <c r="B56" s="445">
        <v>1122746.8500000001</v>
      </c>
    </row>
    <row r="57" spans="1:2" ht="56.4" customHeight="1" x14ac:dyDescent="0.35">
      <c r="A57" s="185" t="s">
        <v>922</v>
      </c>
      <c r="B57" s="447">
        <v>1160000</v>
      </c>
    </row>
    <row r="58" spans="1:2" ht="40.1" customHeight="1" x14ac:dyDescent="0.35">
      <c r="A58" s="185" t="s">
        <v>914</v>
      </c>
      <c r="B58" s="441">
        <v>2607156</v>
      </c>
    </row>
    <row r="59" spans="1:2" ht="74.900000000000006" customHeight="1" x14ac:dyDescent="0.35">
      <c r="A59" s="185" t="s">
        <v>915</v>
      </c>
      <c r="B59" s="441">
        <v>16624054.49</v>
      </c>
    </row>
    <row r="60" spans="1:2" ht="57.25" customHeight="1" x14ac:dyDescent="0.35">
      <c r="A60" s="185" t="s">
        <v>923</v>
      </c>
      <c r="B60" s="441">
        <v>8225450</v>
      </c>
    </row>
    <row r="61" spans="1:2" ht="57.75" customHeight="1" x14ac:dyDescent="0.35">
      <c r="A61" s="185" t="s">
        <v>924</v>
      </c>
      <c r="B61" s="447">
        <v>25937018.18</v>
      </c>
    </row>
    <row r="62" spans="1:2" ht="28.2" customHeight="1" x14ac:dyDescent="0.35">
      <c r="A62" s="360" t="s">
        <v>512</v>
      </c>
      <c r="B62" s="280">
        <f>B63+B64+B65</f>
        <v>27481377.300000001</v>
      </c>
    </row>
    <row r="63" spans="1:2" ht="53.15" customHeight="1" x14ac:dyDescent="0.35">
      <c r="A63" s="185" t="s">
        <v>854</v>
      </c>
      <c r="B63" s="448">
        <v>23400000</v>
      </c>
    </row>
    <row r="64" spans="1:2" ht="67.75" customHeight="1" x14ac:dyDescent="0.35">
      <c r="A64" s="185" t="s">
        <v>982</v>
      </c>
      <c r="B64" s="270">
        <v>4081377.3</v>
      </c>
    </row>
    <row r="65" spans="1:2" ht="56.25" hidden="1" customHeight="1" x14ac:dyDescent="0.35">
      <c r="A65" s="185" t="s">
        <v>1081</v>
      </c>
      <c r="B65" s="238">
        <v>0</v>
      </c>
    </row>
    <row r="66" spans="1:2" x14ac:dyDescent="0.35">
      <c r="A66" s="358" t="s">
        <v>125</v>
      </c>
      <c r="B66" s="280">
        <f>B10+B14+B40+B62</f>
        <v>964721529.25</v>
      </c>
    </row>
  </sheetData>
  <mergeCells count="3">
    <mergeCell ref="A7:B7"/>
    <mergeCell ref="A5:B5"/>
    <mergeCell ref="A6:B6"/>
  </mergeCells>
  <pageMargins left="0.78740157480314965" right="0.39370078740157483" top="0.35433070866141736" bottom="0.15748031496062992" header="0.31496062992125984" footer="0.31496062992125984"/>
  <pageSetup paperSize="9" scale="5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view="pageBreakPreview" zoomScale="87" zoomScaleNormal="100" zoomScaleSheetLayoutView="87" workbookViewId="0">
      <selection activeCell="B36" sqref="B36"/>
    </sheetView>
  </sheetViews>
  <sheetFormatPr defaultColWidth="9" defaultRowHeight="19.05" x14ac:dyDescent="0.35"/>
  <cols>
    <col min="1" max="1" width="76.375" style="87" customWidth="1"/>
    <col min="2" max="2" width="21.375" style="87" customWidth="1"/>
    <col min="3" max="3" width="25.25" style="133" customWidth="1"/>
    <col min="4" max="4" width="13.625" style="131" customWidth="1"/>
    <col min="5" max="16384" width="9" style="131"/>
  </cols>
  <sheetData>
    <row r="1" spans="1:4" ht="18.350000000000001" x14ac:dyDescent="0.3">
      <c r="C1" s="607" t="s">
        <v>1092</v>
      </c>
    </row>
    <row r="2" spans="1:4" ht="18.350000000000001" x14ac:dyDescent="0.3">
      <c r="C2" s="607" t="s">
        <v>800</v>
      </c>
    </row>
    <row r="3" spans="1:4" ht="18.350000000000001" x14ac:dyDescent="0.3">
      <c r="C3" s="607" t="s">
        <v>591</v>
      </c>
    </row>
    <row r="4" spans="1:4" ht="18.350000000000001" x14ac:dyDescent="0.3">
      <c r="C4" s="607" t="s">
        <v>887</v>
      </c>
    </row>
    <row r="5" spans="1:4" ht="18.350000000000001" x14ac:dyDescent="0.3">
      <c r="A5" s="650" t="s">
        <v>237</v>
      </c>
      <c r="B5" s="650"/>
      <c r="C5" s="650"/>
      <c r="D5" s="421"/>
    </row>
    <row r="6" spans="1:4" ht="18.350000000000001" customHeight="1" x14ac:dyDescent="0.3">
      <c r="A6" s="651" t="s">
        <v>1117</v>
      </c>
      <c r="B6" s="651"/>
      <c r="C6" s="651"/>
      <c r="D6" s="390"/>
    </row>
    <row r="7" spans="1:4" ht="18.350000000000001" x14ac:dyDescent="0.3">
      <c r="A7" s="130"/>
      <c r="C7" s="89" t="s">
        <v>382</v>
      </c>
    </row>
    <row r="8" spans="1:4" ht="36.700000000000003" x14ac:dyDescent="0.25">
      <c r="A8" s="21" t="s">
        <v>401</v>
      </c>
      <c r="B8" s="21" t="s">
        <v>871</v>
      </c>
      <c r="C8" s="21" t="s">
        <v>1129</v>
      </c>
    </row>
    <row r="9" spans="1:4" ht="34" x14ac:dyDescent="0.3">
      <c r="A9" s="359" t="s">
        <v>904</v>
      </c>
      <c r="B9" s="194">
        <f>B10</f>
        <v>243480996</v>
      </c>
      <c r="C9" s="194">
        <f>C10</f>
        <v>243480996</v>
      </c>
      <c r="D9" s="351"/>
    </row>
    <row r="10" spans="1:4" ht="36.700000000000003" x14ac:dyDescent="0.25">
      <c r="A10" s="321" t="s">
        <v>870</v>
      </c>
      <c r="B10" s="546">
        <v>243480996</v>
      </c>
      <c r="C10" s="546">
        <v>243480996</v>
      </c>
      <c r="D10" s="351"/>
    </row>
    <row r="11" spans="1:4" ht="46.2" customHeight="1" x14ac:dyDescent="0.25">
      <c r="A11" s="360" t="s">
        <v>903</v>
      </c>
      <c r="B11" s="194">
        <f>B12+B13+B14+B15+B16+B18+B17</f>
        <v>14047271.83</v>
      </c>
      <c r="C11" s="194">
        <f>C12+C13+C14+C15+C16+C18</f>
        <v>14028254.670000002</v>
      </c>
      <c r="D11" s="351"/>
    </row>
    <row r="12" spans="1:4" ht="95.1" hidden="1" customHeight="1" x14ac:dyDescent="0.25">
      <c r="A12" s="31" t="s">
        <v>877</v>
      </c>
      <c r="B12" s="375">
        <f>8786836.74-8786836.74</f>
        <v>0</v>
      </c>
      <c r="C12" s="375">
        <f>8786836.74-8786836.74</f>
        <v>0</v>
      </c>
      <c r="D12" s="351"/>
    </row>
    <row r="13" spans="1:4" ht="46.2" customHeight="1" x14ac:dyDescent="0.25">
      <c r="A13" s="31" t="s">
        <v>602</v>
      </c>
      <c r="B13" s="549">
        <v>536617.18000000005</v>
      </c>
      <c r="C13" s="549">
        <v>496095.23</v>
      </c>
      <c r="D13" s="351"/>
    </row>
    <row r="14" spans="1:4" ht="74.05" hidden="1" customHeight="1" x14ac:dyDescent="0.3">
      <c r="A14" s="31" t="s">
        <v>606</v>
      </c>
      <c r="B14" s="378"/>
      <c r="C14" s="378"/>
      <c r="D14" s="351"/>
    </row>
    <row r="15" spans="1:4" ht="41.45" hidden="1" customHeight="1" x14ac:dyDescent="0.25">
      <c r="A15" s="7" t="s">
        <v>559</v>
      </c>
      <c r="B15" s="377"/>
      <c r="C15" s="377"/>
      <c r="D15" s="351"/>
    </row>
    <row r="16" spans="1:4" ht="74.05" customHeight="1" x14ac:dyDescent="0.25">
      <c r="A16" s="31" t="s">
        <v>897</v>
      </c>
      <c r="B16" s="547">
        <v>1722056.68</v>
      </c>
      <c r="C16" s="547">
        <v>1743316.64</v>
      </c>
      <c r="D16" s="351"/>
    </row>
    <row r="17" spans="1:4" ht="80.849999999999994" hidden="1" customHeight="1" x14ac:dyDescent="0.3">
      <c r="A17" s="379" t="s">
        <v>965</v>
      </c>
      <c r="B17" s="378"/>
      <c r="C17" s="378"/>
      <c r="D17" s="351"/>
    </row>
    <row r="18" spans="1:4" ht="29.25" customHeight="1" x14ac:dyDescent="0.3">
      <c r="A18" s="361" t="s">
        <v>902</v>
      </c>
      <c r="B18" s="362">
        <f>B19+B20+B21</f>
        <v>11788597.970000001</v>
      </c>
      <c r="C18" s="362">
        <f>C19+C20+C21</f>
        <v>11788842.800000001</v>
      </c>
      <c r="D18" s="351"/>
    </row>
    <row r="19" spans="1:4" ht="36.700000000000003" x14ac:dyDescent="0.3">
      <c r="A19" s="31" t="s">
        <v>925</v>
      </c>
      <c r="B19" s="378">
        <v>168005</v>
      </c>
      <c r="C19" s="378">
        <v>168005</v>
      </c>
      <c r="D19" s="351"/>
    </row>
    <row r="20" spans="1:4" ht="44.5" customHeight="1" x14ac:dyDescent="0.25">
      <c r="A20" s="31" t="s">
        <v>926</v>
      </c>
      <c r="B20" s="547">
        <v>269533.76</v>
      </c>
      <c r="C20" s="547">
        <v>269778.59000000003</v>
      </c>
      <c r="D20" s="351"/>
    </row>
    <row r="21" spans="1:4" ht="49.75" customHeight="1" x14ac:dyDescent="0.25">
      <c r="A21" s="376" t="s">
        <v>927</v>
      </c>
      <c r="B21" s="547">
        <v>11351059.210000001</v>
      </c>
      <c r="C21" s="547">
        <v>11351059.210000001</v>
      </c>
      <c r="D21" s="351"/>
    </row>
    <row r="22" spans="1:4" ht="40.1" customHeight="1" x14ac:dyDescent="0.3">
      <c r="A22" s="360" t="s">
        <v>912</v>
      </c>
      <c r="B22" s="365">
        <f>B23+B24+B25+B26+B27+B29+B30+B31+B28</f>
        <v>609772325.42000008</v>
      </c>
      <c r="C22" s="365">
        <f>C23+C24+C25+C26+C27+C29+C30+C31+C28</f>
        <v>651104071.23000002</v>
      </c>
      <c r="D22" s="351"/>
    </row>
    <row r="23" spans="1:4" ht="64.2" customHeight="1" x14ac:dyDescent="0.25">
      <c r="A23" s="363" t="s">
        <v>518</v>
      </c>
      <c r="B23" s="547">
        <v>1641578</v>
      </c>
      <c r="C23" s="547">
        <v>1696267</v>
      </c>
      <c r="D23" s="351"/>
    </row>
    <row r="24" spans="1:4" ht="70.650000000000006" customHeight="1" x14ac:dyDescent="0.25">
      <c r="A24" s="31" t="s">
        <v>680</v>
      </c>
      <c r="B24" s="547">
        <v>465453</v>
      </c>
      <c r="C24" s="547">
        <v>482312</v>
      </c>
      <c r="D24" s="351"/>
    </row>
    <row r="25" spans="1:4" ht="76.75" customHeight="1" x14ac:dyDescent="0.25">
      <c r="A25" s="31" t="s">
        <v>850</v>
      </c>
      <c r="B25" s="547">
        <v>1869840</v>
      </c>
      <c r="C25" s="547">
        <v>1869840</v>
      </c>
      <c r="D25" s="351"/>
    </row>
    <row r="26" spans="1:4" ht="118.2" customHeight="1" x14ac:dyDescent="0.25">
      <c r="A26" s="31" t="s">
        <v>426</v>
      </c>
      <c r="B26" s="549">
        <v>14681200</v>
      </c>
      <c r="C26" s="549">
        <v>14909943.5</v>
      </c>
      <c r="D26" s="351"/>
    </row>
    <row r="27" spans="1:4" ht="97.15" customHeight="1" x14ac:dyDescent="0.25">
      <c r="A27" s="32" t="s">
        <v>522</v>
      </c>
      <c r="B27" s="547">
        <v>3786</v>
      </c>
      <c r="C27" s="547">
        <v>3786</v>
      </c>
      <c r="D27" s="351"/>
    </row>
    <row r="28" spans="1:4" ht="82.2" hidden="1" customHeight="1" x14ac:dyDescent="0.25">
      <c r="A28" s="31" t="s">
        <v>853</v>
      </c>
      <c r="B28" s="375">
        <v>0</v>
      </c>
      <c r="C28" s="375">
        <v>0</v>
      </c>
      <c r="D28" s="351"/>
    </row>
    <row r="29" spans="1:4" ht="57.75" customHeight="1" x14ac:dyDescent="0.25">
      <c r="A29" s="31" t="s">
        <v>594</v>
      </c>
      <c r="B29" s="547">
        <v>4081437</v>
      </c>
      <c r="C29" s="547">
        <v>4244892</v>
      </c>
      <c r="D29" s="351"/>
    </row>
    <row r="30" spans="1:4" ht="40.75" customHeight="1" x14ac:dyDescent="0.25">
      <c r="A30" s="373" t="s">
        <v>519</v>
      </c>
      <c r="B30" s="323">
        <v>3059918</v>
      </c>
      <c r="C30" s="323">
        <v>3182315</v>
      </c>
      <c r="D30" s="351"/>
    </row>
    <row r="31" spans="1:4" ht="64.2" customHeight="1" x14ac:dyDescent="0.25">
      <c r="A31" s="374" t="s">
        <v>928</v>
      </c>
      <c r="B31" s="372">
        <f>B32+B33+B34+B35+B36+B37+B38+B39+B40+B41+B42</f>
        <v>583969113.42000008</v>
      </c>
      <c r="C31" s="364">
        <f>C32+C33+C34+C35+C36+C37+C38+C39+C40+C41+C42</f>
        <v>624714715.73000002</v>
      </c>
      <c r="D31" s="351"/>
    </row>
    <row r="32" spans="1:4" ht="98.5" customHeight="1" x14ac:dyDescent="0.25">
      <c r="A32" s="31" t="s">
        <v>984</v>
      </c>
      <c r="B32" s="549">
        <v>427876420</v>
      </c>
      <c r="C32" s="549">
        <v>453521427</v>
      </c>
      <c r="D32" s="351"/>
    </row>
    <row r="33" spans="1:6" ht="57.25" customHeight="1" x14ac:dyDescent="0.25">
      <c r="A33" s="31" t="s">
        <v>985</v>
      </c>
      <c r="B33" s="547">
        <v>1265652</v>
      </c>
      <c r="C33" s="547">
        <v>1313679</v>
      </c>
      <c r="D33" s="351"/>
    </row>
    <row r="34" spans="1:6" ht="78.8" customHeight="1" x14ac:dyDescent="0.25">
      <c r="A34" s="31" t="s">
        <v>986</v>
      </c>
      <c r="B34" s="547">
        <v>111310407</v>
      </c>
      <c r="C34" s="547">
        <v>117806853</v>
      </c>
      <c r="D34" s="351"/>
    </row>
    <row r="35" spans="1:6" ht="74.900000000000006" customHeight="1" x14ac:dyDescent="0.25">
      <c r="A35" s="31" t="s">
        <v>987</v>
      </c>
      <c r="B35" s="547">
        <v>1122746.8500000001</v>
      </c>
      <c r="C35" s="547">
        <v>1122746.8500000001</v>
      </c>
      <c r="D35" s="351"/>
    </row>
    <row r="36" spans="1:6" ht="63.2" customHeight="1" x14ac:dyDescent="0.25">
      <c r="A36" s="32" t="s">
        <v>988</v>
      </c>
      <c r="B36" s="547">
        <v>1310000</v>
      </c>
      <c r="C36" s="324">
        <v>0</v>
      </c>
      <c r="D36" s="351"/>
    </row>
    <row r="37" spans="1:6" ht="70.5" customHeight="1" x14ac:dyDescent="0.25">
      <c r="A37" s="31" t="s">
        <v>989</v>
      </c>
      <c r="B37" s="547">
        <v>2715120</v>
      </c>
      <c r="C37" s="547">
        <v>2715120</v>
      </c>
      <c r="D37" s="351"/>
    </row>
    <row r="38" spans="1:6" ht="56.25" customHeight="1" x14ac:dyDescent="0.25">
      <c r="A38" s="32" t="s">
        <v>994</v>
      </c>
      <c r="B38" s="323">
        <v>3387.08</v>
      </c>
      <c r="C38" s="323">
        <v>3387.08</v>
      </c>
      <c r="D38" s="351"/>
    </row>
    <row r="39" spans="1:6" ht="42.45" customHeight="1" x14ac:dyDescent="0.25">
      <c r="A39" s="32" t="s">
        <v>993</v>
      </c>
      <c r="B39" s="547">
        <v>2705139</v>
      </c>
      <c r="C39" s="547">
        <v>2807041</v>
      </c>
      <c r="D39" s="351"/>
    </row>
    <row r="40" spans="1:6" ht="74.05" customHeight="1" x14ac:dyDescent="0.25">
      <c r="A40" s="32" t="s">
        <v>992</v>
      </c>
      <c r="B40" s="547">
        <v>17101159.710000001</v>
      </c>
      <c r="C40" s="547">
        <v>17784560.02</v>
      </c>
      <c r="D40" s="351"/>
    </row>
    <row r="41" spans="1:6" ht="78.8" customHeight="1" x14ac:dyDescent="0.25">
      <c r="A41" s="31" t="s">
        <v>991</v>
      </c>
      <c r="B41" s="547">
        <v>8225450</v>
      </c>
      <c r="C41" s="547">
        <v>8225450</v>
      </c>
      <c r="D41" s="351"/>
      <c r="F41" s="131" t="s">
        <v>51</v>
      </c>
    </row>
    <row r="42" spans="1:6" ht="84.9" customHeight="1" x14ac:dyDescent="0.25">
      <c r="A42" s="31" t="s">
        <v>990</v>
      </c>
      <c r="B42" s="547">
        <v>10333631.779999999</v>
      </c>
      <c r="C42" s="547">
        <v>19414451.780000001</v>
      </c>
      <c r="D42" s="351"/>
    </row>
    <row r="43" spans="1:6" ht="25.15" customHeight="1" x14ac:dyDescent="0.25">
      <c r="A43" s="360" t="s">
        <v>512</v>
      </c>
      <c r="B43" s="548">
        <f>B44+B45</f>
        <v>27481377.300000001</v>
      </c>
      <c r="C43" s="548">
        <f>C44+C45</f>
        <v>27481377.300000001</v>
      </c>
      <c r="D43" s="351"/>
    </row>
    <row r="44" spans="1:6" ht="59.3" customHeight="1" x14ac:dyDescent="0.25">
      <c r="A44" s="370" t="s">
        <v>520</v>
      </c>
      <c r="B44" s="547">
        <v>23400000</v>
      </c>
      <c r="C44" s="547">
        <v>23400000</v>
      </c>
      <c r="D44" s="351"/>
    </row>
    <row r="45" spans="1:6" ht="59.3" customHeight="1" x14ac:dyDescent="0.25">
      <c r="A45" s="31" t="s">
        <v>982</v>
      </c>
      <c r="B45" s="547">
        <v>4081377.3</v>
      </c>
      <c r="C45" s="547">
        <v>4081377.3</v>
      </c>
      <c r="D45" s="351"/>
    </row>
    <row r="46" spans="1:6" ht="18.350000000000001" x14ac:dyDescent="0.3">
      <c r="A46" s="132" t="s">
        <v>125</v>
      </c>
      <c r="B46" s="17">
        <f>B9+B11+B22+B43</f>
        <v>894781970.55000007</v>
      </c>
      <c r="C46" s="17">
        <f>C9+C11+C22+C43</f>
        <v>936094699.20000005</v>
      </c>
      <c r="D46" s="351"/>
    </row>
    <row r="47" spans="1:6" ht="18.350000000000001" x14ac:dyDescent="0.3">
      <c r="B47" s="96"/>
      <c r="C47" s="96"/>
    </row>
  </sheetData>
  <mergeCells count="2">
    <mergeCell ref="A5:C5"/>
    <mergeCell ref="A6:C6"/>
  </mergeCells>
  <pageMargins left="0.51181102362204722" right="0.51181102362204722" top="0.35433070866141736" bottom="0.35433070866141736" header="0.31496062992125984" footer="0.31496062992125984"/>
  <pageSetup paperSize="9" scale="5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36"/>
  <sheetViews>
    <sheetView view="pageBreakPreview" zoomScale="90" zoomScaleNormal="100" zoomScaleSheetLayoutView="90" workbookViewId="0">
      <selection activeCell="A401" sqref="A401:XFD403"/>
    </sheetView>
  </sheetViews>
  <sheetFormatPr defaultRowHeight="18.350000000000001" outlineLevelRow="7" x14ac:dyDescent="0.25"/>
  <cols>
    <col min="1" max="1" width="78.375" style="66" customWidth="1"/>
    <col min="2" max="2" width="6.375" style="4" customWidth="1"/>
    <col min="3" max="3" width="9.75" style="4" customWidth="1"/>
    <col min="4" max="4" width="15.875" style="4" customWidth="1"/>
    <col min="5" max="5" width="6.875" style="4" customWidth="1"/>
    <col min="6" max="6" width="21.125" style="609" customWidth="1"/>
    <col min="7" max="7" width="17.375" style="67" customWidth="1"/>
    <col min="8" max="8" width="13.375" style="67" customWidth="1"/>
    <col min="9" max="238" width="9.125" style="1"/>
    <col min="239" max="239" width="75.875" style="1" customWidth="1"/>
    <col min="240" max="241" width="7.625" style="1" customWidth="1"/>
    <col min="242" max="242" width="9.625" style="1" customWidth="1"/>
    <col min="243" max="243" width="7.625" style="1" customWidth="1"/>
    <col min="244" max="247" width="0" style="1" hidden="1" customWidth="1"/>
    <col min="248" max="248" width="14.375" style="1" customWidth="1"/>
    <col min="249" max="254" width="0" style="1" hidden="1" customWidth="1"/>
    <col min="255" max="255" width="10.125" style="1" bestFit="1" customWidth="1"/>
    <col min="256" max="494" width="9.125" style="1"/>
    <col min="495" max="495" width="75.875" style="1" customWidth="1"/>
    <col min="496" max="497" width="7.625" style="1" customWidth="1"/>
    <col min="498" max="498" width="9.625" style="1" customWidth="1"/>
    <col min="499" max="499" width="7.625" style="1" customWidth="1"/>
    <col min="500" max="503" width="0" style="1" hidden="1" customWidth="1"/>
    <col min="504" max="504" width="14.375" style="1" customWidth="1"/>
    <col min="505" max="510" width="0" style="1" hidden="1" customWidth="1"/>
    <col min="511" max="511" width="10.125" style="1" bestFit="1" customWidth="1"/>
    <col min="512" max="750" width="9.125" style="1"/>
    <col min="751" max="751" width="75.875" style="1" customWidth="1"/>
    <col min="752" max="753" width="7.625" style="1" customWidth="1"/>
    <col min="754" max="754" width="9.625" style="1" customWidth="1"/>
    <col min="755" max="755" width="7.625" style="1" customWidth="1"/>
    <col min="756" max="759" width="0" style="1" hidden="1" customWidth="1"/>
    <col min="760" max="760" width="14.375" style="1" customWidth="1"/>
    <col min="761" max="766" width="0" style="1" hidden="1" customWidth="1"/>
    <col min="767" max="767" width="10.125" style="1" bestFit="1" customWidth="1"/>
    <col min="768" max="1006" width="9.125" style="1"/>
    <col min="1007" max="1007" width="75.875" style="1" customWidth="1"/>
    <col min="1008" max="1009" width="7.625" style="1" customWidth="1"/>
    <col min="1010" max="1010" width="9.625" style="1" customWidth="1"/>
    <col min="1011" max="1011" width="7.625" style="1" customWidth="1"/>
    <col min="1012" max="1015" width="0" style="1" hidden="1" customWidth="1"/>
    <col min="1016" max="1016" width="14.375" style="1" customWidth="1"/>
    <col min="1017" max="1022" width="0" style="1" hidden="1" customWidth="1"/>
    <col min="1023" max="1023" width="10.125" style="1" bestFit="1" customWidth="1"/>
    <col min="1024" max="1262" width="9.125" style="1"/>
    <col min="1263" max="1263" width="75.875" style="1" customWidth="1"/>
    <col min="1264" max="1265" width="7.625" style="1" customWidth="1"/>
    <col min="1266" max="1266" width="9.625" style="1" customWidth="1"/>
    <col min="1267" max="1267" width="7.625" style="1" customWidth="1"/>
    <col min="1268" max="1271" width="0" style="1" hidden="1" customWidth="1"/>
    <col min="1272" max="1272" width="14.375" style="1" customWidth="1"/>
    <col min="1273" max="1278" width="0" style="1" hidden="1" customWidth="1"/>
    <col min="1279" max="1279" width="10.125" style="1" bestFit="1" customWidth="1"/>
    <col min="1280" max="1518" width="9.125" style="1"/>
    <col min="1519" max="1519" width="75.875" style="1" customWidth="1"/>
    <col min="1520" max="1521" width="7.625" style="1" customWidth="1"/>
    <col min="1522" max="1522" width="9.625" style="1" customWidth="1"/>
    <col min="1523" max="1523" width="7.625" style="1" customWidth="1"/>
    <col min="1524" max="1527" width="0" style="1" hidden="1" customWidth="1"/>
    <col min="1528" max="1528" width="14.375" style="1" customWidth="1"/>
    <col min="1529" max="1534" width="0" style="1" hidden="1" customWidth="1"/>
    <col min="1535" max="1535" width="10.125" style="1" bestFit="1" customWidth="1"/>
    <col min="1536" max="1774" width="9.125" style="1"/>
    <col min="1775" max="1775" width="75.875" style="1" customWidth="1"/>
    <col min="1776" max="1777" width="7.625" style="1" customWidth="1"/>
    <col min="1778" max="1778" width="9.625" style="1" customWidth="1"/>
    <col min="1779" max="1779" width="7.625" style="1" customWidth="1"/>
    <col min="1780" max="1783" width="0" style="1" hidden="1" customWidth="1"/>
    <col min="1784" max="1784" width="14.375" style="1" customWidth="1"/>
    <col min="1785" max="1790" width="0" style="1" hidden="1" customWidth="1"/>
    <col min="1791" max="1791" width="10.125" style="1" bestFit="1" customWidth="1"/>
    <col min="1792" max="2030" width="9.125" style="1"/>
    <col min="2031" max="2031" width="75.875" style="1" customWidth="1"/>
    <col min="2032" max="2033" width="7.625" style="1" customWidth="1"/>
    <col min="2034" max="2034" width="9.625" style="1" customWidth="1"/>
    <col min="2035" max="2035" width="7.625" style="1" customWidth="1"/>
    <col min="2036" max="2039" width="0" style="1" hidden="1" customWidth="1"/>
    <col min="2040" max="2040" width="14.375" style="1" customWidth="1"/>
    <col min="2041" max="2046" width="0" style="1" hidden="1" customWidth="1"/>
    <col min="2047" max="2047" width="10.125" style="1" bestFit="1" customWidth="1"/>
    <col min="2048" max="2286" width="9.125" style="1"/>
    <col min="2287" max="2287" width="75.875" style="1" customWidth="1"/>
    <col min="2288" max="2289" width="7.625" style="1" customWidth="1"/>
    <col min="2290" max="2290" width="9.625" style="1" customWidth="1"/>
    <col min="2291" max="2291" width="7.625" style="1" customWidth="1"/>
    <col min="2292" max="2295" width="0" style="1" hidden="1" customWidth="1"/>
    <col min="2296" max="2296" width="14.375" style="1" customWidth="1"/>
    <col min="2297" max="2302" width="0" style="1" hidden="1" customWidth="1"/>
    <col min="2303" max="2303" width="10.125" style="1" bestFit="1" customWidth="1"/>
    <col min="2304" max="2542" width="9.125" style="1"/>
    <col min="2543" max="2543" width="75.875" style="1" customWidth="1"/>
    <col min="2544" max="2545" width="7.625" style="1" customWidth="1"/>
    <col min="2546" max="2546" width="9.625" style="1" customWidth="1"/>
    <col min="2547" max="2547" width="7.625" style="1" customWidth="1"/>
    <col min="2548" max="2551" width="0" style="1" hidden="1" customWidth="1"/>
    <col min="2552" max="2552" width="14.375" style="1" customWidth="1"/>
    <col min="2553" max="2558" width="0" style="1" hidden="1" customWidth="1"/>
    <col min="2559" max="2559" width="10.125" style="1" bestFit="1" customWidth="1"/>
    <col min="2560" max="2798" width="9.125" style="1"/>
    <col min="2799" max="2799" width="75.875" style="1" customWidth="1"/>
    <col min="2800" max="2801" width="7.625" style="1" customWidth="1"/>
    <col min="2802" max="2802" width="9.625" style="1" customWidth="1"/>
    <col min="2803" max="2803" width="7.625" style="1" customWidth="1"/>
    <col min="2804" max="2807" width="0" style="1" hidden="1" customWidth="1"/>
    <col min="2808" max="2808" width="14.375" style="1" customWidth="1"/>
    <col min="2809" max="2814" width="0" style="1" hidden="1" customWidth="1"/>
    <col min="2815" max="2815" width="10.125" style="1" bestFit="1" customWidth="1"/>
    <col min="2816" max="3054" width="9.125" style="1"/>
    <col min="3055" max="3055" width="75.875" style="1" customWidth="1"/>
    <col min="3056" max="3057" width="7.625" style="1" customWidth="1"/>
    <col min="3058" max="3058" width="9.625" style="1" customWidth="1"/>
    <col min="3059" max="3059" width="7.625" style="1" customWidth="1"/>
    <col min="3060" max="3063" width="0" style="1" hidden="1" customWidth="1"/>
    <col min="3064" max="3064" width="14.375" style="1" customWidth="1"/>
    <col min="3065" max="3070" width="0" style="1" hidden="1" customWidth="1"/>
    <col min="3071" max="3071" width="10.125" style="1" bestFit="1" customWidth="1"/>
    <col min="3072" max="3310" width="9.125" style="1"/>
    <col min="3311" max="3311" width="75.875" style="1" customWidth="1"/>
    <col min="3312" max="3313" width="7.625" style="1" customWidth="1"/>
    <col min="3314" max="3314" width="9.625" style="1" customWidth="1"/>
    <col min="3315" max="3315" width="7.625" style="1" customWidth="1"/>
    <col min="3316" max="3319" width="0" style="1" hidden="1" customWidth="1"/>
    <col min="3320" max="3320" width="14.375" style="1" customWidth="1"/>
    <col min="3321" max="3326" width="0" style="1" hidden="1" customWidth="1"/>
    <col min="3327" max="3327" width="10.125" style="1" bestFit="1" customWidth="1"/>
    <col min="3328" max="3566" width="9.125" style="1"/>
    <col min="3567" max="3567" width="75.875" style="1" customWidth="1"/>
    <col min="3568" max="3569" width="7.625" style="1" customWidth="1"/>
    <col min="3570" max="3570" width="9.625" style="1" customWidth="1"/>
    <col min="3571" max="3571" width="7.625" style="1" customWidth="1"/>
    <col min="3572" max="3575" width="0" style="1" hidden="1" customWidth="1"/>
    <col min="3576" max="3576" width="14.375" style="1" customWidth="1"/>
    <col min="3577" max="3582" width="0" style="1" hidden="1" customWidth="1"/>
    <col min="3583" max="3583" width="10.125" style="1" bestFit="1" customWidth="1"/>
    <col min="3584" max="3822" width="9.125" style="1"/>
    <col min="3823" max="3823" width="75.875" style="1" customWidth="1"/>
    <col min="3824" max="3825" width="7.625" style="1" customWidth="1"/>
    <col min="3826" max="3826" width="9.625" style="1" customWidth="1"/>
    <col min="3827" max="3827" width="7.625" style="1" customWidth="1"/>
    <col min="3828" max="3831" width="0" style="1" hidden="1" customWidth="1"/>
    <col min="3832" max="3832" width="14.375" style="1" customWidth="1"/>
    <col min="3833" max="3838" width="0" style="1" hidden="1" customWidth="1"/>
    <col min="3839" max="3839" width="10.125" style="1" bestFit="1" customWidth="1"/>
    <col min="3840" max="4078" width="9.125" style="1"/>
    <col min="4079" max="4079" width="75.875" style="1" customWidth="1"/>
    <col min="4080" max="4081" width="7.625" style="1" customWidth="1"/>
    <col min="4082" max="4082" width="9.625" style="1" customWidth="1"/>
    <col min="4083" max="4083" width="7.625" style="1" customWidth="1"/>
    <col min="4084" max="4087" width="0" style="1" hidden="1" customWidth="1"/>
    <col min="4088" max="4088" width="14.375" style="1" customWidth="1"/>
    <col min="4089" max="4094" width="0" style="1" hidden="1" customWidth="1"/>
    <col min="4095" max="4095" width="10.125" style="1" bestFit="1" customWidth="1"/>
    <col min="4096" max="4334" width="9.125" style="1"/>
    <col min="4335" max="4335" width="75.875" style="1" customWidth="1"/>
    <col min="4336" max="4337" width="7.625" style="1" customWidth="1"/>
    <col min="4338" max="4338" width="9.625" style="1" customWidth="1"/>
    <col min="4339" max="4339" width="7.625" style="1" customWidth="1"/>
    <col min="4340" max="4343" width="0" style="1" hidden="1" customWidth="1"/>
    <col min="4344" max="4344" width="14.375" style="1" customWidth="1"/>
    <col min="4345" max="4350" width="0" style="1" hidden="1" customWidth="1"/>
    <col min="4351" max="4351" width="10.125" style="1" bestFit="1" customWidth="1"/>
    <col min="4352" max="4590" width="9.125" style="1"/>
    <col min="4591" max="4591" width="75.875" style="1" customWidth="1"/>
    <col min="4592" max="4593" width="7.625" style="1" customWidth="1"/>
    <col min="4594" max="4594" width="9.625" style="1" customWidth="1"/>
    <col min="4595" max="4595" width="7.625" style="1" customWidth="1"/>
    <col min="4596" max="4599" width="0" style="1" hidden="1" customWidth="1"/>
    <col min="4600" max="4600" width="14.375" style="1" customWidth="1"/>
    <col min="4601" max="4606" width="0" style="1" hidden="1" customWidth="1"/>
    <col min="4607" max="4607" width="10.125" style="1" bestFit="1" customWidth="1"/>
    <col min="4608" max="4846" width="9.125" style="1"/>
    <col min="4847" max="4847" width="75.875" style="1" customWidth="1"/>
    <col min="4848" max="4849" width="7.625" style="1" customWidth="1"/>
    <col min="4850" max="4850" width="9.625" style="1" customWidth="1"/>
    <col min="4851" max="4851" width="7.625" style="1" customWidth="1"/>
    <col min="4852" max="4855" width="0" style="1" hidden="1" customWidth="1"/>
    <col min="4856" max="4856" width="14.375" style="1" customWidth="1"/>
    <col min="4857" max="4862" width="0" style="1" hidden="1" customWidth="1"/>
    <col min="4863" max="4863" width="10.125" style="1" bestFit="1" customWidth="1"/>
    <col min="4864" max="5102" width="9.125" style="1"/>
    <col min="5103" max="5103" width="75.875" style="1" customWidth="1"/>
    <col min="5104" max="5105" width="7.625" style="1" customWidth="1"/>
    <col min="5106" max="5106" width="9.625" style="1" customWidth="1"/>
    <col min="5107" max="5107" width="7.625" style="1" customWidth="1"/>
    <col min="5108" max="5111" width="0" style="1" hidden="1" customWidth="1"/>
    <col min="5112" max="5112" width="14.375" style="1" customWidth="1"/>
    <col min="5113" max="5118" width="0" style="1" hidden="1" customWidth="1"/>
    <col min="5119" max="5119" width="10.125" style="1" bestFit="1" customWidth="1"/>
    <col min="5120" max="5358" width="9.125" style="1"/>
    <col min="5359" max="5359" width="75.875" style="1" customWidth="1"/>
    <col min="5360" max="5361" width="7.625" style="1" customWidth="1"/>
    <col min="5362" max="5362" width="9.625" style="1" customWidth="1"/>
    <col min="5363" max="5363" width="7.625" style="1" customWidth="1"/>
    <col min="5364" max="5367" width="0" style="1" hidden="1" customWidth="1"/>
    <col min="5368" max="5368" width="14.375" style="1" customWidth="1"/>
    <col min="5369" max="5374" width="0" style="1" hidden="1" customWidth="1"/>
    <col min="5375" max="5375" width="10.125" style="1" bestFit="1" customWidth="1"/>
    <col min="5376" max="5614" width="9.125" style="1"/>
    <col min="5615" max="5615" width="75.875" style="1" customWidth="1"/>
    <col min="5616" max="5617" width="7.625" style="1" customWidth="1"/>
    <col min="5618" max="5618" width="9.625" style="1" customWidth="1"/>
    <col min="5619" max="5619" width="7.625" style="1" customWidth="1"/>
    <col min="5620" max="5623" width="0" style="1" hidden="1" customWidth="1"/>
    <col min="5624" max="5624" width="14.375" style="1" customWidth="1"/>
    <col min="5625" max="5630" width="0" style="1" hidden="1" customWidth="1"/>
    <col min="5631" max="5631" width="10.125" style="1" bestFit="1" customWidth="1"/>
    <col min="5632" max="5870" width="9.125" style="1"/>
    <col min="5871" max="5871" width="75.875" style="1" customWidth="1"/>
    <col min="5872" max="5873" width="7.625" style="1" customWidth="1"/>
    <col min="5874" max="5874" width="9.625" style="1" customWidth="1"/>
    <col min="5875" max="5875" width="7.625" style="1" customWidth="1"/>
    <col min="5876" max="5879" width="0" style="1" hidden="1" customWidth="1"/>
    <col min="5880" max="5880" width="14.375" style="1" customWidth="1"/>
    <col min="5881" max="5886" width="0" style="1" hidden="1" customWidth="1"/>
    <col min="5887" max="5887" width="10.125" style="1" bestFit="1" customWidth="1"/>
    <col min="5888" max="6126" width="9.125" style="1"/>
    <col min="6127" max="6127" width="75.875" style="1" customWidth="1"/>
    <col min="6128" max="6129" width="7.625" style="1" customWidth="1"/>
    <col min="6130" max="6130" width="9.625" style="1" customWidth="1"/>
    <col min="6131" max="6131" width="7.625" style="1" customWidth="1"/>
    <col min="6132" max="6135" width="0" style="1" hidden="1" customWidth="1"/>
    <col min="6136" max="6136" width="14.375" style="1" customWidth="1"/>
    <col min="6137" max="6142" width="0" style="1" hidden="1" customWidth="1"/>
    <col min="6143" max="6143" width="10.125" style="1" bestFit="1" customWidth="1"/>
    <col min="6144" max="6382" width="9.125" style="1"/>
    <col min="6383" max="6383" width="75.875" style="1" customWidth="1"/>
    <col min="6384" max="6385" width="7.625" style="1" customWidth="1"/>
    <col min="6386" max="6386" width="9.625" style="1" customWidth="1"/>
    <col min="6387" max="6387" width="7.625" style="1" customWidth="1"/>
    <col min="6388" max="6391" width="0" style="1" hidden="1" customWidth="1"/>
    <col min="6392" max="6392" width="14.375" style="1" customWidth="1"/>
    <col min="6393" max="6398" width="0" style="1" hidden="1" customWidth="1"/>
    <col min="6399" max="6399" width="10.125" style="1" bestFit="1" customWidth="1"/>
    <col min="6400" max="6638" width="9.125" style="1"/>
    <col min="6639" max="6639" width="75.875" style="1" customWidth="1"/>
    <col min="6640" max="6641" width="7.625" style="1" customWidth="1"/>
    <col min="6642" max="6642" width="9.625" style="1" customWidth="1"/>
    <col min="6643" max="6643" width="7.625" style="1" customWidth="1"/>
    <col min="6644" max="6647" width="0" style="1" hidden="1" customWidth="1"/>
    <col min="6648" max="6648" width="14.375" style="1" customWidth="1"/>
    <col min="6649" max="6654" width="0" style="1" hidden="1" customWidth="1"/>
    <col min="6655" max="6655" width="10.125" style="1" bestFit="1" customWidth="1"/>
    <col min="6656" max="6894" width="9.125" style="1"/>
    <col min="6895" max="6895" width="75.875" style="1" customWidth="1"/>
    <col min="6896" max="6897" width="7.625" style="1" customWidth="1"/>
    <col min="6898" max="6898" width="9.625" style="1" customWidth="1"/>
    <col min="6899" max="6899" width="7.625" style="1" customWidth="1"/>
    <col min="6900" max="6903" width="0" style="1" hidden="1" customWidth="1"/>
    <col min="6904" max="6904" width="14.375" style="1" customWidth="1"/>
    <col min="6905" max="6910" width="0" style="1" hidden="1" customWidth="1"/>
    <col min="6911" max="6911" width="10.125" style="1" bestFit="1" customWidth="1"/>
    <col min="6912" max="7150" width="9.125" style="1"/>
    <col min="7151" max="7151" width="75.875" style="1" customWidth="1"/>
    <col min="7152" max="7153" width="7.625" style="1" customWidth="1"/>
    <col min="7154" max="7154" width="9.625" style="1" customWidth="1"/>
    <col min="7155" max="7155" width="7.625" style="1" customWidth="1"/>
    <col min="7156" max="7159" width="0" style="1" hidden="1" customWidth="1"/>
    <col min="7160" max="7160" width="14.375" style="1" customWidth="1"/>
    <col min="7161" max="7166" width="0" style="1" hidden="1" customWidth="1"/>
    <col min="7167" max="7167" width="10.125" style="1" bestFit="1" customWidth="1"/>
    <col min="7168" max="7406" width="9.125" style="1"/>
    <col min="7407" max="7407" width="75.875" style="1" customWidth="1"/>
    <col min="7408" max="7409" width="7.625" style="1" customWidth="1"/>
    <col min="7410" max="7410" width="9.625" style="1" customWidth="1"/>
    <col min="7411" max="7411" width="7.625" style="1" customWidth="1"/>
    <col min="7412" max="7415" width="0" style="1" hidden="1" customWidth="1"/>
    <col min="7416" max="7416" width="14.375" style="1" customWidth="1"/>
    <col min="7417" max="7422" width="0" style="1" hidden="1" customWidth="1"/>
    <col min="7423" max="7423" width="10.125" style="1" bestFit="1" customWidth="1"/>
    <col min="7424" max="7662" width="9.125" style="1"/>
    <col min="7663" max="7663" width="75.875" style="1" customWidth="1"/>
    <col min="7664" max="7665" width="7.625" style="1" customWidth="1"/>
    <col min="7666" max="7666" width="9.625" style="1" customWidth="1"/>
    <col min="7667" max="7667" width="7.625" style="1" customWidth="1"/>
    <col min="7668" max="7671" width="0" style="1" hidden="1" customWidth="1"/>
    <col min="7672" max="7672" width="14.375" style="1" customWidth="1"/>
    <col min="7673" max="7678" width="0" style="1" hidden="1" customWidth="1"/>
    <col min="7679" max="7679" width="10.125" style="1" bestFit="1" customWidth="1"/>
    <col min="7680" max="7918" width="9.125" style="1"/>
    <col min="7919" max="7919" width="75.875" style="1" customWidth="1"/>
    <col min="7920" max="7921" width="7.625" style="1" customWidth="1"/>
    <col min="7922" max="7922" width="9.625" style="1" customWidth="1"/>
    <col min="7923" max="7923" width="7.625" style="1" customWidth="1"/>
    <col min="7924" max="7927" width="0" style="1" hidden="1" customWidth="1"/>
    <col min="7928" max="7928" width="14.375" style="1" customWidth="1"/>
    <col min="7929" max="7934" width="0" style="1" hidden="1" customWidth="1"/>
    <col min="7935" max="7935" width="10.125" style="1" bestFit="1" customWidth="1"/>
    <col min="7936" max="8174" width="9.125" style="1"/>
    <col min="8175" max="8175" width="75.875" style="1" customWidth="1"/>
    <col min="8176" max="8177" width="7.625" style="1" customWidth="1"/>
    <col min="8178" max="8178" width="9.625" style="1" customWidth="1"/>
    <col min="8179" max="8179" width="7.625" style="1" customWidth="1"/>
    <col min="8180" max="8183" width="0" style="1" hidden="1" customWidth="1"/>
    <col min="8184" max="8184" width="14.375" style="1" customWidth="1"/>
    <col min="8185" max="8190" width="0" style="1" hidden="1" customWidth="1"/>
    <col min="8191" max="8191" width="10.125" style="1" bestFit="1" customWidth="1"/>
    <col min="8192" max="8430" width="9.125" style="1"/>
    <col min="8431" max="8431" width="75.875" style="1" customWidth="1"/>
    <col min="8432" max="8433" width="7.625" style="1" customWidth="1"/>
    <col min="8434" max="8434" width="9.625" style="1" customWidth="1"/>
    <col min="8435" max="8435" width="7.625" style="1" customWidth="1"/>
    <col min="8436" max="8439" width="0" style="1" hidden="1" customWidth="1"/>
    <col min="8440" max="8440" width="14.375" style="1" customWidth="1"/>
    <col min="8441" max="8446" width="0" style="1" hidden="1" customWidth="1"/>
    <col min="8447" max="8447" width="10.125" style="1" bestFit="1" customWidth="1"/>
    <col min="8448" max="8686" width="9.125" style="1"/>
    <col min="8687" max="8687" width="75.875" style="1" customWidth="1"/>
    <col min="8688" max="8689" width="7.625" style="1" customWidth="1"/>
    <col min="8690" max="8690" width="9.625" style="1" customWidth="1"/>
    <col min="8691" max="8691" width="7.625" style="1" customWidth="1"/>
    <col min="8692" max="8695" width="0" style="1" hidden="1" customWidth="1"/>
    <col min="8696" max="8696" width="14.375" style="1" customWidth="1"/>
    <col min="8697" max="8702" width="0" style="1" hidden="1" customWidth="1"/>
    <col min="8703" max="8703" width="10.125" style="1" bestFit="1" customWidth="1"/>
    <col min="8704" max="8942" width="9.125" style="1"/>
    <col min="8943" max="8943" width="75.875" style="1" customWidth="1"/>
    <col min="8944" max="8945" width="7.625" style="1" customWidth="1"/>
    <col min="8946" max="8946" width="9.625" style="1" customWidth="1"/>
    <col min="8947" max="8947" width="7.625" style="1" customWidth="1"/>
    <col min="8948" max="8951" width="0" style="1" hidden="1" customWidth="1"/>
    <col min="8952" max="8952" width="14.375" style="1" customWidth="1"/>
    <col min="8953" max="8958" width="0" style="1" hidden="1" customWidth="1"/>
    <col min="8959" max="8959" width="10.125" style="1" bestFit="1" customWidth="1"/>
    <col min="8960" max="9198" width="9.125" style="1"/>
    <col min="9199" max="9199" width="75.875" style="1" customWidth="1"/>
    <col min="9200" max="9201" width="7.625" style="1" customWidth="1"/>
    <col min="9202" max="9202" width="9.625" style="1" customWidth="1"/>
    <col min="9203" max="9203" width="7.625" style="1" customWidth="1"/>
    <col min="9204" max="9207" width="0" style="1" hidden="1" customWidth="1"/>
    <col min="9208" max="9208" width="14.375" style="1" customWidth="1"/>
    <col min="9209" max="9214" width="0" style="1" hidden="1" customWidth="1"/>
    <col min="9215" max="9215" width="10.125" style="1" bestFit="1" customWidth="1"/>
    <col min="9216" max="9454" width="9.125" style="1"/>
    <col min="9455" max="9455" width="75.875" style="1" customWidth="1"/>
    <col min="9456" max="9457" width="7.625" style="1" customWidth="1"/>
    <col min="9458" max="9458" width="9.625" style="1" customWidth="1"/>
    <col min="9459" max="9459" width="7.625" style="1" customWidth="1"/>
    <col min="9460" max="9463" width="0" style="1" hidden="1" customWidth="1"/>
    <col min="9464" max="9464" width="14.375" style="1" customWidth="1"/>
    <col min="9465" max="9470" width="0" style="1" hidden="1" customWidth="1"/>
    <col min="9471" max="9471" width="10.125" style="1" bestFit="1" customWidth="1"/>
    <col min="9472" max="9710" width="9.125" style="1"/>
    <col min="9711" max="9711" width="75.875" style="1" customWidth="1"/>
    <col min="9712" max="9713" width="7.625" style="1" customWidth="1"/>
    <col min="9714" max="9714" width="9.625" style="1" customWidth="1"/>
    <col min="9715" max="9715" width="7.625" style="1" customWidth="1"/>
    <col min="9716" max="9719" width="0" style="1" hidden="1" customWidth="1"/>
    <col min="9720" max="9720" width="14.375" style="1" customWidth="1"/>
    <col min="9721" max="9726" width="0" style="1" hidden="1" customWidth="1"/>
    <col min="9727" max="9727" width="10.125" style="1" bestFit="1" customWidth="1"/>
    <col min="9728" max="9966" width="9.125" style="1"/>
    <col min="9967" max="9967" width="75.875" style="1" customWidth="1"/>
    <col min="9968" max="9969" width="7.625" style="1" customWidth="1"/>
    <col min="9970" max="9970" width="9.625" style="1" customWidth="1"/>
    <col min="9971" max="9971" width="7.625" style="1" customWidth="1"/>
    <col min="9972" max="9975" width="0" style="1" hidden="1" customWidth="1"/>
    <col min="9976" max="9976" width="14.375" style="1" customWidth="1"/>
    <col min="9977" max="9982" width="0" style="1" hidden="1" customWidth="1"/>
    <col min="9983" max="9983" width="10.125" style="1" bestFit="1" customWidth="1"/>
    <col min="9984" max="10222" width="9.125" style="1"/>
    <col min="10223" max="10223" width="75.875" style="1" customWidth="1"/>
    <col min="10224" max="10225" width="7.625" style="1" customWidth="1"/>
    <col min="10226" max="10226" width="9.625" style="1" customWidth="1"/>
    <col min="10227" max="10227" width="7.625" style="1" customWidth="1"/>
    <col min="10228" max="10231" width="0" style="1" hidden="1" customWidth="1"/>
    <col min="10232" max="10232" width="14.375" style="1" customWidth="1"/>
    <col min="10233" max="10238" width="0" style="1" hidden="1" customWidth="1"/>
    <col min="10239" max="10239" width="10.125" style="1" bestFit="1" customWidth="1"/>
    <col min="10240" max="10478" width="9.125" style="1"/>
    <col min="10479" max="10479" width="75.875" style="1" customWidth="1"/>
    <col min="10480" max="10481" width="7.625" style="1" customWidth="1"/>
    <col min="10482" max="10482" width="9.625" style="1" customWidth="1"/>
    <col min="10483" max="10483" width="7.625" style="1" customWidth="1"/>
    <col min="10484" max="10487" width="0" style="1" hidden="1" customWidth="1"/>
    <col min="10488" max="10488" width="14.375" style="1" customWidth="1"/>
    <col min="10489" max="10494" width="0" style="1" hidden="1" customWidth="1"/>
    <col min="10495" max="10495" width="10.125" style="1" bestFit="1" customWidth="1"/>
    <col min="10496" max="10734" width="9.125" style="1"/>
    <col min="10735" max="10735" width="75.875" style="1" customWidth="1"/>
    <col min="10736" max="10737" width="7.625" style="1" customWidth="1"/>
    <col min="10738" max="10738" width="9.625" style="1" customWidth="1"/>
    <col min="10739" max="10739" width="7.625" style="1" customWidth="1"/>
    <col min="10740" max="10743" width="0" style="1" hidden="1" customWidth="1"/>
    <col min="10744" max="10744" width="14.375" style="1" customWidth="1"/>
    <col min="10745" max="10750" width="0" style="1" hidden="1" customWidth="1"/>
    <col min="10751" max="10751" width="10.125" style="1" bestFit="1" customWidth="1"/>
    <col min="10752" max="10990" width="9.125" style="1"/>
    <col min="10991" max="10991" width="75.875" style="1" customWidth="1"/>
    <col min="10992" max="10993" width="7.625" style="1" customWidth="1"/>
    <col min="10994" max="10994" width="9.625" style="1" customWidth="1"/>
    <col min="10995" max="10995" width="7.625" style="1" customWidth="1"/>
    <col min="10996" max="10999" width="0" style="1" hidden="1" customWidth="1"/>
    <col min="11000" max="11000" width="14.375" style="1" customWidth="1"/>
    <col min="11001" max="11006" width="0" style="1" hidden="1" customWidth="1"/>
    <col min="11007" max="11007" width="10.125" style="1" bestFit="1" customWidth="1"/>
    <col min="11008" max="11246" width="9.125" style="1"/>
    <col min="11247" max="11247" width="75.875" style="1" customWidth="1"/>
    <col min="11248" max="11249" width="7.625" style="1" customWidth="1"/>
    <col min="11250" max="11250" width="9.625" style="1" customWidth="1"/>
    <col min="11251" max="11251" width="7.625" style="1" customWidth="1"/>
    <col min="11252" max="11255" width="0" style="1" hidden="1" customWidth="1"/>
    <col min="11256" max="11256" width="14.375" style="1" customWidth="1"/>
    <col min="11257" max="11262" width="0" style="1" hidden="1" customWidth="1"/>
    <col min="11263" max="11263" width="10.125" style="1" bestFit="1" customWidth="1"/>
    <col min="11264" max="11502" width="9.125" style="1"/>
    <col min="11503" max="11503" width="75.875" style="1" customWidth="1"/>
    <col min="11504" max="11505" width="7.625" style="1" customWidth="1"/>
    <col min="11506" max="11506" width="9.625" style="1" customWidth="1"/>
    <col min="11507" max="11507" width="7.625" style="1" customWidth="1"/>
    <col min="11508" max="11511" width="0" style="1" hidden="1" customWidth="1"/>
    <col min="11512" max="11512" width="14.375" style="1" customWidth="1"/>
    <col min="11513" max="11518" width="0" style="1" hidden="1" customWidth="1"/>
    <col min="11519" max="11519" width="10.125" style="1" bestFit="1" customWidth="1"/>
    <col min="11520" max="11758" width="9.125" style="1"/>
    <col min="11759" max="11759" width="75.875" style="1" customWidth="1"/>
    <col min="11760" max="11761" width="7.625" style="1" customWidth="1"/>
    <col min="11762" max="11762" width="9.625" style="1" customWidth="1"/>
    <col min="11763" max="11763" width="7.625" style="1" customWidth="1"/>
    <col min="11764" max="11767" width="0" style="1" hidden="1" customWidth="1"/>
    <col min="11768" max="11768" width="14.375" style="1" customWidth="1"/>
    <col min="11769" max="11774" width="0" style="1" hidden="1" customWidth="1"/>
    <col min="11775" max="11775" width="10.125" style="1" bestFit="1" customWidth="1"/>
    <col min="11776" max="12014" width="9.125" style="1"/>
    <col min="12015" max="12015" width="75.875" style="1" customWidth="1"/>
    <col min="12016" max="12017" width="7.625" style="1" customWidth="1"/>
    <col min="12018" max="12018" width="9.625" style="1" customWidth="1"/>
    <col min="12019" max="12019" width="7.625" style="1" customWidth="1"/>
    <col min="12020" max="12023" width="0" style="1" hidden="1" customWidth="1"/>
    <col min="12024" max="12024" width="14.375" style="1" customWidth="1"/>
    <col min="12025" max="12030" width="0" style="1" hidden="1" customWidth="1"/>
    <col min="12031" max="12031" width="10.125" style="1" bestFit="1" customWidth="1"/>
    <col min="12032" max="12270" width="9.125" style="1"/>
    <col min="12271" max="12271" width="75.875" style="1" customWidth="1"/>
    <col min="12272" max="12273" width="7.625" style="1" customWidth="1"/>
    <col min="12274" max="12274" width="9.625" style="1" customWidth="1"/>
    <col min="12275" max="12275" width="7.625" style="1" customWidth="1"/>
    <col min="12276" max="12279" width="0" style="1" hidden="1" customWidth="1"/>
    <col min="12280" max="12280" width="14.375" style="1" customWidth="1"/>
    <col min="12281" max="12286" width="0" style="1" hidden="1" customWidth="1"/>
    <col min="12287" max="12287" width="10.125" style="1" bestFit="1" customWidth="1"/>
    <col min="12288" max="12526" width="9.125" style="1"/>
    <col min="12527" max="12527" width="75.875" style="1" customWidth="1"/>
    <col min="12528" max="12529" width="7.625" style="1" customWidth="1"/>
    <col min="12530" max="12530" width="9.625" style="1" customWidth="1"/>
    <col min="12531" max="12531" width="7.625" style="1" customWidth="1"/>
    <col min="12532" max="12535" width="0" style="1" hidden="1" customWidth="1"/>
    <col min="12536" max="12536" width="14.375" style="1" customWidth="1"/>
    <col min="12537" max="12542" width="0" style="1" hidden="1" customWidth="1"/>
    <col min="12543" max="12543" width="10.125" style="1" bestFit="1" customWidth="1"/>
    <col min="12544" max="12782" width="9.125" style="1"/>
    <col min="12783" max="12783" width="75.875" style="1" customWidth="1"/>
    <col min="12784" max="12785" width="7.625" style="1" customWidth="1"/>
    <col min="12786" max="12786" width="9.625" style="1" customWidth="1"/>
    <col min="12787" max="12787" width="7.625" style="1" customWidth="1"/>
    <col min="12788" max="12791" width="0" style="1" hidden="1" customWidth="1"/>
    <col min="12792" max="12792" width="14.375" style="1" customWidth="1"/>
    <col min="12793" max="12798" width="0" style="1" hidden="1" customWidth="1"/>
    <col min="12799" max="12799" width="10.125" style="1" bestFit="1" customWidth="1"/>
    <col min="12800" max="13038" width="9.125" style="1"/>
    <col min="13039" max="13039" width="75.875" style="1" customWidth="1"/>
    <col min="13040" max="13041" width="7.625" style="1" customWidth="1"/>
    <col min="13042" max="13042" width="9.625" style="1" customWidth="1"/>
    <col min="13043" max="13043" width="7.625" style="1" customWidth="1"/>
    <col min="13044" max="13047" width="0" style="1" hidden="1" customWidth="1"/>
    <col min="13048" max="13048" width="14.375" style="1" customWidth="1"/>
    <col min="13049" max="13054" width="0" style="1" hidden="1" customWidth="1"/>
    <col min="13055" max="13055" width="10.125" style="1" bestFit="1" customWidth="1"/>
    <col min="13056" max="13294" width="9.125" style="1"/>
    <col min="13295" max="13295" width="75.875" style="1" customWidth="1"/>
    <col min="13296" max="13297" width="7.625" style="1" customWidth="1"/>
    <col min="13298" max="13298" width="9.625" style="1" customWidth="1"/>
    <col min="13299" max="13299" width="7.625" style="1" customWidth="1"/>
    <col min="13300" max="13303" width="0" style="1" hidden="1" customWidth="1"/>
    <col min="13304" max="13304" width="14.375" style="1" customWidth="1"/>
    <col min="13305" max="13310" width="0" style="1" hidden="1" customWidth="1"/>
    <col min="13311" max="13311" width="10.125" style="1" bestFit="1" customWidth="1"/>
    <col min="13312" max="13550" width="9.125" style="1"/>
    <col min="13551" max="13551" width="75.875" style="1" customWidth="1"/>
    <col min="13552" max="13553" width="7.625" style="1" customWidth="1"/>
    <col min="13554" max="13554" width="9.625" style="1" customWidth="1"/>
    <col min="13555" max="13555" width="7.625" style="1" customWidth="1"/>
    <col min="13556" max="13559" width="0" style="1" hidden="1" customWidth="1"/>
    <col min="13560" max="13560" width="14.375" style="1" customWidth="1"/>
    <col min="13561" max="13566" width="0" style="1" hidden="1" customWidth="1"/>
    <col min="13567" max="13567" width="10.125" style="1" bestFit="1" customWidth="1"/>
    <col min="13568" max="13806" width="9.125" style="1"/>
    <col min="13807" max="13807" width="75.875" style="1" customWidth="1"/>
    <col min="13808" max="13809" width="7.625" style="1" customWidth="1"/>
    <col min="13810" max="13810" width="9.625" style="1" customWidth="1"/>
    <col min="13811" max="13811" width="7.625" style="1" customWidth="1"/>
    <col min="13812" max="13815" width="0" style="1" hidden="1" customWidth="1"/>
    <col min="13816" max="13816" width="14.375" style="1" customWidth="1"/>
    <col min="13817" max="13822" width="0" style="1" hidden="1" customWidth="1"/>
    <col min="13823" max="13823" width="10.125" style="1" bestFit="1" customWidth="1"/>
    <col min="13824" max="14062" width="9.125" style="1"/>
    <col min="14063" max="14063" width="75.875" style="1" customWidth="1"/>
    <col min="14064" max="14065" width="7.625" style="1" customWidth="1"/>
    <col min="14066" max="14066" width="9.625" style="1" customWidth="1"/>
    <col min="14067" max="14067" width="7.625" style="1" customWidth="1"/>
    <col min="14068" max="14071" width="0" style="1" hidden="1" customWidth="1"/>
    <col min="14072" max="14072" width="14.375" style="1" customWidth="1"/>
    <col min="14073" max="14078" width="0" style="1" hidden="1" customWidth="1"/>
    <col min="14079" max="14079" width="10.125" style="1" bestFit="1" customWidth="1"/>
    <col min="14080" max="14318" width="9.125" style="1"/>
    <col min="14319" max="14319" width="75.875" style="1" customWidth="1"/>
    <col min="14320" max="14321" width="7.625" style="1" customWidth="1"/>
    <col min="14322" max="14322" width="9.625" style="1" customWidth="1"/>
    <col min="14323" max="14323" width="7.625" style="1" customWidth="1"/>
    <col min="14324" max="14327" width="0" style="1" hidden="1" customWidth="1"/>
    <col min="14328" max="14328" width="14.375" style="1" customWidth="1"/>
    <col min="14329" max="14334" width="0" style="1" hidden="1" customWidth="1"/>
    <col min="14335" max="14335" width="10.125" style="1" bestFit="1" customWidth="1"/>
    <col min="14336" max="14574" width="9.125" style="1"/>
    <col min="14575" max="14575" width="75.875" style="1" customWidth="1"/>
    <col min="14576" max="14577" width="7.625" style="1" customWidth="1"/>
    <col min="14578" max="14578" width="9.625" style="1" customWidth="1"/>
    <col min="14579" max="14579" width="7.625" style="1" customWidth="1"/>
    <col min="14580" max="14583" width="0" style="1" hidden="1" customWidth="1"/>
    <col min="14584" max="14584" width="14.375" style="1" customWidth="1"/>
    <col min="14585" max="14590" width="0" style="1" hidden="1" customWidth="1"/>
    <col min="14591" max="14591" width="10.125" style="1" bestFit="1" customWidth="1"/>
    <col min="14592" max="14830" width="9.125" style="1"/>
    <col min="14831" max="14831" width="75.875" style="1" customWidth="1"/>
    <col min="14832" max="14833" width="7.625" style="1" customWidth="1"/>
    <col min="14834" max="14834" width="9.625" style="1" customWidth="1"/>
    <col min="14835" max="14835" width="7.625" style="1" customWidth="1"/>
    <col min="14836" max="14839" width="0" style="1" hidden="1" customWidth="1"/>
    <col min="14840" max="14840" width="14.375" style="1" customWidth="1"/>
    <col min="14841" max="14846" width="0" style="1" hidden="1" customWidth="1"/>
    <col min="14847" max="14847" width="10.125" style="1" bestFit="1" customWidth="1"/>
    <col min="14848" max="15086" width="9.125" style="1"/>
    <col min="15087" max="15087" width="75.875" style="1" customWidth="1"/>
    <col min="15088" max="15089" width="7.625" style="1" customWidth="1"/>
    <col min="15090" max="15090" width="9.625" style="1" customWidth="1"/>
    <col min="15091" max="15091" width="7.625" style="1" customWidth="1"/>
    <col min="15092" max="15095" width="0" style="1" hidden="1" customWidth="1"/>
    <col min="15096" max="15096" width="14.375" style="1" customWidth="1"/>
    <col min="15097" max="15102" width="0" style="1" hidden="1" customWidth="1"/>
    <col min="15103" max="15103" width="10.125" style="1" bestFit="1" customWidth="1"/>
    <col min="15104" max="15342" width="9.125" style="1"/>
    <col min="15343" max="15343" width="75.875" style="1" customWidth="1"/>
    <col min="15344" max="15345" width="7.625" style="1" customWidth="1"/>
    <col min="15346" max="15346" width="9.625" style="1" customWidth="1"/>
    <col min="15347" max="15347" width="7.625" style="1" customWidth="1"/>
    <col min="15348" max="15351" width="0" style="1" hidden="1" customWidth="1"/>
    <col min="15352" max="15352" width="14.375" style="1" customWidth="1"/>
    <col min="15353" max="15358" width="0" style="1" hidden="1" customWidth="1"/>
    <col min="15359" max="15359" width="10.125" style="1" bestFit="1" customWidth="1"/>
    <col min="15360" max="15598" width="9.125" style="1"/>
    <col min="15599" max="15599" width="75.875" style="1" customWidth="1"/>
    <col min="15600" max="15601" width="7.625" style="1" customWidth="1"/>
    <col min="15602" max="15602" width="9.625" style="1" customWidth="1"/>
    <col min="15603" max="15603" width="7.625" style="1" customWidth="1"/>
    <col min="15604" max="15607" width="0" style="1" hidden="1" customWidth="1"/>
    <col min="15608" max="15608" width="14.375" style="1" customWidth="1"/>
    <col min="15609" max="15614" width="0" style="1" hidden="1" customWidth="1"/>
    <col min="15615" max="15615" width="10.125" style="1" bestFit="1" customWidth="1"/>
    <col min="15616" max="15854" width="9.125" style="1"/>
    <col min="15855" max="15855" width="75.875" style="1" customWidth="1"/>
    <col min="15856" max="15857" width="7.625" style="1" customWidth="1"/>
    <col min="15858" max="15858" width="9.625" style="1" customWidth="1"/>
    <col min="15859" max="15859" width="7.625" style="1" customWidth="1"/>
    <col min="15860" max="15863" width="0" style="1" hidden="1" customWidth="1"/>
    <col min="15864" max="15864" width="14.375" style="1" customWidth="1"/>
    <col min="15865" max="15870" width="0" style="1" hidden="1" customWidth="1"/>
    <col min="15871" max="15871" width="10.125" style="1" bestFit="1" customWidth="1"/>
    <col min="15872" max="16110" width="9.125" style="1"/>
    <col min="16111" max="16111" width="75.875" style="1" customWidth="1"/>
    <col min="16112" max="16113" width="7.625" style="1" customWidth="1"/>
    <col min="16114" max="16114" width="9.625" style="1" customWidth="1"/>
    <col min="16115" max="16115" width="7.625" style="1" customWidth="1"/>
    <col min="16116" max="16119" width="0" style="1" hidden="1" customWidth="1"/>
    <col min="16120" max="16120" width="14.375" style="1" customWidth="1"/>
    <col min="16121" max="16126" width="0" style="1" hidden="1" customWidth="1"/>
    <col min="16127" max="16127" width="10.125" style="1" bestFit="1" customWidth="1"/>
    <col min="16128" max="16384" width="9.125" style="1"/>
  </cols>
  <sheetData>
    <row r="1" spans="1:8" x14ac:dyDescent="0.25">
      <c r="F1" s="627" t="s">
        <v>1195</v>
      </c>
    </row>
    <row r="2" spans="1:8" x14ac:dyDescent="0.25">
      <c r="F2" s="627" t="s">
        <v>1138</v>
      </c>
    </row>
    <row r="3" spans="1:8" x14ac:dyDescent="0.25">
      <c r="F3" s="627" t="s">
        <v>591</v>
      </c>
    </row>
    <row r="4" spans="1:8" x14ac:dyDescent="0.25">
      <c r="F4" s="627" t="s">
        <v>1131</v>
      </c>
    </row>
    <row r="5" spans="1:8" x14ac:dyDescent="0.3">
      <c r="A5" s="652" t="s">
        <v>236</v>
      </c>
      <c r="B5" s="645"/>
      <c r="C5" s="645"/>
      <c r="D5" s="645"/>
      <c r="E5" s="645"/>
      <c r="F5" s="647"/>
    </row>
    <row r="6" spans="1:8" x14ac:dyDescent="0.3">
      <c r="A6" s="653" t="s">
        <v>1097</v>
      </c>
      <c r="B6" s="651"/>
      <c r="C6" s="651"/>
      <c r="D6" s="651"/>
      <c r="E6" s="651"/>
      <c r="F6" s="654"/>
    </row>
    <row r="7" spans="1:8" x14ac:dyDescent="0.3">
      <c r="A7" s="653" t="s">
        <v>427</v>
      </c>
      <c r="B7" s="651"/>
      <c r="C7" s="651"/>
      <c r="D7" s="651"/>
      <c r="E7" s="651"/>
      <c r="F7" s="654"/>
    </row>
    <row r="8" spans="1:8" x14ac:dyDescent="0.25">
      <c r="A8" s="633"/>
      <c r="B8" s="630"/>
      <c r="C8" s="630"/>
      <c r="D8" s="630"/>
      <c r="E8" s="630"/>
      <c r="F8" s="609" t="s">
        <v>382</v>
      </c>
    </row>
    <row r="9" spans="1:8" x14ac:dyDescent="0.25">
      <c r="A9" s="602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175" t="s">
        <v>698</v>
      </c>
    </row>
    <row r="10" spans="1:8" s="2" customFormat="1" ht="36.700000000000003" x14ac:dyDescent="0.25">
      <c r="A10" s="57" t="s">
        <v>448</v>
      </c>
      <c r="B10" s="396" t="s">
        <v>454</v>
      </c>
      <c r="C10" s="396" t="s">
        <v>5</v>
      </c>
      <c r="D10" s="396" t="s">
        <v>126</v>
      </c>
      <c r="E10" s="396" t="s">
        <v>6</v>
      </c>
      <c r="F10" s="400">
        <f>F11</f>
        <v>10324818.59</v>
      </c>
      <c r="G10" s="143"/>
      <c r="H10" s="143"/>
    </row>
    <row r="11" spans="1:8" outlineLevel="1" x14ac:dyDescent="0.25">
      <c r="A11" s="423" t="s">
        <v>7</v>
      </c>
      <c r="B11" s="615" t="s">
        <v>454</v>
      </c>
      <c r="C11" s="615" t="s">
        <v>8</v>
      </c>
      <c r="D11" s="615" t="s">
        <v>126</v>
      </c>
      <c r="E11" s="615" t="s">
        <v>6</v>
      </c>
      <c r="F11" s="402">
        <f>F12+F21</f>
        <v>10324818.59</v>
      </c>
    </row>
    <row r="12" spans="1:8" ht="39.25" customHeight="1" outlineLevel="2" x14ac:dyDescent="0.25">
      <c r="A12" s="423" t="s">
        <v>9</v>
      </c>
      <c r="B12" s="615" t="s">
        <v>454</v>
      </c>
      <c r="C12" s="615" t="s">
        <v>10</v>
      </c>
      <c r="D12" s="615" t="s">
        <v>126</v>
      </c>
      <c r="E12" s="615" t="s">
        <v>6</v>
      </c>
      <c r="F12" s="402">
        <f>F13</f>
        <v>9655619.5899999999</v>
      </c>
    </row>
    <row r="13" spans="1:8" ht="36.700000000000003" outlineLevel="4" x14ac:dyDescent="0.25">
      <c r="A13" s="423" t="s">
        <v>132</v>
      </c>
      <c r="B13" s="615" t="s">
        <v>454</v>
      </c>
      <c r="C13" s="615" t="s">
        <v>10</v>
      </c>
      <c r="D13" s="615" t="s">
        <v>127</v>
      </c>
      <c r="E13" s="615" t="s">
        <v>6</v>
      </c>
      <c r="F13" s="402">
        <f>F14</f>
        <v>9655619.5899999999</v>
      </c>
    </row>
    <row r="14" spans="1:8" ht="43.5" customHeight="1" outlineLevel="5" x14ac:dyDescent="0.25">
      <c r="A14" s="423" t="s">
        <v>449</v>
      </c>
      <c r="B14" s="615" t="s">
        <v>454</v>
      </c>
      <c r="C14" s="615" t="s">
        <v>10</v>
      </c>
      <c r="D14" s="615" t="s">
        <v>450</v>
      </c>
      <c r="E14" s="615" t="s">
        <v>6</v>
      </c>
      <c r="F14" s="402">
        <f>F15+F17+F19</f>
        <v>9655619.5899999999</v>
      </c>
    </row>
    <row r="15" spans="1:8" ht="76.75" customHeight="1" outlineLevel="6" x14ac:dyDescent="0.25">
      <c r="A15" s="423" t="s">
        <v>11</v>
      </c>
      <c r="B15" s="615" t="s">
        <v>454</v>
      </c>
      <c r="C15" s="615" t="s">
        <v>10</v>
      </c>
      <c r="D15" s="615" t="s">
        <v>450</v>
      </c>
      <c r="E15" s="615" t="s">
        <v>12</v>
      </c>
      <c r="F15" s="402">
        <f>F16</f>
        <v>9389819.5899999999</v>
      </c>
    </row>
    <row r="16" spans="1:8" ht="36.700000000000003" outlineLevel="7" x14ac:dyDescent="0.25">
      <c r="A16" s="423" t="s">
        <v>13</v>
      </c>
      <c r="B16" s="615" t="s">
        <v>454</v>
      </c>
      <c r="C16" s="615" t="s">
        <v>10</v>
      </c>
      <c r="D16" s="615" t="s">
        <v>450</v>
      </c>
      <c r="E16" s="615" t="s">
        <v>14</v>
      </c>
      <c r="F16" s="345">
        <f>'потребность 2024 проект весь'!M14+1291585.59</f>
        <v>9389819.5899999999</v>
      </c>
    </row>
    <row r="17" spans="1:8" ht="36.700000000000003" outlineLevel="6" x14ac:dyDescent="0.25">
      <c r="A17" s="423" t="s">
        <v>15</v>
      </c>
      <c r="B17" s="615" t="s">
        <v>454</v>
      </c>
      <c r="C17" s="615" t="s">
        <v>10</v>
      </c>
      <c r="D17" s="615" t="s">
        <v>450</v>
      </c>
      <c r="E17" s="615" t="s">
        <v>16</v>
      </c>
      <c r="F17" s="402">
        <f>F18</f>
        <v>264800</v>
      </c>
    </row>
    <row r="18" spans="1:8" ht="34.65" customHeight="1" outlineLevel="7" x14ac:dyDescent="0.25">
      <c r="A18" s="423" t="s">
        <v>17</v>
      </c>
      <c r="B18" s="615" t="s">
        <v>454</v>
      </c>
      <c r="C18" s="615" t="s">
        <v>10</v>
      </c>
      <c r="D18" s="615" t="s">
        <v>450</v>
      </c>
      <c r="E18" s="615" t="s">
        <v>18</v>
      </c>
      <c r="F18" s="345">
        <f>'потребность 2024 проект весь'!M16</f>
        <v>264800</v>
      </c>
    </row>
    <row r="19" spans="1:8" outlineLevel="6" x14ac:dyDescent="0.25">
      <c r="A19" s="423" t="s">
        <v>19</v>
      </c>
      <c r="B19" s="615" t="s">
        <v>454</v>
      </c>
      <c r="C19" s="615" t="s">
        <v>10</v>
      </c>
      <c r="D19" s="615" t="s">
        <v>450</v>
      </c>
      <c r="E19" s="615" t="s">
        <v>20</v>
      </c>
      <c r="F19" s="402">
        <f>F20</f>
        <v>1000</v>
      </c>
    </row>
    <row r="20" spans="1:8" outlineLevel="7" x14ac:dyDescent="0.25">
      <c r="A20" s="423" t="s">
        <v>21</v>
      </c>
      <c r="B20" s="615" t="s">
        <v>454</v>
      </c>
      <c r="C20" s="615" t="s">
        <v>10</v>
      </c>
      <c r="D20" s="615" t="s">
        <v>450</v>
      </c>
      <c r="E20" s="615" t="s">
        <v>22</v>
      </c>
      <c r="F20" s="345">
        <f>'потребность 2024 проект весь'!M18</f>
        <v>1000</v>
      </c>
    </row>
    <row r="21" spans="1:8" outlineLevel="2" x14ac:dyDescent="0.25">
      <c r="A21" s="423" t="s">
        <v>23</v>
      </c>
      <c r="B21" s="615" t="s">
        <v>454</v>
      </c>
      <c r="C21" s="615" t="s">
        <v>24</v>
      </c>
      <c r="D21" s="615" t="s">
        <v>126</v>
      </c>
      <c r="E21" s="615" t="s">
        <v>6</v>
      </c>
      <c r="F21" s="402">
        <f>F22+F27</f>
        <v>669199</v>
      </c>
    </row>
    <row r="22" spans="1:8" s="76" customFormat="1" ht="39.75" customHeight="1" outlineLevel="3" x14ac:dyDescent="0.25">
      <c r="A22" s="45" t="s">
        <v>1149</v>
      </c>
      <c r="B22" s="616" t="s">
        <v>454</v>
      </c>
      <c r="C22" s="616" t="s">
        <v>24</v>
      </c>
      <c r="D22" s="616" t="s">
        <v>128</v>
      </c>
      <c r="E22" s="616" t="s">
        <v>6</v>
      </c>
      <c r="F22" s="347">
        <f>F23</f>
        <v>60571</v>
      </c>
      <c r="G22" s="75"/>
      <c r="H22" s="75"/>
    </row>
    <row r="23" spans="1:8" ht="39.25" customHeight="1" outlineLevel="4" x14ac:dyDescent="0.25">
      <c r="A23" s="423" t="s">
        <v>748</v>
      </c>
      <c r="B23" s="615" t="s">
        <v>454</v>
      </c>
      <c r="C23" s="615" t="s">
        <v>24</v>
      </c>
      <c r="D23" s="615" t="s">
        <v>303</v>
      </c>
      <c r="E23" s="615" t="s">
        <v>6</v>
      </c>
      <c r="F23" s="402">
        <f>F24</f>
        <v>60571</v>
      </c>
    </row>
    <row r="24" spans="1:8" outlineLevel="5" x14ac:dyDescent="0.25">
      <c r="A24" s="423" t="s">
        <v>309</v>
      </c>
      <c r="B24" s="615" t="s">
        <v>454</v>
      </c>
      <c r="C24" s="615" t="s">
        <v>24</v>
      </c>
      <c r="D24" s="615" t="s">
        <v>304</v>
      </c>
      <c r="E24" s="615" t="s">
        <v>6</v>
      </c>
      <c r="F24" s="402">
        <f>F25</f>
        <v>60571</v>
      </c>
    </row>
    <row r="25" spans="1:8" ht="36.700000000000003" outlineLevel="6" x14ac:dyDescent="0.25">
      <c r="A25" s="423" t="s">
        <v>15</v>
      </c>
      <c r="B25" s="615" t="s">
        <v>454</v>
      </c>
      <c r="C25" s="615" t="s">
        <v>24</v>
      </c>
      <c r="D25" s="615" t="s">
        <v>304</v>
      </c>
      <c r="E25" s="615" t="s">
        <v>16</v>
      </c>
      <c r="F25" s="402">
        <f>F26</f>
        <v>60571</v>
      </c>
    </row>
    <row r="26" spans="1:8" ht="19.55" customHeight="1" outlineLevel="7" x14ac:dyDescent="0.25">
      <c r="A26" s="423" t="s">
        <v>17</v>
      </c>
      <c r="B26" s="615" t="s">
        <v>454</v>
      </c>
      <c r="C26" s="615" t="s">
        <v>24</v>
      </c>
      <c r="D26" s="615" t="s">
        <v>304</v>
      </c>
      <c r="E26" s="615" t="s">
        <v>18</v>
      </c>
      <c r="F26" s="345">
        <f>'потребность 2024 проект весь'!M24</f>
        <v>60571</v>
      </c>
    </row>
    <row r="27" spans="1:8" s="76" customFormat="1" ht="36.700000000000003" customHeight="1" outlineLevel="7" x14ac:dyDescent="0.25">
      <c r="A27" s="45" t="s">
        <v>1150</v>
      </c>
      <c r="B27" s="616" t="s">
        <v>454</v>
      </c>
      <c r="C27" s="615" t="s">
        <v>24</v>
      </c>
      <c r="D27" s="616" t="s">
        <v>305</v>
      </c>
      <c r="E27" s="616" t="s">
        <v>6</v>
      </c>
      <c r="F27" s="346">
        <f>F28</f>
        <v>608628</v>
      </c>
      <c r="G27" s="75"/>
      <c r="H27" s="75"/>
    </row>
    <row r="28" spans="1:8" ht="36.700000000000003" outlineLevel="7" x14ac:dyDescent="0.25">
      <c r="A28" s="423" t="s">
        <v>245</v>
      </c>
      <c r="B28" s="615" t="s">
        <v>454</v>
      </c>
      <c r="C28" s="615" t="s">
        <v>24</v>
      </c>
      <c r="D28" s="615" t="s">
        <v>306</v>
      </c>
      <c r="E28" s="615" t="s">
        <v>6</v>
      </c>
      <c r="F28" s="345">
        <f>F29</f>
        <v>608628</v>
      </c>
    </row>
    <row r="29" spans="1:8" ht="39.75" customHeight="1" outlineLevel="5" x14ac:dyDescent="0.25">
      <c r="A29" s="423" t="s">
        <v>25</v>
      </c>
      <c r="B29" s="615" t="s">
        <v>454</v>
      </c>
      <c r="C29" s="615" t="s">
        <v>24</v>
      </c>
      <c r="D29" s="615" t="s">
        <v>317</v>
      </c>
      <c r="E29" s="615" t="s">
        <v>6</v>
      </c>
      <c r="F29" s="402">
        <f>F30</f>
        <v>608628</v>
      </c>
    </row>
    <row r="30" spans="1:8" ht="36.700000000000003" outlineLevel="6" x14ac:dyDescent="0.25">
      <c r="A30" s="423" t="s">
        <v>15</v>
      </c>
      <c r="B30" s="615" t="s">
        <v>454</v>
      </c>
      <c r="C30" s="615" t="s">
        <v>24</v>
      </c>
      <c r="D30" s="615" t="s">
        <v>317</v>
      </c>
      <c r="E30" s="615" t="s">
        <v>16</v>
      </c>
      <c r="F30" s="402">
        <f>F31</f>
        <v>608628</v>
      </c>
    </row>
    <row r="31" spans="1:8" ht="21.25" customHeight="1" outlineLevel="7" x14ac:dyDescent="0.25">
      <c r="A31" s="423" t="s">
        <v>17</v>
      </c>
      <c r="B31" s="615" t="s">
        <v>454</v>
      </c>
      <c r="C31" s="615" t="s">
        <v>24</v>
      </c>
      <c r="D31" s="615" t="s">
        <v>317</v>
      </c>
      <c r="E31" s="615" t="s">
        <v>18</v>
      </c>
      <c r="F31" s="402">
        <f>'потребность 2024 проект весь'!M29</f>
        <v>608628</v>
      </c>
    </row>
    <row r="32" spans="1:8" s="2" customFormat="1" ht="36.700000000000003" x14ac:dyDescent="0.25">
      <c r="A32" s="57" t="s">
        <v>888</v>
      </c>
      <c r="B32" s="396" t="s">
        <v>455</v>
      </c>
      <c r="C32" s="396" t="s">
        <v>5</v>
      </c>
      <c r="D32" s="396" t="s">
        <v>126</v>
      </c>
      <c r="E32" s="396" t="s">
        <v>6</v>
      </c>
      <c r="F32" s="400">
        <f>F33+F162+F172+F234+F327+F343+F350+F380+F454+F428+F183</f>
        <v>330832687.01999998</v>
      </c>
      <c r="G32" s="388"/>
      <c r="H32" s="388"/>
    </row>
    <row r="33" spans="1:8" s="76" customFormat="1" outlineLevel="1" x14ac:dyDescent="0.25">
      <c r="A33" s="45" t="s">
        <v>7</v>
      </c>
      <c r="B33" s="616" t="s">
        <v>455</v>
      </c>
      <c r="C33" s="616" t="s">
        <v>8</v>
      </c>
      <c r="D33" s="616" t="s">
        <v>126</v>
      </c>
      <c r="E33" s="616" t="s">
        <v>6</v>
      </c>
      <c r="F33" s="347">
        <f>F34+F39+F46+F52+F62+F57</f>
        <v>132421470.34</v>
      </c>
      <c r="G33" s="75"/>
      <c r="H33" s="75"/>
    </row>
    <row r="34" spans="1:8" ht="45.7" customHeight="1" outlineLevel="2" x14ac:dyDescent="0.25">
      <c r="A34" s="423" t="s">
        <v>28</v>
      </c>
      <c r="B34" s="615" t="s">
        <v>455</v>
      </c>
      <c r="C34" s="615" t="s">
        <v>29</v>
      </c>
      <c r="D34" s="615" t="s">
        <v>126</v>
      </c>
      <c r="E34" s="615" t="s">
        <v>6</v>
      </c>
      <c r="F34" s="402">
        <f>F35</f>
        <v>3571200</v>
      </c>
    </row>
    <row r="35" spans="1:8" ht="36.700000000000003" outlineLevel="3" x14ac:dyDescent="0.25">
      <c r="A35" s="423" t="s">
        <v>132</v>
      </c>
      <c r="B35" s="615" t="s">
        <v>455</v>
      </c>
      <c r="C35" s="615" t="s">
        <v>29</v>
      </c>
      <c r="D35" s="615" t="s">
        <v>127</v>
      </c>
      <c r="E35" s="615" t="s">
        <v>6</v>
      </c>
      <c r="F35" s="402">
        <f>F36</f>
        <v>3571200</v>
      </c>
    </row>
    <row r="36" spans="1:8" outlineLevel="5" x14ac:dyDescent="0.25">
      <c r="A36" s="423" t="s">
        <v>451</v>
      </c>
      <c r="B36" s="615" t="s">
        <v>455</v>
      </c>
      <c r="C36" s="615" t="s">
        <v>29</v>
      </c>
      <c r="D36" s="615" t="s">
        <v>452</v>
      </c>
      <c r="E36" s="615" t="s">
        <v>6</v>
      </c>
      <c r="F36" s="402">
        <f>F37</f>
        <v>3571200</v>
      </c>
    </row>
    <row r="37" spans="1:8" ht="73.400000000000006" outlineLevel="6" x14ac:dyDescent="0.25">
      <c r="A37" s="423" t="s">
        <v>11</v>
      </c>
      <c r="B37" s="615" t="s">
        <v>455</v>
      </c>
      <c r="C37" s="615" t="s">
        <v>29</v>
      </c>
      <c r="D37" s="615" t="s">
        <v>452</v>
      </c>
      <c r="E37" s="615" t="s">
        <v>12</v>
      </c>
      <c r="F37" s="402">
        <f>F38</f>
        <v>3571200</v>
      </c>
    </row>
    <row r="38" spans="1:8" ht="36.700000000000003" outlineLevel="7" x14ac:dyDescent="0.25">
      <c r="A38" s="423" t="s">
        <v>13</v>
      </c>
      <c r="B38" s="615" t="s">
        <v>455</v>
      </c>
      <c r="C38" s="615" t="s">
        <v>29</v>
      </c>
      <c r="D38" s="615" t="s">
        <v>452</v>
      </c>
      <c r="E38" s="615" t="s">
        <v>14</v>
      </c>
      <c r="F38" s="402">
        <f>'потребность 2024 проект весь'!M36+431200</f>
        <v>3571200</v>
      </c>
    </row>
    <row r="39" spans="1:8" ht="55.2" customHeight="1" outlineLevel="2" x14ac:dyDescent="0.25">
      <c r="A39" s="423" t="s">
        <v>30</v>
      </c>
      <c r="B39" s="615" t="s">
        <v>455</v>
      </c>
      <c r="C39" s="615" t="s">
        <v>31</v>
      </c>
      <c r="D39" s="615" t="s">
        <v>126</v>
      </c>
      <c r="E39" s="615" t="s">
        <v>6</v>
      </c>
      <c r="F39" s="402">
        <f>F40</f>
        <v>30210000</v>
      </c>
    </row>
    <row r="40" spans="1:8" ht="36.700000000000003" outlineLevel="3" x14ac:dyDescent="0.25">
      <c r="A40" s="423" t="s">
        <v>132</v>
      </c>
      <c r="B40" s="615" t="s">
        <v>455</v>
      </c>
      <c r="C40" s="615" t="s">
        <v>31</v>
      </c>
      <c r="D40" s="615" t="s">
        <v>127</v>
      </c>
      <c r="E40" s="615" t="s">
        <v>6</v>
      </c>
      <c r="F40" s="402">
        <f>F41</f>
        <v>30210000</v>
      </c>
    </row>
    <row r="41" spans="1:8" ht="46.55" customHeight="1" outlineLevel="5" x14ac:dyDescent="0.25">
      <c r="A41" s="423" t="s">
        <v>449</v>
      </c>
      <c r="B41" s="615" t="s">
        <v>455</v>
      </c>
      <c r="C41" s="615" t="s">
        <v>31</v>
      </c>
      <c r="D41" s="615" t="s">
        <v>450</v>
      </c>
      <c r="E41" s="615" t="s">
        <v>6</v>
      </c>
      <c r="F41" s="402">
        <f>F42+F44</f>
        <v>30210000</v>
      </c>
    </row>
    <row r="42" spans="1:8" ht="73.400000000000006" outlineLevel="6" x14ac:dyDescent="0.25">
      <c r="A42" s="423" t="s">
        <v>11</v>
      </c>
      <c r="B42" s="615" t="s">
        <v>455</v>
      </c>
      <c r="C42" s="615" t="s">
        <v>31</v>
      </c>
      <c r="D42" s="615" t="s">
        <v>450</v>
      </c>
      <c r="E42" s="615" t="s">
        <v>12</v>
      </c>
      <c r="F42" s="402">
        <f>F43</f>
        <v>30105000</v>
      </c>
    </row>
    <row r="43" spans="1:8" ht="36.700000000000003" outlineLevel="7" x14ac:dyDescent="0.25">
      <c r="A43" s="423" t="s">
        <v>13</v>
      </c>
      <c r="B43" s="615" t="s">
        <v>455</v>
      </c>
      <c r="C43" s="615" t="s">
        <v>31</v>
      </c>
      <c r="D43" s="615" t="s">
        <v>450</v>
      </c>
      <c r="E43" s="615" t="s">
        <v>14</v>
      </c>
      <c r="F43" s="345">
        <f>'потребность 2024 проект весь'!M41+4635000</f>
        <v>30105000</v>
      </c>
    </row>
    <row r="44" spans="1:8" ht="36.700000000000003" outlineLevel="6" x14ac:dyDescent="0.25">
      <c r="A44" s="423" t="s">
        <v>15</v>
      </c>
      <c r="B44" s="615" t="s">
        <v>455</v>
      </c>
      <c r="C44" s="615" t="s">
        <v>31</v>
      </c>
      <c r="D44" s="615" t="s">
        <v>450</v>
      </c>
      <c r="E44" s="615" t="s">
        <v>16</v>
      </c>
      <c r="F44" s="402">
        <f>F45</f>
        <v>105000</v>
      </c>
    </row>
    <row r="45" spans="1:8" ht="21.25" customHeight="1" outlineLevel="7" x14ac:dyDescent="0.25">
      <c r="A45" s="423" t="s">
        <v>17</v>
      </c>
      <c r="B45" s="615" t="s">
        <v>455</v>
      </c>
      <c r="C45" s="615" t="s">
        <v>31</v>
      </c>
      <c r="D45" s="615" t="s">
        <v>450</v>
      </c>
      <c r="E45" s="615" t="s">
        <v>18</v>
      </c>
      <c r="F45" s="345">
        <f>'потребность 2024 проект весь'!M43</f>
        <v>105000</v>
      </c>
    </row>
    <row r="46" spans="1:8" outlineLevel="7" x14ac:dyDescent="0.25">
      <c r="A46" s="423" t="s">
        <v>254</v>
      </c>
      <c r="B46" s="615" t="s">
        <v>455</v>
      </c>
      <c r="C46" s="615" t="s">
        <v>255</v>
      </c>
      <c r="D46" s="615" t="s">
        <v>126</v>
      </c>
      <c r="E46" s="615" t="s">
        <v>6</v>
      </c>
      <c r="F46" s="345">
        <f>F47</f>
        <v>4251</v>
      </c>
    </row>
    <row r="47" spans="1:8" ht="36.700000000000003" outlineLevel="7" x14ac:dyDescent="0.25">
      <c r="A47" s="423" t="s">
        <v>132</v>
      </c>
      <c r="B47" s="615" t="s">
        <v>455</v>
      </c>
      <c r="C47" s="615" t="s">
        <v>255</v>
      </c>
      <c r="D47" s="615" t="s">
        <v>127</v>
      </c>
      <c r="E47" s="615" t="s">
        <v>6</v>
      </c>
      <c r="F47" s="345">
        <f>F49</f>
        <v>4251</v>
      </c>
    </row>
    <row r="48" spans="1:8" outlineLevel="7" x14ac:dyDescent="0.25">
      <c r="A48" s="423" t="s">
        <v>269</v>
      </c>
      <c r="B48" s="615" t="s">
        <v>455</v>
      </c>
      <c r="C48" s="615" t="s">
        <v>255</v>
      </c>
      <c r="D48" s="615" t="s">
        <v>268</v>
      </c>
      <c r="E48" s="615" t="s">
        <v>6</v>
      </c>
      <c r="F48" s="345">
        <f>F49</f>
        <v>4251</v>
      </c>
    </row>
    <row r="49" spans="1:8" ht="41.45" customHeight="1" outlineLevel="7" x14ac:dyDescent="0.25">
      <c r="A49" s="423" t="s">
        <v>932</v>
      </c>
      <c r="B49" s="615" t="s">
        <v>455</v>
      </c>
      <c r="C49" s="615" t="s">
        <v>255</v>
      </c>
      <c r="D49" s="615" t="s">
        <v>277</v>
      </c>
      <c r="E49" s="615" t="s">
        <v>6</v>
      </c>
      <c r="F49" s="345">
        <f>F50</f>
        <v>4251</v>
      </c>
    </row>
    <row r="50" spans="1:8" ht="36.700000000000003" outlineLevel="7" x14ac:dyDescent="0.25">
      <c r="A50" s="423" t="s">
        <v>15</v>
      </c>
      <c r="B50" s="615" t="s">
        <v>455</v>
      </c>
      <c r="C50" s="615" t="s">
        <v>255</v>
      </c>
      <c r="D50" s="615" t="s">
        <v>277</v>
      </c>
      <c r="E50" s="615" t="s">
        <v>16</v>
      </c>
      <c r="F50" s="345">
        <f>F51</f>
        <v>4251</v>
      </c>
    </row>
    <row r="51" spans="1:8" ht="19.55" customHeight="1" outlineLevel="7" x14ac:dyDescent="0.25">
      <c r="A51" s="423" t="s">
        <v>17</v>
      </c>
      <c r="B51" s="615" t="s">
        <v>455</v>
      </c>
      <c r="C51" s="615" t="s">
        <v>255</v>
      </c>
      <c r="D51" s="615" t="s">
        <v>277</v>
      </c>
      <c r="E51" s="615" t="s">
        <v>18</v>
      </c>
      <c r="F51" s="402">
        <f>'потребность 2024 проект весь'!M49</f>
        <v>4251</v>
      </c>
    </row>
    <row r="52" spans="1:8" ht="36.700000000000003" customHeight="1" outlineLevel="2" x14ac:dyDescent="0.25">
      <c r="A52" s="423" t="s">
        <v>9</v>
      </c>
      <c r="B52" s="615" t="s">
        <v>455</v>
      </c>
      <c r="C52" s="615" t="s">
        <v>10</v>
      </c>
      <c r="D52" s="615" t="s">
        <v>126</v>
      </c>
      <c r="E52" s="615" t="s">
        <v>6</v>
      </c>
      <c r="F52" s="402">
        <f>F53</f>
        <v>1035360</v>
      </c>
    </row>
    <row r="53" spans="1:8" ht="36.700000000000003" outlineLevel="4" x14ac:dyDescent="0.25">
      <c r="A53" s="423" t="s">
        <v>132</v>
      </c>
      <c r="B53" s="615" t="s">
        <v>455</v>
      </c>
      <c r="C53" s="615" t="s">
        <v>10</v>
      </c>
      <c r="D53" s="615" t="s">
        <v>127</v>
      </c>
      <c r="E53" s="615" t="s">
        <v>6</v>
      </c>
      <c r="F53" s="402">
        <f>F54</f>
        <v>1035360</v>
      </c>
    </row>
    <row r="54" spans="1:8" ht="36.700000000000003" outlineLevel="5" x14ac:dyDescent="0.25">
      <c r="A54" s="423" t="s">
        <v>453</v>
      </c>
      <c r="B54" s="615" t="s">
        <v>455</v>
      </c>
      <c r="C54" s="615" t="s">
        <v>10</v>
      </c>
      <c r="D54" s="615" t="s">
        <v>491</v>
      </c>
      <c r="E54" s="615" t="s">
        <v>6</v>
      </c>
      <c r="F54" s="402">
        <f>F55</f>
        <v>1035360</v>
      </c>
    </row>
    <row r="55" spans="1:8" ht="73.400000000000006" outlineLevel="6" x14ac:dyDescent="0.25">
      <c r="A55" s="423" t="s">
        <v>11</v>
      </c>
      <c r="B55" s="615" t="s">
        <v>455</v>
      </c>
      <c r="C55" s="615" t="s">
        <v>10</v>
      </c>
      <c r="D55" s="615" t="s">
        <v>491</v>
      </c>
      <c r="E55" s="615" t="s">
        <v>12</v>
      </c>
      <c r="F55" s="402">
        <f>F56</f>
        <v>1035360</v>
      </c>
    </row>
    <row r="56" spans="1:8" ht="36.700000000000003" outlineLevel="7" x14ac:dyDescent="0.25">
      <c r="A56" s="423" t="s">
        <v>13</v>
      </c>
      <c r="B56" s="615" t="s">
        <v>455</v>
      </c>
      <c r="C56" s="615" t="s">
        <v>10</v>
      </c>
      <c r="D56" s="615" t="s">
        <v>491</v>
      </c>
      <c r="E56" s="615" t="s">
        <v>14</v>
      </c>
      <c r="F56" s="402">
        <f>'потребность 2024 проект весь'!M54+125010</f>
        <v>1035360</v>
      </c>
    </row>
    <row r="57" spans="1:8" outlineLevel="7" x14ac:dyDescent="0.25">
      <c r="A57" s="423" t="s">
        <v>630</v>
      </c>
      <c r="B57" s="615" t="s">
        <v>455</v>
      </c>
      <c r="C57" s="615" t="s">
        <v>627</v>
      </c>
      <c r="D57" s="615" t="s">
        <v>126</v>
      </c>
      <c r="E57" s="615" t="s">
        <v>6</v>
      </c>
      <c r="F57" s="402">
        <f>F58</f>
        <v>1030303.0300000012</v>
      </c>
    </row>
    <row r="58" spans="1:8" ht="36.700000000000003" outlineLevel="7" x14ac:dyDescent="0.25">
      <c r="A58" s="423" t="s">
        <v>132</v>
      </c>
      <c r="B58" s="615" t="s">
        <v>455</v>
      </c>
      <c r="C58" s="615" t="s">
        <v>627</v>
      </c>
      <c r="D58" s="615" t="s">
        <v>127</v>
      </c>
      <c r="E58" s="615" t="s">
        <v>6</v>
      </c>
      <c r="F58" s="402">
        <f>F59</f>
        <v>1030303.0300000012</v>
      </c>
    </row>
    <row r="59" spans="1:8" ht="36.700000000000003" outlineLevel="7" x14ac:dyDescent="0.25">
      <c r="A59" s="423" t="s">
        <v>480</v>
      </c>
      <c r="B59" s="615" t="s">
        <v>455</v>
      </c>
      <c r="C59" s="615" t="s">
        <v>627</v>
      </c>
      <c r="D59" s="615" t="s">
        <v>493</v>
      </c>
      <c r="E59" s="615" t="s">
        <v>6</v>
      </c>
      <c r="F59" s="402">
        <f>F60</f>
        <v>1030303.0300000012</v>
      </c>
    </row>
    <row r="60" spans="1:8" outlineLevel="7" x14ac:dyDescent="0.25">
      <c r="A60" s="423" t="s">
        <v>19</v>
      </c>
      <c r="B60" s="615" t="s">
        <v>455</v>
      </c>
      <c r="C60" s="615" t="s">
        <v>627</v>
      </c>
      <c r="D60" s="615" t="s">
        <v>493</v>
      </c>
      <c r="E60" s="615" t="s">
        <v>20</v>
      </c>
      <c r="F60" s="402">
        <f>F61</f>
        <v>1030303.0300000012</v>
      </c>
    </row>
    <row r="61" spans="1:8" outlineLevel="7" x14ac:dyDescent="0.25">
      <c r="A61" s="423" t="s">
        <v>628</v>
      </c>
      <c r="B61" s="615" t="s">
        <v>455</v>
      </c>
      <c r="C61" s="615" t="s">
        <v>627</v>
      </c>
      <c r="D61" s="615" t="s">
        <v>493</v>
      </c>
      <c r="E61" s="615" t="s">
        <v>626</v>
      </c>
      <c r="F61" s="402">
        <f>'потребность 2024 проект весь'!M59-17000000-3760000</f>
        <v>1030303.0300000012</v>
      </c>
    </row>
    <row r="62" spans="1:8" outlineLevel="2" x14ac:dyDescent="0.25">
      <c r="A62" s="423" t="s">
        <v>23</v>
      </c>
      <c r="B62" s="615" t="s">
        <v>455</v>
      </c>
      <c r="C62" s="615" t="s">
        <v>24</v>
      </c>
      <c r="D62" s="615" t="s">
        <v>126</v>
      </c>
      <c r="E62" s="615" t="s">
        <v>6</v>
      </c>
      <c r="F62" s="402">
        <f>F63+F88+F101+F93+F115+F110</f>
        <v>96570356.310000002</v>
      </c>
    </row>
    <row r="63" spans="1:8" s="76" customFormat="1" ht="31.95" customHeight="1" outlineLevel="3" x14ac:dyDescent="0.25">
      <c r="A63" s="45" t="s">
        <v>1151</v>
      </c>
      <c r="B63" s="616" t="s">
        <v>455</v>
      </c>
      <c r="C63" s="616" t="s">
        <v>24</v>
      </c>
      <c r="D63" s="616" t="s">
        <v>128</v>
      </c>
      <c r="E63" s="616" t="s">
        <v>6</v>
      </c>
      <c r="F63" s="347">
        <f>F64+F74+F82</f>
        <v>29848230</v>
      </c>
      <c r="G63" s="75"/>
      <c r="H63" s="75"/>
    </row>
    <row r="64" spans="1:8" ht="39.25" customHeight="1" outlineLevel="7" x14ac:dyDescent="0.25">
      <c r="A64" s="423" t="s">
        <v>729</v>
      </c>
      <c r="B64" s="615" t="s">
        <v>455</v>
      </c>
      <c r="C64" s="615" t="s">
        <v>24</v>
      </c>
      <c r="D64" s="615" t="s">
        <v>303</v>
      </c>
      <c r="E64" s="615" t="s">
        <v>6</v>
      </c>
      <c r="F64" s="345">
        <f>F65+F68+F71</f>
        <v>920385</v>
      </c>
    </row>
    <row r="65" spans="1:6" outlineLevel="7" x14ac:dyDescent="0.25">
      <c r="A65" s="423" t="s">
        <v>309</v>
      </c>
      <c r="B65" s="615" t="s">
        <v>455</v>
      </c>
      <c r="C65" s="615" t="s">
        <v>24</v>
      </c>
      <c r="D65" s="615" t="s">
        <v>304</v>
      </c>
      <c r="E65" s="615" t="s">
        <v>6</v>
      </c>
      <c r="F65" s="345">
        <f>F66</f>
        <v>745385</v>
      </c>
    </row>
    <row r="66" spans="1:6" ht="36.700000000000003" outlineLevel="7" x14ac:dyDescent="0.25">
      <c r="A66" s="423" t="s">
        <v>15</v>
      </c>
      <c r="B66" s="615" t="s">
        <v>455</v>
      </c>
      <c r="C66" s="615" t="s">
        <v>24</v>
      </c>
      <c r="D66" s="615" t="s">
        <v>304</v>
      </c>
      <c r="E66" s="615" t="s">
        <v>16</v>
      </c>
      <c r="F66" s="402">
        <f>F67</f>
        <v>745385</v>
      </c>
    </row>
    <row r="67" spans="1:6" ht="21.25" customHeight="1" outlineLevel="7" x14ac:dyDescent="0.25">
      <c r="A67" s="423" t="s">
        <v>17</v>
      </c>
      <c r="B67" s="615" t="s">
        <v>455</v>
      </c>
      <c r="C67" s="615" t="s">
        <v>24</v>
      </c>
      <c r="D67" s="615" t="s">
        <v>304</v>
      </c>
      <c r="E67" s="615" t="s">
        <v>18</v>
      </c>
      <c r="F67" s="345">
        <f>'потребность 2024 проект весь'!M65</f>
        <v>745385</v>
      </c>
    </row>
    <row r="68" spans="1:6" outlineLevel="7" x14ac:dyDescent="0.25">
      <c r="A68" s="423" t="s">
        <v>310</v>
      </c>
      <c r="B68" s="615" t="s">
        <v>455</v>
      </c>
      <c r="C68" s="615" t="s">
        <v>24</v>
      </c>
      <c r="D68" s="615" t="s">
        <v>311</v>
      </c>
      <c r="E68" s="615" t="s">
        <v>6</v>
      </c>
      <c r="F68" s="345">
        <f>F69</f>
        <v>165000</v>
      </c>
    </row>
    <row r="69" spans="1:6" ht="36.700000000000003" outlineLevel="7" x14ac:dyDescent="0.25">
      <c r="A69" s="423" t="s">
        <v>15</v>
      </c>
      <c r="B69" s="615" t="s">
        <v>455</v>
      </c>
      <c r="C69" s="615" t="s">
        <v>24</v>
      </c>
      <c r="D69" s="615" t="s">
        <v>311</v>
      </c>
      <c r="E69" s="615" t="s">
        <v>16</v>
      </c>
      <c r="F69" s="402">
        <f>F70</f>
        <v>165000</v>
      </c>
    </row>
    <row r="70" spans="1:6" ht="19.55" customHeight="1" outlineLevel="7" x14ac:dyDescent="0.25">
      <c r="A70" s="423" t="s">
        <v>17</v>
      </c>
      <c r="B70" s="615" t="s">
        <v>455</v>
      </c>
      <c r="C70" s="615" t="s">
        <v>24</v>
      </c>
      <c r="D70" s="615" t="s">
        <v>311</v>
      </c>
      <c r="E70" s="615" t="s">
        <v>18</v>
      </c>
      <c r="F70" s="402">
        <f>'потребность 2024 проект весь'!M68</f>
        <v>165000</v>
      </c>
    </row>
    <row r="71" spans="1:6" ht="19.55" customHeight="1" outlineLevel="7" x14ac:dyDescent="0.25">
      <c r="A71" s="423" t="s">
        <v>1045</v>
      </c>
      <c r="B71" s="615" t="s">
        <v>455</v>
      </c>
      <c r="C71" s="615" t="s">
        <v>24</v>
      </c>
      <c r="D71" s="615" t="s">
        <v>1046</v>
      </c>
      <c r="E71" s="615" t="s">
        <v>6</v>
      </c>
      <c r="F71" s="402">
        <f>F72</f>
        <v>10000</v>
      </c>
    </row>
    <row r="72" spans="1:6" ht="19.55" customHeight="1" outlineLevel="7" x14ac:dyDescent="0.25">
      <c r="A72" s="423" t="s">
        <v>15</v>
      </c>
      <c r="B72" s="615" t="s">
        <v>455</v>
      </c>
      <c r="C72" s="615" t="s">
        <v>24</v>
      </c>
      <c r="D72" s="615" t="s">
        <v>1046</v>
      </c>
      <c r="E72" s="615" t="s">
        <v>16</v>
      </c>
      <c r="F72" s="402">
        <f>F73</f>
        <v>10000</v>
      </c>
    </row>
    <row r="73" spans="1:6" ht="19.55" customHeight="1" outlineLevel="7" x14ac:dyDescent="0.25">
      <c r="A73" s="423" t="s">
        <v>17</v>
      </c>
      <c r="B73" s="615" t="s">
        <v>455</v>
      </c>
      <c r="C73" s="615" t="s">
        <v>24</v>
      </c>
      <c r="D73" s="615" t="s">
        <v>1046</v>
      </c>
      <c r="E73" s="615" t="s">
        <v>18</v>
      </c>
      <c r="F73" s="402">
        <f>'потребность 2024 проект весь'!M71</f>
        <v>10000</v>
      </c>
    </row>
    <row r="74" spans="1:6" ht="36.700000000000003" customHeight="1" outlineLevel="7" x14ac:dyDescent="0.25">
      <c r="A74" s="423" t="s">
        <v>213</v>
      </c>
      <c r="B74" s="615" t="s">
        <v>455</v>
      </c>
      <c r="C74" s="615" t="s">
        <v>24</v>
      </c>
      <c r="D74" s="615" t="s">
        <v>228</v>
      </c>
      <c r="E74" s="615" t="s">
        <v>6</v>
      </c>
      <c r="F74" s="345">
        <f>F75</f>
        <v>27464001</v>
      </c>
    </row>
    <row r="75" spans="1:6" ht="36.700000000000003" outlineLevel="5" x14ac:dyDescent="0.25">
      <c r="A75" s="423" t="s">
        <v>33</v>
      </c>
      <c r="B75" s="615" t="s">
        <v>455</v>
      </c>
      <c r="C75" s="615" t="s">
        <v>24</v>
      </c>
      <c r="D75" s="615" t="s">
        <v>130</v>
      </c>
      <c r="E75" s="615" t="s">
        <v>6</v>
      </c>
      <c r="F75" s="402">
        <f>F76+F78+F80</f>
        <v>27464001</v>
      </c>
    </row>
    <row r="76" spans="1:6" ht="59.1" customHeight="1" outlineLevel="6" x14ac:dyDescent="0.25">
      <c r="A76" s="423" t="s">
        <v>11</v>
      </c>
      <c r="B76" s="615" t="s">
        <v>455</v>
      </c>
      <c r="C76" s="615" t="s">
        <v>24</v>
      </c>
      <c r="D76" s="615" t="s">
        <v>130</v>
      </c>
      <c r="E76" s="615" t="s">
        <v>12</v>
      </c>
      <c r="F76" s="402">
        <f>F77</f>
        <v>16340000</v>
      </c>
    </row>
    <row r="77" spans="1:6" outlineLevel="7" x14ac:dyDescent="0.25">
      <c r="A77" s="423" t="s">
        <v>34</v>
      </c>
      <c r="B77" s="615" t="s">
        <v>455</v>
      </c>
      <c r="C77" s="615" t="s">
        <v>24</v>
      </c>
      <c r="D77" s="615" t="s">
        <v>130</v>
      </c>
      <c r="E77" s="615" t="s">
        <v>35</v>
      </c>
      <c r="F77" s="345">
        <f>'потребность 2024 проект весь'!M75+1524550</f>
        <v>16340000</v>
      </c>
    </row>
    <row r="78" spans="1:6" ht="36.700000000000003" outlineLevel="6" x14ac:dyDescent="0.25">
      <c r="A78" s="423" t="s">
        <v>15</v>
      </c>
      <c r="B78" s="615" t="s">
        <v>455</v>
      </c>
      <c r="C78" s="615" t="s">
        <v>24</v>
      </c>
      <c r="D78" s="615" t="s">
        <v>130</v>
      </c>
      <c r="E78" s="615" t="s">
        <v>16</v>
      </c>
      <c r="F78" s="402">
        <f>F79</f>
        <v>10324753</v>
      </c>
    </row>
    <row r="79" spans="1:6" ht="21.25" customHeight="1" outlineLevel="7" x14ac:dyDescent="0.25">
      <c r="A79" s="423" t="s">
        <v>17</v>
      </c>
      <c r="B79" s="615" t="s">
        <v>455</v>
      </c>
      <c r="C79" s="615" t="s">
        <v>24</v>
      </c>
      <c r="D79" s="615" t="s">
        <v>130</v>
      </c>
      <c r="E79" s="615" t="s">
        <v>18</v>
      </c>
      <c r="F79" s="345">
        <f>'потребность 2024 проект весь'!M77</f>
        <v>10324753</v>
      </c>
    </row>
    <row r="80" spans="1:6" outlineLevel="6" x14ac:dyDescent="0.25">
      <c r="A80" s="423" t="s">
        <v>19</v>
      </c>
      <c r="B80" s="615" t="s">
        <v>455</v>
      </c>
      <c r="C80" s="615" t="s">
        <v>24</v>
      </c>
      <c r="D80" s="615" t="s">
        <v>130</v>
      </c>
      <c r="E80" s="615" t="s">
        <v>20</v>
      </c>
      <c r="F80" s="402">
        <f>F81</f>
        <v>799248</v>
      </c>
    </row>
    <row r="81" spans="1:8" outlineLevel="7" x14ac:dyDescent="0.25">
      <c r="A81" s="423" t="s">
        <v>21</v>
      </c>
      <c r="B81" s="615" t="s">
        <v>455</v>
      </c>
      <c r="C81" s="615" t="s">
        <v>24</v>
      </c>
      <c r="D81" s="615" t="s">
        <v>130</v>
      </c>
      <c r="E81" s="615" t="s">
        <v>22</v>
      </c>
      <c r="F81" s="345">
        <f>'потребность 2024 проект весь'!M79</f>
        <v>799248</v>
      </c>
    </row>
    <row r="82" spans="1:8" ht="17.5" customHeight="1" outlineLevel="7" x14ac:dyDescent="0.25">
      <c r="A82" s="423" t="s">
        <v>670</v>
      </c>
      <c r="B82" s="615" t="s">
        <v>455</v>
      </c>
      <c r="C82" s="615" t="s">
        <v>24</v>
      </c>
      <c r="D82" s="615" t="s">
        <v>624</v>
      </c>
      <c r="E82" s="615" t="s">
        <v>6</v>
      </c>
      <c r="F82" s="402">
        <f>F83</f>
        <v>1463844</v>
      </c>
    </row>
    <row r="83" spans="1:8" ht="36.700000000000003" outlineLevel="7" x14ac:dyDescent="0.25">
      <c r="A83" s="423" t="s">
        <v>622</v>
      </c>
      <c r="B83" s="615" t="s">
        <v>455</v>
      </c>
      <c r="C83" s="615" t="s">
        <v>24</v>
      </c>
      <c r="D83" s="615" t="s">
        <v>621</v>
      </c>
      <c r="E83" s="615" t="s">
        <v>6</v>
      </c>
      <c r="F83" s="402">
        <f>F86+F84</f>
        <v>1463844</v>
      </c>
    </row>
    <row r="84" spans="1:8" ht="73.400000000000006" outlineLevel="7" x14ac:dyDescent="0.25">
      <c r="A84" s="423" t="s">
        <v>11</v>
      </c>
      <c r="B84" s="615" t="s">
        <v>455</v>
      </c>
      <c r="C84" s="615" t="s">
        <v>24</v>
      </c>
      <c r="D84" s="615" t="s">
        <v>621</v>
      </c>
      <c r="E84" s="615" t="s">
        <v>12</v>
      </c>
      <c r="F84" s="402">
        <f>F85</f>
        <v>128744</v>
      </c>
    </row>
    <row r="85" spans="1:8" ht="36.700000000000003" outlineLevel="7" x14ac:dyDescent="0.25">
      <c r="A85" s="423" t="s">
        <v>13</v>
      </c>
      <c r="B85" s="615" t="s">
        <v>455</v>
      </c>
      <c r="C85" s="615" t="s">
        <v>24</v>
      </c>
      <c r="D85" s="615" t="s">
        <v>621</v>
      </c>
      <c r="E85" s="615" t="s">
        <v>14</v>
      </c>
      <c r="F85" s="402">
        <f>'потребность 2024 проект весь'!M83</f>
        <v>128744</v>
      </c>
    </row>
    <row r="86" spans="1:8" ht="36.700000000000003" outlineLevel="7" x14ac:dyDescent="0.25">
      <c r="A86" s="423" t="s">
        <v>15</v>
      </c>
      <c r="B86" s="615" t="s">
        <v>455</v>
      </c>
      <c r="C86" s="615" t="s">
        <v>24</v>
      </c>
      <c r="D86" s="615" t="s">
        <v>621</v>
      </c>
      <c r="E86" s="615" t="s">
        <v>16</v>
      </c>
      <c r="F86" s="402">
        <f>F87</f>
        <v>1335100</v>
      </c>
    </row>
    <row r="87" spans="1:8" ht="36.700000000000003" outlineLevel="7" x14ac:dyDescent="0.25">
      <c r="A87" s="423" t="s">
        <v>17</v>
      </c>
      <c r="B87" s="615" t="s">
        <v>455</v>
      </c>
      <c r="C87" s="615" t="s">
        <v>24</v>
      </c>
      <c r="D87" s="615" t="s">
        <v>621</v>
      </c>
      <c r="E87" s="615" t="s">
        <v>18</v>
      </c>
      <c r="F87" s="345">
        <f>'потребность 2024 проект весь'!M85</f>
        <v>1335100</v>
      </c>
    </row>
    <row r="88" spans="1:8" s="76" customFormat="1" ht="36.700000000000003" outlineLevel="7" x14ac:dyDescent="0.25">
      <c r="A88" s="45" t="s">
        <v>1152</v>
      </c>
      <c r="B88" s="616" t="s">
        <v>455</v>
      </c>
      <c r="C88" s="616" t="s">
        <v>24</v>
      </c>
      <c r="D88" s="616" t="s">
        <v>131</v>
      </c>
      <c r="E88" s="616" t="s">
        <v>6</v>
      </c>
      <c r="F88" s="347">
        <f>F89</f>
        <v>50000</v>
      </c>
      <c r="G88" s="75"/>
      <c r="H88" s="75"/>
    </row>
    <row r="89" spans="1:8" outlineLevel="7" x14ac:dyDescent="0.25">
      <c r="A89" s="423" t="s">
        <v>312</v>
      </c>
      <c r="B89" s="615" t="s">
        <v>455</v>
      </c>
      <c r="C89" s="615" t="s">
        <v>24</v>
      </c>
      <c r="D89" s="615" t="s">
        <v>230</v>
      </c>
      <c r="E89" s="615" t="s">
        <v>6</v>
      </c>
      <c r="F89" s="402">
        <f>F90</f>
        <v>50000</v>
      </c>
    </row>
    <row r="90" spans="1:8" ht="36.700000000000003" outlineLevel="7" x14ac:dyDescent="0.25">
      <c r="A90" s="423" t="s">
        <v>313</v>
      </c>
      <c r="B90" s="615" t="s">
        <v>455</v>
      </c>
      <c r="C90" s="615" t="s">
        <v>24</v>
      </c>
      <c r="D90" s="615" t="s">
        <v>314</v>
      </c>
      <c r="E90" s="615" t="s">
        <v>6</v>
      </c>
      <c r="F90" s="402">
        <f>F91</f>
        <v>50000</v>
      </c>
    </row>
    <row r="91" spans="1:8" ht="36.700000000000003" outlineLevel="7" x14ac:dyDescent="0.25">
      <c r="A91" s="423" t="s">
        <v>15</v>
      </c>
      <c r="B91" s="615" t="s">
        <v>455</v>
      </c>
      <c r="C91" s="615" t="s">
        <v>24</v>
      </c>
      <c r="D91" s="615" t="s">
        <v>314</v>
      </c>
      <c r="E91" s="615" t="s">
        <v>16</v>
      </c>
      <c r="F91" s="402">
        <f>F92</f>
        <v>50000</v>
      </c>
    </row>
    <row r="92" spans="1:8" ht="21.25" customHeight="1" outlineLevel="7" x14ac:dyDescent="0.25">
      <c r="A92" s="423" t="s">
        <v>17</v>
      </c>
      <c r="B92" s="615" t="s">
        <v>455</v>
      </c>
      <c r="C92" s="615" t="s">
        <v>24</v>
      </c>
      <c r="D92" s="615" t="s">
        <v>314</v>
      </c>
      <c r="E92" s="615" t="s">
        <v>18</v>
      </c>
      <c r="F92" s="345">
        <f>'потребность 2024 проект весь'!M90</f>
        <v>50000</v>
      </c>
    </row>
    <row r="93" spans="1:8" s="76" customFormat="1" ht="38.25" customHeight="1" outlineLevel="7" x14ac:dyDescent="0.25">
      <c r="A93" s="45" t="s">
        <v>1150</v>
      </c>
      <c r="B93" s="616" t="s">
        <v>455</v>
      </c>
      <c r="C93" s="616" t="s">
        <v>24</v>
      </c>
      <c r="D93" s="616" t="s">
        <v>305</v>
      </c>
      <c r="E93" s="616" t="s">
        <v>6</v>
      </c>
      <c r="F93" s="347">
        <f>F94</f>
        <v>1968452</v>
      </c>
      <c r="G93" s="75"/>
      <c r="H93" s="75"/>
    </row>
    <row r="94" spans="1:8" ht="21.25" customHeight="1" outlineLevel="7" x14ac:dyDescent="0.25">
      <c r="A94" s="423" t="s">
        <v>315</v>
      </c>
      <c r="B94" s="615" t="s">
        <v>455</v>
      </c>
      <c r="C94" s="615" t="s">
        <v>24</v>
      </c>
      <c r="D94" s="615" t="s">
        <v>306</v>
      </c>
      <c r="E94" s="615" t="s">
        <v>6</v>
      </c>
      <c r="F94" s="402">
        <f>F95+F98</f>
        <v>1968452</v>
      </c>
    </row>
    <row r="95" spans="1:8" ht="37.549999999999997" customHeight="1" outlineLevel="7" x14ac:dyDescent="0.25">
      <c r="A95" s="423" t="s">
        <v>316</v>
      </c>
      <c r="B95" s="615" t="s">
        <v>455</v>
      </c>
      <c r="C95" s="615" t="s">
        <v>24</v>
      </c>
      <c r="D95" s="615" t="s">
        <v>317</v>
      </c>
      <c r="E95" s="615" t="s">
        <v>6</v>
      </c>
      <c r="F95" s="402">
        <f>F96</f>
        <v>1937412</v>
      </c>
    </row>
    <row r="96" spans="1:8" ht="36.700000000000003" outlineLevel="7" x14ac:dyDescent="0.25">
      <c r="A96" s="423" t="s">
        <v>15</v>
      </c>
      <c r="B96" s="615" t="s">
        <v>455</v>
      </c>
      <c r="C96" s="615" t="s">
        <v>24</v>
      </c>
      <c r="D96" s="615" t="s">
        <v>317</v>
      </c>
      <c r="E96" s="615" t="s">
        <v>16</v>
      </c>
      <c r="F96" s="402">
        <f>F97</f>
        <v>1937412</v>
      </c>
    </row>
    <row r="97" spans="1:8" ht="18.7" customHeight="1" outlineLevel="7" x14ac:dyDescent="0.25">
      <c r="A97" s="423" t="s">
        <v>17</v>
      </c>
      <c r="B97" s="615" t="s">
        <v>455</v>
      </c>
      <c r="C97" s="615" t="s">
        <v>24</v>
      </c>
      <c r="D97" s="615" t="s">
        <v>317</v>
      </c>
      <c r="E97" s="615" t="s">
        <v>18</v>
      </c>
      <c r="F97" s="345">
        <f>'потребность 2024 проект весь'!M95</f>
        <v>1937412</v>
      </c>
    </row>
    <row r="98" spans="1:8" ht="36.700000000000003" outlineLevel="7" x14ac:dyDescent="0.25">
      <c r="A98" s="423" t="s">
        <v>318</v>
      </c>
      <c r="B98" s="615" t="s">
        <v>455</v>
      </c>
      <c r="C98" s="615" t="s">
        <v>24</v>
      </c>
      <c r="D98" s="615" t="s">
        <v>307</v>
      </c>
      <c r="E98" s="615" t="s">
        <v>6</v>
      </c>
      <c r="F98" s="402">
        <f>F99</f>
        <v>31040</v>
      </c>
    </row>
    <row r="99" spans="1:8" ht="36.700000000000003" outlineLevel="7" x14ac:dyDescent="0.25">
      <c r="A99" s="423" t="s">
        <v>15</v>
      </c>
      <c r="B99" s="615" t="s">
        <v>455</v>
      </c>
      <c r="C99" s="615" t="s">
        <v>24</v>
      </c>
      <c r="D99" s="615" t="s">
        <v>307</v>
      </c>
      <c r="E99" s="615" t="s">
        <v>16</v>
      </c>
      <c r="F99" s="402">
        <f>F100</f>
        <v>31040</v>
      </c>
    </row>
    <row r="100" spans="1:8" ht="19.55" customHeight="1" outlineLevel="7" x14ac:dyDescent="0.25">
      <c r="A100" s="423" t="s">
        <v>17</v>
      </c>
      <c r="B100" s="615" t="s">
        <v>455</v>
      </c>
      <c r="C100" s="615" t="s">
        <v>24</v>
      </c>
      <c r="D100" s="615" t="s">
        <v>307</v>
      </c>
      <c r="E100" s="615" t="s">
        <v>18</v>
      </c>
      <c r="F100" s="402">
        <f>'потребность 2024 проект весь'!M98</f>
        <v>31040</v>
      </c>
    </row>
    <row r="101" spans="1:8" s="76" customFormat="1" ht="55.05" outlineLevel="7" x14ac:dyDescent="0.25">
      <c r="A101" s="45" t="s">
        <v>1153</v>
      </c>
      <c r="B101" s="616" t="s">
        <v>455</v>
      </c>
      <c r="C101" s="616" t="s">
        <v>24</v>
      </c>
      <c r="D101" s="616" t="s">
        <v>319</v>
      </c>
      <c r="E101" s="616" t="s">
        <v>6</v>
      </c>
      <c r="F101" s="347">
        <f>F102</f>
        <v>6038500.5800000001</v>
      </c>
      <c r="G101" s="75"/>
      <c r="H101" s="75"/>
    </row>
    <row r="102" spans="1:8" ht="36.700000000000003" outlineLevel="7" x14ac:dyDescent="0.25">
      <c r="A102" s="423" t="s">
        <v>212</v>
      </c>
      <c r="B102" s="615" t="s">
        <v>455</v>
      </c>
      <c r="C102" s="615" t="s">
        <v>24</v>
      </c>
      <c r="D102" s="615" t="s">
        <v>320</v>
      </c>
      <c r="E102" s="615" t="s">
        <v>6</v>
      </c>
      <c r="F102" s="402">
        <f>F103</f>
        <v>6038500.5800000001</v>
      </c>
    </row>
    <row r="103" spans="1:8" ht="55.05" outlineLevel="5" x14ac:dyDescent="0.25">
      <c r="A103" s="423" t="s">
        <v>32</v>
      </c>
      <c r="B103" s="615" t="s">
        <v>455</v>
      </c>
      <c r="C103" s="615" t="s">
        <v>24</v>
      </c>
      <c r="D103" s="615" t="s">
        <v>321</v>
      </c>
      <c r="E103" s="615" t="s">
        <v>6</v>
      </c>
      <c r="F103" s="402">
        <f>F104+F106+F108</f>
        <v>6038500.5800000001</v>
      </c>
    </row>
    <row r="104" spans="1:8" ht="36.700000000000003" outlineLevel="6" x14ac:dyDescent="0.25">
      <c r="A104" s="423" t="s">
        <v>15</v>
      </c>
      <c r="B104" s="615" t="s">
        <v>455</v>
      </c>
      <c r="C104" s="615" t="s">
        <v>24</v>
      </c>
      <c r="D104" s="615" t="s">
        <v>321</v>
      </c>
      <c r="E104" s="615" t="s">
        <v>16</v>
      </c>
      <c r="F104" s="402">
        <f>F105</f>
        <v>5898500.5800000001</v>
      </c>
    </row>
    <row r="105" spans="1:8" ht="20.25" customHeight="1" outlineLevel="7" x14ac:dyDescent="0.25">
      <c r="A105" s="423" t="s">
        <v>17</v>
      </c>
      <c r="B105" s="615" t="s">
        <v>455</v>
      </c>
      <c r="C105" s="615" t="s">
        <v>24</v>
      </c>
      <c r="D105" s="615" t="s">
        <v>321</v>
      </c>
      <c r="E105" s="615" t="s">
        <v>18</v>
      </c>
      <c r="F105" s="402">
        <f>'потребность 2024 проект весь'!M103+3100000</f>
        <v>5898500.5800000001</v>
      </c>
    </row>
    <row r="106" spans="1:8" outlineLevel="6" x14ac:dyDescent="0.25">
      <c r="A106" s="423" t="s">
        <v>19</v>
      </c>
      <c r="B106" s="615" t="s">
        <v>455</v>
      </c>
      <c r="C106" s="615" t="s">
        <v>24</v>
      </c>
      <c r="D106" s="615" t="s">
        <v>321</v>
      </c>
      <c r="E106" s="615" t="s">
        <v>20</v>
      </c>
      <c r="F106" s="402">
        <f>F107</f>
        <v>140000</v>
      </c>
    </row>
    <row r="107" spans="1:8" outlineLevel="7" x14ac:dyDescent="0.25">
      <c r="A107" s="423" t="s">
        <v>21</v>
      </c>
      <c r="B107" s="615" t="s">
        <v>455</v>
      </c>
      <c r="C107" s="615" t="s">
        <v>24</v>
      </c>
      <c r="D107" s="615" t="s">
        <v>321</v>
      </c>
      <c r="E107" s="615" t="s">
        <v>22</v>
      </c>
      <c r="F107" s="345">
        <f>'потребность 2024 проект весь'!M105</f>
        <v>140000</v>
      </c>
    </row>
    <row r="108" spans="1:8" ht="36.700000000000003" hidden="1" outlineLevel="7" x14ac:dyDescent="0.25">
      <c r="A108" s="423" t="s">
        <v>1047</v>
      </c>
      <c r="B108" s="615" t="s">
        <v>455</v>
      </c>
      <c r="C108" s="615" t="s">
        <v>24</v>
      </c>
      <c r="D108" s="615" t="s">
        <v>321</v>
      </c>
      <c r="E108" s="615" t="s">
        <v>259</v>
      </c>
      <c r="F108" s="345">
        <f>F109</f>
        <v>0</v>
      </c>
    </row>
    <row r="109" spans="1:8" hidden="1" outlineLevel="7" x14ac:dyDescent="0.25">
      <c r="A109" s="423" t="s">
        <v>260</v>
      </c>
      <c r="B109" s="615" t="s">
        <v>455</v>
      </c>
      <c r="C109" s="615" t="s">
        <v>24</v>
      </c>
      <c r="D109" s="615" t="s">
        <v>321</v>
      </c>
      <c r="E109" s="615" t="s">
        <v>261</v>
      </c>
      <c r="F109" s="345">
        <f>5000000-5000000</f>
        <v>0</v>
      </c>
    </row>
    <row r="110" spans="1:8" ht="36.700000000000003" outlineLevel="7" x14ac:dyDescent="0.25">
      <c r="A110" s="45" t="s">
        <v>1154</v>
      </c>
      <c r="B110" s="616" t="s">
        <v>455</v>
      </c>
      <c r="C110" s="616" t="s">
        <v>24</v>
      </c>
      <c r="D110" s="616" t="s">
        <v>819</v>
      </c>
      <c r="E110" s="616" t="s">
        <v>6</v>
      </c>
      <c r="F110" s="345">
        <f>F111</f>
        <v>100000</v>
      </c>
    </row>
    <row r="111" spans="1:8" ht="36.700000000000003" outlineLevel="7" x14ac:dyDescent="0.25">
      <c r="A111" s="423" t="s">
        <v>818</v>
      </c>
      <c r="B111" s="615" t="s">
        <v>455</v>
      </c>
      <c r="C111" s="615" t="s">
        <v>24</v>
      </c>
      <c r="D111" s="615" t="s">
        <v>820</v>
      </c>
      <c r="E111" s="615" t="s">
        <v>6</v>
      </c>
      <c r="F111" s="345">
        <f>F112</f>
        <v>100000</v>
      </c>
    </row>
    <row r="112" spans="1:8" outlineLevel="7" x14ac:dyDescent="0.25">
      <c r="A112" s="423" t="s">
        <v>310</v>
      </c>
      <c r="B112" s="615" t="s">
        <v>455</v>
      </c>
      <c r="C112" s="615" t="s">
        <v>24</v>
      </c>
      <c r="D112" s="615" t="s">
        <v>821</v>
      </c>
      <c r="E112" s="615" t="s">
        <v>6</v>
      </c>
      <c r="F112" s="345">
        <f>F113</f>
        <v>100000</v>
      </c>
    </row>
    <row r="113" spans="1:6" ht="36.700000000000003" outlineLevel="7" x14ac:dyDescent="0.25">
      <c r="A113" s="423" t="s">
        <v>15</v>
      </c>
      <c r="B113" s="615" t="s">
        <v>455</v>
      </c>
      <c r="C113" s="615" t="s">
        <v>24</v>
      </c>
      <c r="D113" s="615" t="s">
        <v>821</v>
      </c>
      <c r="E113" s="615" t="s">
        <v>16</v>
      </c>
      <c r="F113" s="345">
        <f>F114</f>
        <v>100000</v>
      </c>
    </row>
    <row r="114" spans="1:6" ht="36.700000000000003" outlineLevel="7" x14ac:dyDescent="0.25">
      <c r="A114" s="423" t="s">
        <v>17</v>
      </c>
      <c r="B114" s="615" t="s">
        <v>455</v>
      </c>
      <c r="C114" s="615" t="s">
        <v>24</v>
      </c>
      <c r="D114" s="615" t="s">
        <v>821</v>
      </c>
      <c r="E114" s="615" t="s">
        <v>18</v>
      </c>
      <c r="F114" s="345">
        <f>'потребность 2024 проект весь'!M110</f>
        <v>100000</v>
      </c>
    </row>
    <row r="115" spans="1:6" ht="36.700000000000003" outlineLevel="3" x14ac:dyDescent="0.25">
      <c r="A115" s="423" t="s">
        <v>132</v>
      </c>
      <c r="B115" s="615" t="s">
        <v>455</v>
      </c>
      <c r="C115" s="615" t="s">
        <v>24</v>
      </c>
      <c r="D115" s="615" t="s">
        <v>127</v>
      </c>
      <c r="E115" s="615" t="s">
        <v>6</v>
      </c>
      <c r="F115" s="402">
        <f>F130+F116+F127+F121</f>
        <v>58565173.730000004</v>
      </c>
    </row>
    <row r="116" spans="1:6" ht="48.25" customHeight="1" outlineLevel="5" x14ac:dyDescent="0.25">
      <c r="A116" s="423" t="s">
        <v>449</v>
      </c>
      <c r="B116" s="615" t="s">
        <v>455</v>
      </c>
      <c r="C116" s="615" t="s">
        <v>24</v>
      </c>
      <c r="D116" s="615" t="s">
        <v>450</v>
      </c>
      <c r="E116" s="615" t="s">
        <v>6</v>
      </c>
      <c r="F116" s="402">
        <f>F117+F119</f>
        <v>48470600</v>
      </c>
    </row>
    <row r="117" spans="1:6" ht="73.400000000000006" outlineLevel="6" x14ac:dyDescent="0.25">
      <c r="A117" s="423" t="s">
        <v>11</v>
      </c>
      <c r="B117" s="615" t="s">
        <v>455</v>
      </c>
      <c r="C117" s="615" t="s">
        <v>24</v>
      </c>
      <c r="D117" s="615" t="s">
        <v>450</v>
      </c>
      <c r="E117" s="615" t="s">
        <v>12</v>
      </c>
      <c r="F117" s="402">
        <f>F118</f>
        <v>48450600</v>
      </c>
    </row>
    <row r="118" spans="1:6" ht="36.700000000000003" outlineLevel="7" x14ac:dyDescent="0.25">
      <c r="A118" s="423" t="s">
        <v>13</v>
      </c>
      <c r="B118" s="615" t="s">
        <v>455</v>
      </c>
      <c r="C118" s="615" t="s">
        <v>24</v>
      </c>
      <c r="D118" s="615" t="s">
        <v>450</v>
      </c>
      <c r="E118" s="615" t="s">
        <v>14</v>
      </c>
      <c r="F118" s="402">
        <f>'потребность 2024 проект весь'!M114+5849700</f>
        <v>48450600</v>
      </c>
    </row>
    <row r="119" spans="1:6" ht="36.700000000000003" outlineLevel="7" x14ac:dyDescent="0.25">
      <c r="A119" s="423" t="s">
        <v>15</v>
      </c>
      <c r="B119" s="615" t="s">
        <v>455</v>
      </c>
      <c r="C119" s="615" t="s">
        <v>24</v>
      </c>
      <c r="D119" s="615" t="s">
        <v>450</v>
      </c>
      <c r="E119" s="615" t="s">
        <v>16</v>
      </c>
      <c r="F119" s="345">
        <f>F120</f>
        <v>20000</v>
      </c>
    </row>
    <row r="120" spans="1:6" ht="18.7" customHeight="1" outlineLevel="7" x14ac:dyDescent="0.25">
      <c r="A120" s="423" t="s">
        <v>17</v>
      </c>
      <c r="B120" s="615" t="s">
        <v>455</v>
      </c>
      <c r="C120" s="615" t="s">
        <v>24</v>
      </c>
      <c r="D120" s="615" t="s">
        <v>450</v>
      </c>
      <c r="E120" s="615" t="s">
        <v>18</v>
      </c>
      <c r="F120" s="402">
        <f>'потребность 2024 проект весь'!M116</f>
        <v>20000</v>
      </c>
    </row>
    <row r="121" spans="1:6" ht="39.25" hidden="1" customHeight="1" outlineLevel="7" x14ac:dyDescent="0.25">
      <c r="A121" s="423" t="s">
        <v>620</v>
      </c>
      <c r="B121" s="615" t="s">
        <v>455</v>
      </c>
      <c r="C121" s="615" t="s">
        <v>24</v>
      </c>
      <c r="D121" s="615" t="s">
        <v>618</v>
      </c>
      <c r="E121" s="615" t="s">
        <v>6</v>
      </c>
      <c r="F121" s="402">
        <f>F124+F122</f>
        <v>0</v>
      </c>
    </row>
    <row r="122" spans="1:6" ht="39.25" hidden="1" customHeight="1" outlineLevel="7" x14ac:dyDescent="0.25">
      <c r="A122" s="423" t="s">
        <v>15</v>
      </c>
      <c r="B122" s="615" t="s">
        <v>455</v>
      </c>
      <c r="C122" s="615" t="s">
        <v>24</v>
      </c>
      <c r="D122" s="615" t="s">
        <v>618</v>
      </c>
      <c r="E122" s="615" t="s">
        <v>16</v>
      </c>
      <c r="F122" s="402">
        <f>F123</f>
        <v>0</v>
      </c>
    </row>
    <row r="123" spans="1:6" ht="39.25" hidden="1" customHeight="1" outlineLevel="7" x14ac:dyDescent="0.25">
      <c r="A123" s="423" t="s">
        <v>17</v>
      </c>
      <c r="B123" s="615" t="s">
        <v>455</v>
      </c>
      <c r="C123" s="615" t="s">
        <v>24</v>
      </c>
      <c r="D123" s="615" t="s">
        <v>618</v>
      </c>
      <c r="E123" s="615" t="s">
        <v>18</v>
      </c>
      <c r="F123" s="402"/>
    </row>
    <row r="124" spans="1:6" ht="18.7" hidden="1" customHeight="1" outlineLevel="7" x14ac:dyDescent="0.25">
      <c r="A124" s="423" t="s">
        <v>19</v>
      </c>
      <c r="B124" s="615" t="s">
        <v>455</v>
      </c>
      <c r="C124" s="615" t="s">
        <v>24</v>
      </c>
      <c r="D124" s="615" t="s">
        <v>618</v>
      </c>
      <c r="E124" s="615" t="s">
        <v>20</v>
      </c>
      <c r="F124" s="402">
        <f>F125+F126</f>
        <v>0</v>
      </c>
    </row>
    <row r="125" spans="1:6" ht="21.25" hidden="1" customHeight="1" outlineLevel="7" x14ac:dyDescent="0.25">
      <c r="A125" s="423" t="s">
        <v>646</v>
      </c>
      <c r="B125" s="615" t="s">
        <v>455</v>
      </c>
      <c r="C125" s="615" t="s">
        <v>24</v>
      </c>
      <c r="D125" s="615" t="s">
        <v>618</v>
      </c>
      <c r="E125" s="615" t="s">
        <v>647</v>
      </c>
      <c r="F125" s="402"/>
    </row>
    <row r="126" spans="1:6" ht="19.55" hidden="1" customHeight="1" outlineLevel="7" x14ac:dyDescent="0.25">
      <c r="A126" s="423" t="s">
        <v>619</v>
      </c>
      <c r="B126" s="615" t="s">
        <v>455</v>
      </c>
      <c r="C126" s="615" t="s">
        <v>24</v>
      </c>
      <c r="D126" s="615" t="s">
        <v>618</v>
      </c>
      <c r="E126" s="615" t="s">
        <v>22</v>
      </c>
      <c r="F126" s="402">
        <f>795959.09-525000-270959.09</f>
        <v>0</v>
      </c>
    </row>
    <row r="127" spans="1:6" ht="40.75" customHeight="1" outlineLevel="7" x14ac:dyDescent="0.25">
      <c r="A127" s="423" t="s">
        <v>458</v>
      </c>
      <c r="B127" s="615" t="s">
        <v>455</v>
      </c>
      <c r="C127" s="615" t="s">
        <v>24</v>
      </c>
      <c r="D127" s="615" t="s">
        <v>457</v>
      </c>
      <c r="E127" s="615" t="s">
        <v>6</v>
      </c>
      <c r="F127" s="345">
        <f>F128</f>
        <v>250000</v>
      </c>
    </row>
    <row r="128" spans="1:6" ht="36.700000000000003" outlineLevel="7" x14ac:dyDescent="0.25">
      <c r="A128" s="423" t="s">
        <v>15</v>
      </c>
      <c r="B128" s="615" t="s">
        <v>455</v>
      </c>
      <c r="C128" s="615" t="s">
        <v>24</v>
      </c>
      <c r="D128" s="615" t="s">
        <v>457</v>
      </c>
      <c r="E128" s="615" t="s">
        <v>16</v>
      </c>
      <c r="F128" s="345">
        <f>F129</f>
        <v>250000</v>
      </c>
    </row>
    <row r="129" spans="1:6" ht="20.25" customHeight="1" outlineLevel="7" x14ac:dyDescent="0.25">
      <c r="A129" s="423" t="s">
        <v>17</v>
      </c>
      <c r="B129" s="615" t="s">
        <v>455</v>
      </c>
      <c r="C129" s="615" t="s">
        <v>24</v>
      </c>
      <c r="D129" s="615" t="s">
        <v>457</v>
      </c>
      <c r="E129" s="615" t="s">
        <v>18</v>
      </c>
      <c r="F129" s="402">
        <f>'потребность 2024 проект весь'!M125</f>
        <v>250000</v>
      </c>
    </row>
    <row r="130" spans="1:6" outlineLevel="3" x14ac:dyDescent="0.25">
      <c r="A130" s="423" t="s">
        <v>269</v>
      </c>
      <c r="B130" s="615" t="s">
        <v>455</v>
      </c>
      <c r="C130" s="615" t="s">
        <v>24</v>
      </c>
      <c r="D130" s="615" t="s">
        <v>268</v>
      </c>
      <c r="E130" s="615" t="s">
        <v>6</v>
      </c>
      <c r="F130" s="402">
        <f>F157+F131+F139+F147+F152+F136+F144</f>
        <v>9844573.7300000004</v>
      </c>
    </row>
    <row r="131" spans="1:6" ht="67.95" customHeight="1" outlineLevel="3" x14ac:dyDescent="0.25">
      <c r="A131" s="31" t="s">
        <v>962</v>
      </c>
      <c r="B131" s="615" t="s">
        <v>455</v>
      </c>
      <c r="C131" s="615" t="s">
        <v>24</v>
      </c>
      <c r="D131" s="615" t="s">
        <v>270</v>
      </c>
      <c r="E131" s="615" t="s">
        <v>6</v>
      </c>
      <c r="F131" s="402">
        <f>F132+F134</f>
        <v>1588992</v>
      </c>
    </row>
    <row r="132" spans="1:6" ht="73.400000000000006" outlineLevel="3" x14ac:dyDescent="0.25">
      <c r="A132" s="423" t="s">
        <v>11</v>
      </c>
      <c r="B132" s="615" t="s">
        <v>455</v>
      </c>
      <c r="C132" s="615" t="s">
        <v>24</v>
      </c>
      <c r="D132" s="615" t="s">
        <v>270</v>
      </c>
      <c r="E132" s="615" t="s">
        <v>12</v>
      </c>
      <c r="F132" s="402">
        <f>F133</f>
        <v>1573992</v>
      </c>
    </row>
    <row r="133" spans="1:6" ht="36.700000000000003" outlineLevel="3" x14ac:dyDescent="0.25">
      <c r="A133" s="423" t="s">
        <v>13</v>
      </c>
      <c r="B133" s="615" t="s">
        <v>455</v>
      </c>
      <c r="C133" s="615" t="s">
        <v>24</v>
      </c>
      <c r="D133" s="615" t="s">
        <v>270</v>
      </c>
      <c r="E133" s="615" t="s">
        <v>14</v>
      </c>
      <c r="F133" s="402">
        <f>'потребность 2024 проект весь'!M129</f>
        <v>1573992</v>
      </c>
    </row>
    <row r="134" spans="1:6" ht="41.3" customHeight="1" outlineLevel="7" x14ac:dyDescent="0.25">
      <c r="A134" s="423" t="s">
        <v>15</v>
      </c>
      <c r="B134" s="615" t="s">
        <v>455</v>
      </c>
      <c r="C134" s="615" t="s">
        <v>24</v>
      </c>
      <c r="D134" s="615" t="s">
        <v>270</v>
      </c>
      <c r="E134" s="615" t="s">
        <v>16</v>
      </c>
      <c r="F134" s="402">
        <f>F135</f>
        <v>15000</v>
      </c>
    </row>
    <row r="135" spans="1:6" ht="36.700000000000003" outlineLevel="7" x14ac:dyDescent="0.25">
      <c r="A135" s="423" t="s">
        <v>17</v>
      </c>
      <c r="B135" s="615" t="s">
        <v>455</v>
      </c>
      <c r="C135" s="615" t="s">
        <v>24</v>
      </c>
      <c r="D135" s="615" t="s">
        <v>270</v>
      </c>
      <c r="E135" s="615" t="s">
        <v>18</v>
      </c>
      <c r="F135" s="402">
        <f>'потребность 2024 проект весь'!M131</f>
        <v>15000</v>
      </c>
    </row>
    <row r="136" spans="1:6" ht="67.75" customHeight="1" outlineLevel="7" x14ac:dyDescent="0.25">
      <c r="A136" s="44" t="s">
        <v>944</v>
      </c>
      <c r="B136" s="615" t="s">
        <v>455</v>
      </c>
      <c r="C136" s="615" t="s">
        <v>24</v>
      </c>
      <c r="D136" s="615" t="s">
        <v>652</v>
      </c>
      <c r="E136" s="615" t="s">
        <v>6</v>
      </c>
      <c r="F136" s="402">
        <f>F137</f>
        <v>449243</v>
      </c>
    </row>
    <row r="137" spans="1:6" ht="36.700000000000003" outlineLevel="7" x14ac:dyDescent="0.25">
      <c r="A137" s="423" t="s">
        <v>13</v>
      </c>
      <c r="B137" s="615" t="s">
        <v>455</v>
      </c>
      <c r="C137" s="615" t="s">
        <v>24</v>
      </c>
      <c r="D137" s="615" t="s">
        <v>652</v>
      </c>
      <c r="E137" s="615" t="s">
        <v>12</v>
      </c>
      <c r="F137" s="402">
        <f>F138</f>
        <v>449243</v>
      </c>
    </row>
    <row r="138" spans="1:6" ht="41.45" customHeight="1" outlineLevel="7" x14ac:dyDescent="0.25">
      <c r="A138" s="423" t="s">
        <v>13</v>
      </c>
      <c r="B138" s="615" t="s">
        <v>455</v>
      </c>
      <c r="C138" s="615" t="s">
        <v>24</v>
      </c>
      <c r="D138" s="615" t="s">
        <v>652</v>
      </c>
      <c r="E138" s="615" t="s">
        <v>14</v>
      </c>
      <c r="F138" s="402">
        <f>'потребность 2024 проект весь'!M134</f>
        <v>449243</v>
      </c>
    </row>
    <row r="139" spans="1:6" ht="59.8" customHeight="1" outlineLevel="7" x14ac:dyDescent="0.25">
      <c r="A139" s="44" t="s">
        <v>945</v>
      </c>
      <c r="B139" s="615" t="s">
        <v>455</v>
      </c>
      <c r="C139" s="615" t="s">
        <v>24</v>
      </c>
      <c r="D139" s="615" t="s">
        <v>947</v>
      </c>
      <c r="E139" s="615" t="s">
        <v>6</v>
      </c>
      <c r="F139" s="402">
        <f>F140+F142</f>
        <v>1642229</v>
      </c>
    </row>
    <row r="140" spans="1:6" ht="39.75" customHeight="1" outlineLevel="7" x14ac:dyDescent="0.25">
      <c r="A140" s="423" t="s">
        <v>11</v>
      </c>
      <c r="B140" s="615" t="s">
        <v>455</v>
      </c>
      <c r="C140" s="615" t="s">
        <v>24</v>
      </c>
      <c r="D140" s="615" t="s">
        <v>947</v>
      </c>
      <c r="E140" s="615" t="s">
        <v>12</v>
      </c>
      <c r="F140" s="402">
        <f>F141</f>
        <v>1627229</v>
      </c>
    </row>
    <row r="141" spans="1:6" ht="39.75" customHeight="1" outlineLevel="7" x14ac:dyDescent="0.25">
      <c r="A141" s="423" t="s">
        <v>13</v>
      </c>
      <c r="B141" s="615" t="s">
        <v>455</v>
      </c>
      <c r="C141" s="615" t="s">
        <v>24</v>
      </c>
      <c r="D141" s="615" t="s">
        <v>947</v>
      </c>
      <c r="E141" s="615" t="s">
        <v>14</v>
      </c>
      <c r="F141" s="402">
        <f>'потребность 2024 проект весь'!M137</f>
        <v>1627229</v>
      </c>
    </row>
    <row r="142" spans="1:6" ht="36.700000000000003" outlineLevel="7" x14ac:dyDescent="0.25">
      <c r="A142" s="423" t="s">
        <v>15</v>
      </c>
      <c r="B142" s="615" t="s">
        <v>455</v>
      </c>
      <c r="C142" s="615" t="s">
        <v>24</v>
      </c>
      <c r="D142" s="615" t="s">
        <v>947</v>
      </c>
      <c r="E142" s="615" t="s">
        <v>16</v>
      </c>
      <c r="F142" s="402">
        <f>F143</f>
        <v>15000</v>
      </c>
    </row>
    <row r="143" spans="1:6" ht="36.700000000000003" outlineLevel="7" x14ac:dyDescent="0.25">
      <c r="A143" s="423" t="s">
        <v>17</v>
      </c>
      <c r="B143" s="615" t="s">
        <v>455</v>
      </c>
      <c r="C143" s="615" t="s">
        <v>24</v>
      </c>
      <c r="D143" s="615" t="s">
        <v>947</v>
      </c>
      <c r="E143" s="615" t="s">
        <v>18</v>
      </c>
      <c r="F143" s="402">
        <f>'потребность 2024 проект весь'!M139</f>
        <v>15000</v>
      </c>
    </row>
    <row r="144" spans="1:6" ht="36.700000000000003" outlineLevel="7" x14ac:dyDescent="0.3">
      <c r="A144" s="390" t="s">
        <v>946</v>
      </c>
      <c r="B144" s="615" t="s">
        <v>455</v>
      </c>
      <c r="C144" s="615" t="s">
        <v>24</v>
      </c>
      <c r="D144" s="615" t="s">
        <v>948</v>
      </c>
      <c r="E144" s="615" t="s">
        <v>6</v>
      </c>
      <c r="F144" s="402">
        <f>F145</f>
        <v>1300000</v>
      </c>
    </row>
    <row r="145" spans="1:6" ht="73.400000000000006" outlineLevel="7" x14ac:dyDescent="0.25">
      <c r="A145" s="423" t="s">
        <v>11</v>
      </c>
      <c r="B145" s="615" t="s">
        <v>455</v>
      </c>
      <c r="C145" s="615" t="s">
        <v>24</v>
      </c>
      <c r="D145" s="615" t="s">
        <v>948</v>
      </c>
      <c r="E145" s="615" t="s">
        <v>12</v>
      </c>
      <c r="F145" s="402">
        <f>F146</f>
        <v>1300000</v>
      </c>
    </row>
    <row r="146" spans="1:6" ht="36.700000000000003" outlineLevel="7" x14ac:dyDescent="0.25">
      <c r="A146" s="423" t="s">
        <v>13</v>
      </c>
      <c r="B146" s="615" t="s">
        <v>455</v>
      </c>
      <c r="C146" s="615" t="s">
        <v>24</v>
      </c>
      <c r="D146" s="615" t="s">
        <v>948</v>
      </c>
      <c r="E146" s="615" t="s">
        <v>14</v>
      </c>
      <c r="F146" s="402">
        <f>'потребность 2024 проект весь'!M142</f>
        <v>1300000</v>
      </c>
    </row>
    <row r="147" spans="1:6" ht="38.9" customHeight="1" outlineLevel="7" x14ac:dyDescent="0.25">
      <c r="A147" s="31" t="s">
        <v>939</v>
      </c>
      <c r="B147" s="615" t="s">
        <v>455</v>
      </c>
      <c r="C147" s="615" t="s">
        <v>24</v>
      </c>
      <c r="D147" s="615" t="s">
        <v>271</v>
      </c>
      <c r="E147" s="615" t="s">
        <v>6</v>
      </c>
      <c r="F147" s="402">
        <f>F148+F150</f>
        <v>1219473</v>
      </c>
    </row>
    <row r="148" spans="1:6" ht="73.400000000000006" outlineLevel="7" x14ac:dyDescent="0.25">
      <c r="A148" s="423" t="s">
        <v>11</v>
      </c>
      <c r="B148" s="615" t="s">
        <v>455</v>
      </c>
      <c r="C148" s="615" t="s">
        <v>24</v>
      </c>
      <c r="D148" s="615" t="s">
        <v>271</v>
      </c>
      <c r="E148" s="615" t="s">
        <v>12</v>
      </c>
      <c r="F148" s="402">
        <f>F149</f>
        <v>1174473</v>
      </c>
    </row>
    <row r="149" spans="1:6" ht="32.6" customHeight="1" outlineLevel="7" x14ac:dyDescent="0.25">
      <c r="A149" s="423" t="s">
        <v>13</v>
      </c>
      <c r="B149" s="615" t="s">
        <v>455</v>
      </c>
      <c r="C149" s="615" t="s">
        <v>24</v>
      </c>
      <c r="D149" s="615" t="s">
        <v>271</v>
      </c>
      <c r="E149" s="615" t="s">
        <v>14</v>
      </c>
      <c r="F149" s="345">
        <f>'потребность 2024 проект весь'!M145</f>
        <v>1174473</v>
      </c>
    </row>
    <row r="150" spans="1:6" ht="45" customHeight="1" outlineLevel="7" x14ac:dyDescent="0.25">
      <c r="A150" s="423" t="s">
        <v>15</v>
      </c>
      <c r="B150" s="615" t="s">
        <v>455</v>
      </c>
      <c r="C150" s="615" t="s">
        <v>24</v>
      </c>
      <c r="D150" s="615" t="s">
        <v>271</v>
      </c>
      <c r="E150" s="615" t="s">
        <v>16</v>
      </c>
      <c r="F150" s="402">
        <f>F151</f>
        <v>45000</v>
      </c>
    </row>
    <row r="151" spans="1:6" ht="36.700000000000003" outlineLevel="7" x14ac:dyDescent="0.25">
      <c r="A151" s="423" t="s">
        <v>17</v>
      </c>
      <c r="B151" s="615" t="s">
        <v>455</v>
      </c>
      <c r="C151" s="615" t="s">
        <v>24</v>
      </c>
      <c r="D151" s="615" t="s">
        <v>271</v>
      </c>
      <c r="E151" s="615" t="s">
        <v>18</v>
      </c>
      <c r="F151" s="402">
        <f>'потребность 2024 проект весь'!M147</f>
        <v>45000</v>
      </c>
    </row>
    <row r="152" spans="1:6" ht="46.55" customHeight="1" outlineLevel="7" x14ac:dyDescent="0.25">
      <c r="A152" s="44" t="s">
        <v>943</v>
      </c>
      <c r="B152" s="615" t="s">
        <v>455</v>
      </c>
      <c r="C152" s="615" t="s">
        <v>24</v>
      </c>
      <c r="D152" s="615" t="s">
        <v>381</v>
      </c>
      <c r="E152" s="615" t="s">
        <v>6</v>
      </c>
      <c r="F152" s="402">
        <f>F153+F155</f>
        <v>2607156</v>
      </c>
    </row>
    <row r="153" spans="1:6" ht="73.400000000000006" outlineLevel="7" x14ac:dyDescent="0.25">
      <c r="A153" s="423" t="s">
        <v>11</v>
      </c>
      <c r="B153" s="615" t="s">
        <v>455</v>
      </c>
      <c r="C153" s="615" t="s">
        <v>24</v>
      </c>
      <c r="D153" s="615" t="s">
        <v>381</v>
      </c>
      <c r="E153" s="615" t="s">
        <v>12</v>
      </c>
      <c r="F153" s="402">
        <f>F154</f>
        <v>2449556</v>
      </c>
    </row>
    <row r="154" spans="1:6" ht="21.25" customHeight="1" outlineLevel="7" x14ac:dyDescent="0.25">
      <c r="A154" s="423" t="s">
        <v>13</v>
      </c>
      <c r="B154" s="615" t="s">
        <v>455</v>
      </c>
      <c r="C154" s="615" t="s">
        <v>24</v>
      </c>
      <c r="D154" s="615" t="s">
        <v>381</v>
      </c>
      <c r="E154" s="615" t="s">
        <v>14</v>
      </c>
      <c r="F154" s="402">
        <f>'потребность 2024 проект весь'!M150</f>
        <v>2449556</v>
      </c>
    </row>
    <row r="155" spans="1:6" ht="38.25" customHeight="1" outlineLevel="7" x14ac:dyDescent="0.25">
      <c r="A155" s="423" t="s">
        <v>15</v>
      </c>
      <c r="B155" s="615" t="s">
        <v>455</v>
      </c>
      <c r="C155" s="615" t="s">
        <v>24</v>
      </c>
      <c r="D155" s="615" t="s">
        <v>381</v>
      </c>
      <c r="E155" s="615" t="s">
        <v>16</v>
      </c>
      <c r="F155" s="402">
        <f>F156</f>
        <v>157600</v>
      </c>
    </row>
    <row r="156" spans="1:6" ht="36.700000000000003" outlineLevel="7" x14ac:dyDescent="0.25">
      <c r="A156" s="423" t="s">
        <v>17</v>
      </c>
      <c r="B156" s="615" t="s">
        <v>455</v>
      </c>
      <c r="C156" s="615" t="s">
        <v>24</v>
      </c>
      <c r="D156" s="615" t="s">
        <v>381</v>
      </c>
      <c r="E156" s="615" t="s">
        <v>18</v>
      </c>
      <c r="F156" s="402">
        <f>'потребность 2024 проект весь'!M152</f>
        <v>157600</v>
      </c>
    </row>
    <row r="157" spans="1:6" ht="101.25" customHeight="1" outlineLevel="7" x14ac:dyDescent="0.25">
      <c r="A157" s="44" t="s">
        <v>959</v>
      </c>
      <c r="B157" s="615" t="s">
        <v>455</v>
      </c>
      <c r="C157" s="615" t="s">
        <v>24</v>
      </c>
      <c r="D157" s="615" t="s">
        <v>1114</v>
      </c>
      <c r="E157" s="615" t="s">
        <v>6</v>
      </c>
      <c r="F157" s="402">
        <f>F158+F160</f>
        <v>1037480.73</v>
      </c>
    </row>
    <row r="158" spans="1:6" ht="73.400000000000006" outlineLevel="7" x14ac:dyDescent="0.25">
      <c r="A158" s="423" t="s">
        <v>11</v>
      </c>
      <c r="B158" s="615" t="s">
        <v>455</v>
      </c>
      <c r="C158" s="615" t="s">
        <v>24</v>
      </c>
      <c r="D158" s="615" t="s">
        <v>1114</v>
      </c>
      <c r="E158" s="615" t="s">
        <v>12</v>
      </c>
      <c r="F158" s="402">
        <f>F159</f>
        <v>977480.73</v>
      </c>
    </row>
    <row r="159" spans="1:6" ht="19.55" customHeight="1" outlineLevel="7" x14ac:dyDescent="0.25">
      <c r="A159" s="423" t="s">
        <v>13</v>
      </c>
      <c r="B159" s="615" t="s">
        <v>455</v>
      </c>
      <c r="C159" s="615" t="s">
        <v>24</v>
      </c>
      <c r="D159" s="615" t="s">
        <v>1114</v>
      </c>
      <c r="E159" s="615" t="s">
        <v>14</v>
      </c>
      <c r="F159" s="402">
        <f>'потребность 2024 проект весь'!M155</f>
        <v>977480.73</v>
      </c>
    </row>
    <row r="160" spans="1:6" ht="46.55" customHeight="1" outlineLevel="3" x14ac:dyDescent="0.25">
      <c r="A160" s="423" t="s">
        <v>15</v>
      </c>
      <c r="B160" s="615" t="s">
        <v>455</v>
      </c>
      <c r="C160" s="615" t="s">
        <v>24</v>
      </c>
      <c r="D160" s="615" t="s">
        <v>1114</v>
      </c>
      <c r="E160" s="615" t="s">
        <v>16</v>
      </c>
      <c r="F160" s="402">
        <f>F161</f>
        <v>60000</v>
      </c>
    </row>
    <row r="161" spans="1:8" ht="36.700000000000003" outlineLevel="3" x14ac:dyDescent="0.25">
      <c r="A161" s="423" t="s">
        <v>17</v>
      </c>
      <c r="B161" s="615" t="s">
        <v>455</v>
      </c>
      <c r="C161" s="615" t="s">
        <v>24</v>
      </c>
      <c r="D161" s="615" t="s">
        <v>1114</v>
      </c>
      <c r="E161" s="615" t="s">
        <v>18</v>
      </c>
      <c r="F161" s="402">
        <f>'потребность 2024 проект весь'!M157</f>
        <v>60000</v>
      </c>
    </row>
    <row r="162" spans="1:8" ht="23.3" customHeight="1" outlineLevel="3" x14ac:dyDescent="0.25">
      <c r="A162" s="45" t="s">
        <v>525</v>
      </c>
      <c r="B162" s="616" t="s">
        <v>455</v>
      </c>
      <c r="C162" s="616" t="s">
        <v>26</v>
      </c>
      <c r="D162" s="616" t="s">
        <v>126</v>
      </c>
      <c r="E162" s="616" t="s">
        <v>6</v>
      </c>
      <c r="F162" s="402">
        <f t="shared" ref="F162:F167" si="0">F163</f>
        <v>2074512</v>
      </c>
    </row>
    <row r="163" spans="1:8" ht="23.95" customHeight="1" outlineLevel="3" x14ac:dyDescent="0.25">
      <c r="A163" s="423" t="s">
        <v>526</v>
      </c>
      <c r="B163" s="615" t="s">
        <v>455</v>
      </c>
      <c r="C163" s="615" t="s">
        <v>527</v>
      </c>
      <c r="D163" s="615" t="s">
        <v>126</v>
      </c>
      <c r="E163" s="615" t="s">
        <v>6</v>
      </c>
      <c r="F163" s="402">
        <f t="shared" si="0"/>
        <v>2074512</v>
      </c>
    </row>
    <row r="164" spans="1:8" ht="36.700000000000003" outlineLevel="3" x14ac:dyDescent="0.25">
      <c r="A164" s="423" t="s">
        <v>132</v>
      </c>
      <c r="B164" s="615" t="s">
        <v>455</v>
      </c>
      <c r="C164" s="615" t="s">
        <v>527</v>
      </c>
      <c r="D164" s="615" t="s">
        <v>127</v>
      </c>
      <c r="E164" s="615" t="s">
        <v>6</v>
      </c>
      <c r="F164" s="402">
        <f>F165+F169</f>
        <v>2074512</v>
      </c>
    </row>
    <row r="165" spans="1:8" ht="19.55" customHeight="1" outlineLevel="3" x14ac:dyDescent="0.25">
      <c r="A165" s="423" t="s">
        <v>269</v>
      </c>
      <c r="B165" s="615" t="s">
        <v>455</v>
      </c>
      <c r="C165" s="615" t="s">
        <v>527</v>
      </c>
      <c r="D165" s="615" t="s">
        <v>268</v>
      </c>
      <c r="E165" s="615" t="s">
        <v>6</v>
      </c>
      <c r="F165" s="402">
        <f t="shared" si="0"/>
        <v>1804512</v>
      </c>
    </row>
    <row r="166" spans="1:8" ht="55.2" customHeight="1" outlineLevel="3" x14ac:dyDescent="0.25">
      <c r="A166" s="423" t="s">
        <v>960</v>
      </c>
      <c r="B166" s="615" t="s">
        <v>455</v>
      </c>
      <c r="C166" s="615" t="s">
        <v>527</v>
      </c>
      <c r="D166" s="615" t="s">
        <v>529</v>
      </c>
      <c r="E166" s="615" t="s">
        <v>6</v>
      </c>
      <c r="F166" s="402">
        <f t="shared" si="0"/>
        <v>1804512</v>
      </c>
    </row>
    <row r="167" spans="1:8" ht="73.400000000000006" outlineLevel="3" x14ac:dyDescent="0.25">
      <c r="A167" s="423" t="s">
        <v>11</v>
      </c>
      <c r="B167" s="615" t="s">
        <v>455</v>
      </c>
      <c r="C167" s="615" t="s">
        <v>527</v>
      </c>
      <c r="D167" s="615" t="s">
        <v>529</v>
      </c>
      <c r="E167" s="615" t="s">
        <v>12</v>
      </c>
      <c r="F167" s="402">
        <f t="shared" si="0"/>
        <v>1804512</v>
      </c>
    </row>
    <row r="168" spans="1:8" ht="36.700000000000003" outlineLevel="3" x14ac:dyDescent="0.25">
      <c r="A168" s="423" t="s">
        <v>13</v>
      </c>
      <c r="B168" s="615" t="s">
        <v>455</v>
      </c>
      <c r="C168" s="615" t="s">
        <v>527</v>
      </c>
      <c r="D168" s="615" t="s">
        <v>529</v>
      </c>
      <c r="E168" s="615" t="s">
        <v>14</v>
      </c>
      <c r="F168" s="402">
        <f>'потребность 2024 проект весь'!M164</f>
        <v>1804512</v>
      </c>
    </row>
    <row r="169" spans="1:8" ht="55.05" outlineLevel="3" x14ac:dyDescent="0.25">
      <c r="A169" s="423" t="s">
        <v>654</v>
      </c>
      <c r="B169" s="615" t="s">
        <v>455</v>
      </c>
      <c r="C169" s="615" t="s">
        <v>527</v>
      </c>
      <c r="D169" s="615" t="s">
        <v>659</v>
      </c>
      <c r="E169" s="615" t="s">
        <v>6</v>
      </c>
      <c r="F169" s="402">
        <f>F170</f>
        <v>270000</v>
      </c>
    </row>
    <row r="170" spans="1:8" ht="73.400000000000006" outlineLevel="3" x14ac:dyDescent="0.25">
      <c r="A170" s="423" t="s">
        <v>11</v>
      </c>
      <c r="B170" s="615" t="s">
        <v>455</v>
      </c>
      <c r="C170" s="615" t="s">
        <v>527</v>
      </c>
      <c r="D170" s="615" t="s">
        <v>659</v>
      </c>
      <c r="E170" s="615" t="s">
        <v>12</v>
      </c>
      <c r="F170" s="402">
        <f>F171</f>
        <v>270000</v>
      </c>
    </row>
    <row r="171" spans="1:8" ht="36.700000000000003" outlineLevel="3" x14ac:dyDescent="0.25">
      <c r="A171" s="423" t="s">
        <v>13</v>
      </c>
      <c r="B171" s="615" t="s">
        <v>455</v>
      </c>
      <c r="C171" s="615" t="s">
        <v>527</v>
      </c>
      <c r="D171" s="615" t="s">
        <v>659</v>
      </c>
      <c r="E171" s="615" t="s">
        <v>14</v>
      </c>
      <c r="F171" s="402">
        <f>'потребность 2024 проект весь'!M167</f>
        <v>270000</v>
      </c>
    </row>
    <row r="172" spans="1:8" ht="36.700000000000003" outlineLevel="3" x14ac:dyDescent="0.25">
      <c r="A172" s="45" t="s">
        <v>41</v>
      </c>
      <c r="B172" s="616" t="s">
        <v>455</v>
      </c>
      <c r="C172" s="616" t="s">
        <v>42</v>
      </c>
      <c r="D172" s="616" t="s">
        <v>126</v>
      </c>
      <c r="E172" s="616" t="s">
        <v>6</v>
      </c>
      <c r="F172" s="347">
        <f>F173+F178</f>
        <v>2612945</v>
      </c>
    </row>
    <row r="173" spans="1:8" ht="36.700000000000003" outlineLevel="3" x14ac:dyDescent="0.25">
      <c r="A173" s="423" t="s">
        <v>43</v>
      </c>
      <c r="B173" s="615" t="s">
        <v>455</v>
      </c>
      <c r="C173" s="615" t="s">
        <v>44</v>
      </c>
      <c r="D173" s="615" t="s">
        <v>126</v>
      </c>
      <c r="E173" s="615" t="s">
        <v>6</v>
      </c>
      <c r="F173" s="402">
        <f>F174</f>
        <v>200000</v>
      </c>
    </row>
    <row r="174" spans="1:8" ht="36.700000000000003" outlineLevel="3" x14ac:dyDescent="0.25">
      <c r="A174" s="423" t="s">
        <v>132</v>
      </c>
      <c r="B174" s="615" t="s">
        <v>455</v>
      </c>
      <c r="C174" s="615" t="s">
        <v>44</v>
      </c>
      <c r="D174" s="615" t="s">
        <v>127</v>
      </c>
      <c r="E174" s="615" t="s">
        <v>6</v>
      </c>
      <c r="F174" s="402">
        <f>F175</f>
        <v>200000</v>
      </c>
    </row>
    <row r="175" spans="1:8" s="76" customFormat="1" ht="36.700000000000003" outlineLevel="1" x14ac:dyDescent="0.25">
      <c r="A175" s="423" t="s">
        <v>45</v>
      </c>
      <c r="B175" s="615" t="s">
        <v>455</v>
      </c>
      <c r="C175" s="615" t="s">
        <v>44</v>
      </c>
      <c r="D175" s="615" t="s">
        <v>133</v>
      </c>
      <c r="E175" s="615" t="s">
        <v>6</v>
      </c>
      <c r="F175" s="402">
        <f>F176</f>
        <v>200000</v>
      </c>
      <c r="G175" s="75"/>
      <c r="H175" s="75"/>
    </row>
    <row r="176" spans="1:8" ht="36.700000000000003" outlineLevel="2" x14ac:dyDescent="0.25">
      <c r="A176" s="423" t="s">
        <v>15</v>
      </c>
      <c r="B176" s="615" t="s">
        <v>455</v>
      </c>
      <c r="C176" s="615" t="s">
        <v>44</v>
      </c>
      <c r="D176" s="615" t="s">
        <v>133</v>
      </c>
      <c r="E176" s="615" t="s">
        <v>16</v>
      </c>
      <c r="F176" s="402">
        <f>F177</f>
        <v>200000</v>
      </c>
    </row>
    <row r="177" spans="1:8" ht="36.700000000000003" outlineLevel="4" x14ac:dyDescent="0.25">
      <c r="A177" s="423" t="s">
        <v>17</v>
      </c>
      <c r="B177" s="615" t="s">
        <v>455</v>
      </c>
      <c r="C177" s="615" t="s">
        <v>44</v>
      </c>
      <c r="D177" s="615" t="s">
        <v>133</v>
      </c>
      <c r="E177" s="615" t="s">
        <v>18</v>
      </c>
      <c r="F177" s="402">
        <f>'потребность 2024 проект весь'!M173</f>
        <v>200000</v>
      </c>
    </row>
    <row r="178" spans="1:8" outlineLevel="5" x14ac:dyDescent="0.25">
      <c r="A178" s="423" t="s">
        <v>459</v>
      </c>
      <c r="B178" s="615" t="s">
        <v>455</v>
      </c>
      <c r="C178" s="615" t="s">
        <v>460</v>
      </c>
      <c r="D178" s="615" t="s">
        <v>126</v>
      </c>
      <c r="E178" s="615" t="s">
        <v>6</v>
      </c>
      <c r="F178" s="402">
        <f>F179</f>
        <v>2412945</v>
      </c>
    </row>
    <row r="179" spans="1:8" ht="36.700000000000003" outlineLevel="6" x14ac:dyDescent="0.25">
      <c r="A179" s="423" t="s">
        <v>132</v>
      </c>
      <c r="B179" s="615" t="s">
        <v>455</v>
      </c>
      <c r="C179" s="615" t="s">
        <v>460</v>
      </c>
      <c r="D179" s="615" t="s">
        <v>127</v>
      </c>
      <c r="E179" s="615" t="s">
        <v>6</v>
      </c>
      <c r="F179" s="402">
        <f>F180</f>
        <v>2412945</v>
      </c>
    </row>
    <row r="180" spans="1:8" ht="38.9" customHeight="1" outlineLevel="7" x14ac:dyDescent="0.25">
      <c r="A180" s="423" t="s">
        <v>461</v>
      </c>
      <c r="B180" s="615" t="s">
        <v>455</v>
      </c>
      <c r="C180" s="615" t="s">
        <v>460</v>
      </c>
      <c r="D180" s="615" t="s">
        <v>617</v>
      </c>
      <c r="E180" s="615" t="s">
        <v>6</v>
      </c>
      <c r="F180" s="402">
        <f>F181</f>
        <v>2412945</v>
      </c>
    </row>
    <row r="181" spans="1:8" ht="20.25" customHeight="1" outlineLevel="7" x14ac:dyDescent="0.25">
      <c r="A181" s="423" t="s">
        <v>15</v>
      </c>
      <c r="B181" s="615" t="s">
        <v>455</v>
      </c>
      <c r="C181" s="615" t="s">
        <v>460</v>
      </c>
      <c r="D181" s="615" t="s">
        <v>617</v>
      </c>
      <c r="E181" s="615" t="s">
        <v>16</v>
      </c>
      <c r="F181" s="402">
        <f>F182</f>
        <v>2412945</v>
      </c>
    </row>
    <row r="182" spans="1:8" ht="36.700000000000003" outlineLevel="7" x14ac:dyDescent="0.25">
      <c r="A182" s="423" t="s">
        <v>17</v>
      </c>
      <c r="B182" s="615" t="s">
        <v>455</v>
      </c>
      <c r="C182" s="615" t="s">
        <v>460</v>
      </c>
      <c r="D182" s="615" t="s">
        <v>617</v>
      </c>
      <c r="E182" s="615" t="s">
        <v>18</v>
      </c>
      <c r="F182" s="402">
        <f>'потребность 2024 проект весь'!M178</f>
        <v>2412945</v>
      </c>
    </row>
    <row r="183" spans="1:8" ht="20.25" customHeight="1" outlineLevel="7" x14ac:dyDescent="0.25">
      <c r="A183" s="45" t="s">
        <v>119</v>
      </c>
      <c r="B183" s="616" t="s">
        <v>455</v>
      </c>
      <c r="C183" s="616" t="s">
        <v>46</v>
      </c>
      <c r="D183" s="616" t="s">
        <v>126</v>
      </c>
      <c r="E183" s="616" t="s">
        <v>6</v>
      </c>
      <c r="F183" s="610">
        <f>F207+F190+F219+F184</f>
        <v>22716765.300000001</v>
      </c>
    </row>
    <row r="184" spans="1:8" outlineLevel="7" x14ac:dyDescent="0.25">
      <c r="A184" s="423" t="s">
        <v>121</v>
      </c>
      <c r="B184" s="615" t="s">
        <v>455</v>
      </c>
      <c r="C184" s="615" t="s">
        <v>122</v>
      </c>
      <c r="D184" s="615" t="s">
        <v>126</v>
      </c>
      <c r="E184" s="615" t="s">
        <v>6</v>
      </c>
      <c r="F184" s="611">
        <f>F185</f>
        <v>1122746.8500000001</v>
      </c>
    </row>
    <row r="185" spans="1:8" ht="36.700000000000003" outlineLevel="7" x14ac:dyDescent="0.25">
      <c r="A185" s="45" t="s">
        <v>132</v>
      </c>
      <c r="B185" s="615" t="s">
        <v>455</v>
      </c>
      <c r="C185" s="616" t="s">
        <v>122</v>
      </c>
      <c r="D185" s="616" t="s">
        <v>127</v>
      </c>
      <c r="E185" s="616" t="s">
        <v>6</v>
      </c>
      <c r="F185" s="610">
        <f>F187</f>
        <v>1122746.8500000001</v>
      </c>
    </row>
    <row r="186" spans="1:8" s="76" customFormat="1" outlineLevel="7" x14ac:dyDescent="0.25">
      <c r="A186" s="423" t="s">
        <v>269</v>
      </c>
      <c r="B186" s="615" t="s">
        <v>455</v>
      </c>
      <c r="C186" s="615" t="s">
        <v>122</v>
      </c>
      <c r="D186" s="615" t="s">
        <v>268</v>
      </c>
      <c r="E186" s="615" t="s">
        <v>6</v>
      </c>
      <c r="F186" s="611">
        <f>F187</f>
        <v>1122746.8500000001</v>
      </c>
      <c r="G186" s="75"/>
      <c r="H186" s="75"/>
    </row>
    <row r="187" spans="1:8" ht="64.2" customHeight="1" outlineLevel="7" x14ac:dyDescent="0.25">
      <c r="A187" s="44" t="s">
        <v>933</v>
      </c>
      <c r="B187" s="615" t="s">
        <v>455</v>
      </c>
      <c r="C187" s="615" t="s">
        <v>122</v>
      </c>
      <c r="D187" s="615" t="s">
        <v>278</v>
      </c>
      <c r="E187" s="615" t="s">
        <v>6</v>
      </c>
      <c r="F187" s="611">
        <f>F188</f>
        <v>1122746.8500000001</v>
      </c>
    </row>
    <row r="188" spans="1:8" ht="36.700000000000003" outlineLevel="7" x14ac:dyDescent="0.25">
      <c r="A188" s="423" t="s">
        <v>15</v>
      </c>
      <c r="B188" s="615" t="s">
        <v>455</v>
      </c>
      <c r="C188" s="615" t="s">
        <v>122</v>
      </c>
      <c r="D188" s="615" t="s">
        <v>278</v>
      </c>
      <c r="E188" s="615" t="s">
        <v>16</v>
      </c>
      <c r="F188" s="611">
        <f>F189</f>
        <v>1122746.8500000001</v>
      </c>
    </row>
    <row r="189" spans="1:8" ht="36.700000000000003" outlineLevel="7" x14ac:dyDescent="0.25">
      <c r="A189" s="423" t="s">
        <v>17</v>
      </c>
      <c r="B189" s="615" t="s">
        <v>455</v>
      </c>
      <c r="C189" s="615" t="s">
        <v>122</v>
      </c>
      <c r="D189" s="615" t="s">
        <v>278</v>
      </c>
      <c r="E189" s="615" t="s">
        <v>18</v>
      </c>
      <c r="F189" s="611">
        <f>'потребность 2024 проект весь'!M184</f>
        <v>1122746.8500000001</v>
      </c>
    </row>
    <row r="190" spans="1:8" outlineLevel="7" x14ac:dyDescent="0.25">
      <c r="A190" s="423" t="s">
        <v>282</v>
      </c>
      <c r="B190" s="615" t="s">
        <v>455</v>
      </c>
      <c r="C190" s="615" t="s">
        <v>283</v>
      </c>
      <c r="D190" s="615" t="s">
        <v>126</v>
      </c>
      <c r="E190" s="615" t="s">
        <v>6</v>
      </c>
      <c r="F190" s="611">
        <f>F191+F196</f>
        <v>4461018.45</v>
      </c>
    </row>
    <row r="191" spans="1:8" ht="36.700000000000003" outlineLevel="7" x14ac:dyDescent="0.25">
      <c r="A191" s="423" t="s">
        <v>132</v>
      </c>
      <c r="B191" s="615" t="s">
        <v>455</v>
      </c>
      <c r="C191" s="615" t="s">
        <v>283</v>
      </c>
      <c r="D191" s="615" t="s">
        <v>127</v>
      </c>
      <c r="E191" s="615" t="s">
        <v>6</v>
      </c>
      <c r="F191" s="611">
        <f>F193</f>
        <v>3387.08</v>
      </c>
    </row>
    <row r="192" spans="1:8" ht="20.25" customHeight="1" outlineLevel="7" x14ac:dyDescent="0.25">
      <c r="A192" s="423" t="s">
        <v>269</v>
      </c>
      <c r="B192" s="615" t="s">
        <v>455</v>
      </c>
      <c r="C192" s="615" t="s">
        <v>283</v>
      </c>
      <c r="D192" s="615" t="s">
        <v>268</v>
      </c>
      <c r="E192" s="615" t="s">
        <v>6</v>
      </c>
      <c r="F192" s="611">
        <f>F193</f>
        <v>3387.08</v>
      </c>
    </row>
    <row r="193" spans="1:8" ht="62.5" customHeight="1" outlineLevel="7" x14ac:dyDescent="0.25">
      <c r="A193" s="31" t="s">
        <v>940</v>
      </c>
      <c r="B193" s="615" t="s">
        <v>455</v>
      </c>
      <c r="C193" s="615" t="s">
        <v>283</v>
      </c>
      <c r="D193" s="615" t="s">
        <v>364</v>
      </c>
      <c r="E193" s="615" t="s">
        <v>6</v>
      </c>
      <c r="F193" s="611">
        <f>F194</f>
        <v>3387.08</v>
      </c>
    </row>
    <row r="194" spans="1:8" ht="36.700000000000003" outlineLevel="7" x14ac:dyDescent="0.25">
      <c r="A194" s="423" t="s">
        <v>15</v>
      </c>
      <c r="B194" s="615" t="s">
        <v>455</v>
      </c>
      <c r="C194" s="615" t="s">
        <v>283</v>
      </c>
      <c r="D194" s="615" t="s">
        <v>364</v>
      </c>
      <c r="E194" s="615" t="s">
        <v>16</v>
      </c>
      <c r="F194" s="611">
        <f>F195</f>
        <v>3387.08</v>
      </c>
    </row>
    <row r="195" spans="1:8" s="76" customFormat="1" ht="36.700000000000003" outlineLevel="7" x14ac:dyDescent="0.25">
      <c r="A195" s="423" t="s">
        <v>17</v>
      </c>
      <c r="B195" s="615" t="s">
        <v>455</v>
      </c>
      <c r="C195" s="615" t="s">
        <v>283</v>
      </c>
      <c r="D195" s="615" t="s">
        <v>364</v>
      </c>
      <c r="E195" s="615" t="s">
        <v>18</v>
      </c>
      <c r="F195" s="343">
        <f>'потребность 2024 проект весь'!M191</f>
        <v>3387.08</v>
      </c>
      <c r="G195" s="75"/>
      <c r="H195" s="75"/>
    </row>
    <row r="196" spans="1:8" s="76" customFormat="1" ht="55.05" outlineLevel="7" x14ac:dyDescent="0.25">
      <c r="A196" s="45" t="s">
        <v>716</v>
      </c>
      <c r="B196" s="615" t="s">
        <v>455</v>
      </c>
      <c r="C196" s="615" t="s">
        <v>283</v>
      </c>
      <c r="D196" s="615" t="s">
        <v>308</v>
      </c>
      <c r="E196" s="615" t="s">
        <v>6</v>
      </c>
      <c r="F196" s="343">
        <f>F197</f>
        <v>4457631.37</v>
      </c>
      <c r="G196" s="75"/>
      <c r="H196" s="75"/>
    </row>
    <row r="197" spans="1:8" s="76" customFormat="1" ht="38.9" customHeight="1" outlineLevel="7" x14ac:dyDescent="0.25">
      <c r="A197" s="423" t="s">
        <v>711</v>
      </c>
      <c r="B197" s="615" t="s">
        <v>455</v>
      </c>
      <c r="C197" s="615" t="s">
        <v>283</v>
      </c>
      <c r="D197" s="615" t="s">
        <v>712</v>
      </c>
      <c r="E197" s="615" t="s">
        <v>6</v>
      </c>
      <c r="F197" s="343">
        <f>F204+F198+F201</f>
        <v>4457631.37</v>
      </c>
      <c r="G197" s="75"/>
      <c r="H197" s="75"/>
    </row>
    <row r="198" spans="1:8" s="76" customFormat="1" ht="41.45" customHeight="1" outlineLevel="7" x14ac:dyDescent="0.25">
      <c r="A198" s="315" t="s">
        <v>1122</v>
      </c>
      <c r="B198" s="618" t="s">
        <v>455</v>
      </c>
      <c r="C198" s="618" t="s">
        <v>283</v>
      </c>
      <c r="D198" s="637">
        <v>1696192410</v>
      </c>
      <c r="E198" s="618" t="s">
        <v>6</v>
      </c>
      <c r="F198" s="343">
        <f>F199</f>
        <v>3027055.06</v>
      </c>
      <c r="G198" s="75"/>
      <c r="H198" s="75"/>
    </row>
    <row r="199" spans="1:8" s="76" customFormat="1" ht="38.9" customHeight="1" outlineLevel="7" x14ac:dyDescent="0.25">
      <c r="A199" s="189" t="s">
        <v>15</v>
      </c>
      <c r="B199" s="618" t="s">
        <v>455</v>
      </c>
      <c r="C199" s="618" t="s">
        <v>283</v>
      </c>
      <c r="D199" s="637">
        <v>1696192410</v>
      </c>
      <c r="E199" s="618" t="s">
        <v>16</v>
      </c>
      <c r="F199" s="343">
        <f>F200</f>
        <v>3027055.06</v>
      </c>
      <c r="G199" s="75"/>
      <c r="H199" s="75"/>
    </row>
    <row r="200" spans="1:8" s="76" customFormat="1" ht="38.9" customHeight="1" outlineLevel="7" x14ac:dyDescent="0.25">
      <c r="A200" s="189" t="s">
        <v>17</v>
      </c>
      <c r="B200" s="618" t="s">
        <v>455</v>
      </c>
      <c r="C200" s="618" t="s">
        <v>283</v>
      </c>
      <c r="D200" s="637">
        <v>1696192410</v>
      </c>
      <c r="E200" s="618" t="s">
        <v>18</v>
      </c>
      <c r="F200" s="343">
        <f>'потребность 2024 проект весь'!M196</f>
        <v>3027055.06</v>
      </c>
      <c r="G200" s="75"/>
      <c r="H200" s="75"/>
    </row>
    <row r="201" spans="1:8" s="76" customFormat="1" ht="53.7" customHeight="1" outlineLevel="7" x14ac:dyDescent="0.25">
      <c r="A201" s="235" t="s">
        <v>1123</v>
      </c>
      <c r="B201" s="618" t="s">
        <v>455</v>
      </c>
      <c r="C201" s="618" t="s">
        <v>283</v>
      </c>
      <c r="D201" s="637" t="s">
        <v>1124</v>
      </c>
      <c r="E201" s="618" t="s">
        <v>6</v>
      </c>
      <c r="F201" s="343">
        <f>F202</f>
        <v>30576.31</v>
      </c>
      <c r="G201" s="75"/>
      <c r="H201" s="75"/>
    </row>
    <row r="202" spans="1:8" s="76" customFormat="1" ht="38.9" customHeight="1" outlineLevel="7" x14ac:dyDescent="0.25">
      <c r="A202" s="189" t="s">
        <v>15</v>
      </c>
      <c r="B202" s="618" t="s">
        <v>455</v>
      </c>
      <c r="C202" s="618" t="s">
        <v>283</v>
      </c>
      <c r="D202" s="637" t="s">
        <v>1124</v>
      </c>
      <c r="E202" s="618" t="s">
        <v>16</v>
      </c>
      <c r="F202" s="343">
        <f>F203</f>
        <v>30576.31</v>
      </c>
      <c r="G202" s="75"/>
      <c r="H202" s="75"/>
    </row>
    <row r="203" spans="1:8" s="76" customFormat="1" ht="38.9" customHeight="1" outlineLevel="7" x14ac:dyDescent="0.25">
      <c r="A203" s="189" t="s">
        <v>17</v>
      </c>
      <c r="B203" s="618" t="s">
        <v>455</v>
      </c>
      <c r="C203" s="618" t="s">
        <v>283</v>
      </c>
      <c r="D203" s="637" t="s">
        <v>1124</v>
      </c>
      <c r="E203" s="618" t="s">
        <v>18</v>
      </c>
      <c r="F203" s="343">
        <f>'потребность 2024 проект весь'!M199</f>
        <v>30576.31</v>
      </c>
      <c r="G203" s="75"/>
      <c r="H203" s="75"/>
    </row>
    <row r="204" spans="1:8" s="76" customFormat="1" ht="40.1" customHeight="1" outlineLevel="7" x14ac:dyDescent="0.25">
      <c r="A204" s="423" t="s">
        <v>1085</v>
      </c>
      <c r="B204" s="615" t="s">
        <v>455</v>
      </c>
      <c r="C204" s="615" t="s">
        <v>283</v>
      </c>
      <c r="D204" s="615" t="s">
        <v>1086</v>
      </c>
      <c r="E204" s="615" t="s">
        <v>6</v>
      </c>
      <c r="F204" s="343">
        <f>F205</f>
        <v>1400000</v>
      </c>
      <c r="G204" s="75"/>
      <c r="H204" s="75"/>
    </row>
    <row r="205" spans="1:8" s="76" customFormat="1" ht="42.3" customHeight="1" outlineLevel="7" x14ac:dyDescent="0.25">
      <c r="A205" s="423" t="s">
        <v>15</v>
      </c>
      <c r="B205" s="615" t="s">
        <v>455</v>
      </c>
      <c r="C205" s="615" t="s">
        <v>283</v>
      </c>
      <c r="D205" s="615" t="s">
        <v>1086</v>
      </c>
      <c r="E205" s="615" t="s">
        <v>16</v>
      </c>
      <c r="F205" s="343">
        <f>F206</f>
        <v>1400000</v>
      </c>
      <c r="G205" s="75"/>
      <c r="H205" s="75"/>
    </row>
    <row r="206" spans="1:8" s="76" customFormat="1" ht="43.5" customHeight="1" outlineLevel="7" x14ac:dyDescent="0.25">
      <c r="A206" s="423" t="s">
        <v>17</v>
      </c>
      <c r="B206" s="615" t="s">
        <v>455</v>
      </c>
      <c r="C206" s="615" t="s">
        <v>283</v>
      </c>
      <c r="D206" s="615" t="s">
        <v>1086</v>
      </c>
      <c r="E206" s="615" t="s">
        <v>18</v>
      </c>
      <c r="F206" s="343">
        <f>'потребность 2024 проект весь'!M202</f>
        <v>1400000</v>
      </c>
      <c r="G206" s="75"/>
      <c r="H206" s="75"/>
    </row>
    <row r="207" spans="1:8" ht="27.7" customHeight="1" outlineLevel="7" x14ac:dyDescent="0.25">
      <c r="A207" s="423" t="s">
        <v>49</v>
      </c>
      <c r="B207" s="615" t="s">
        <v>455</v>
      </c>
      <c r="C207" s="615" t="s">
        <v>50</v>
      </c>
      <c r="D207" s="615" t="s">
        <v>126</v>
      </c>
      <c r="E207" s="615" t="s">
        <v>6</v>
      </c>
      <c r="F207" s="611">
        <f>F208</f>
        <v>15908000</v>
      </c>
    </row>
    <row r="208" spans="1:8" ht="55.05" outlineLevel="7" x14ac:dyDescent="0.25">
      <c r="A208" s="45" t="s">
        <v>1155</v>
      </c>
      <c r="B208" s="616" t="s">
        <v>455</v>
      </c>
      <c r="C208" s="616" t="s">
        <v>50</v>
      </c>
      <c r="D208" s="616" t="s">
        <v>322</v>
      </c>
      <c r="E208" s="616" t="s">
        <v>6</v>
      </c>
      <c r="F208" s="610">
        <f>F209</f>
        <v>15908000</v>
      </c>
    </row>
    <row r="209" spans="1:8" ht="53.7" customHeight="1" outlineLevel="7" x14ac:dyDescent="0.25">
      <c r="A209" s="423" t="s">
        <v>323</v>
      </c>
      <c r="B209" s="615" t="s">
        <v>455</v>
      </c>
      <c r="C209" s="615" t="s">
        <v>50</v>
      </c>
      <c r="D209" s="615" t="s">
        <v>324</v>
      </c>
      <c r="E209" s="615" t="s">
        <v>6</v>
      </c>
      <c r="F209" s="611">
        <f>F210+F216+F213</f>
        <v>15908000</v>
      </c>
    </row>
    <row r="210" spans="1:8" ht="55.05" outlineLevel="7" x14ac:dyDescent="0.25">
      <c r="A210" s="423" t="s">
        <v>717</v>
      </c>
      <c r="B210" s="615" t="s">
        <v>455</v>
      </c>
      <c r="C210" s="615" t="s">
        <v>50</v>
      </c>
      <c r="D210" s="615" t="s">
        <v>326</v>
      </c>
      <c r="E210" s="615" t="s">
        <v>6</v>
      </c>
      <c r="F210" s="611">
        <f>F211</f>
        <v>15908000</v>
      </c>
    </row>
    <row r="211" spans="1:8" s="76" customFormat="1" ht="36.700000000000003" outlineLevel="7" x14ac:dyDescent="0.25">
      <c r="A211" s="423" t="s">
        <v>15</v>
      </c>
      <c r="B211" s="615" t="s">
        <v>455</v>
      </c>
      <c r="C211" s="615" t="s">
        <v>50</v>
      </c>
      <c r="D211" s="615" t="s">
        <v>326</v>
      </c>
      <c r="E211" s="615" t="s">
        <v>16</v>
      </c>
      <c r="F211" s="611">
        <f>F212</f>
        <v>15908000</v>
      </c>
      <c r="G211" s="75"/>
      <c r="H211" s="75"/>
    </row>
    <row r="212" spans="1:8" ht="44.5" customHeight="1" outlineLevel="7" x14ac:dyDescent="0.25">
      <c r="A212" s="423" t="s">
        <v>17</v>
      </c>
      <c r="B212" s="615" t="s">
        <v>455</v>
      </c>
      <c r="C212" s="615" t="s">
        <v>50</v>
      </c>
      <c r="D212" s="615" t="s">
        <v>326</v>
      </c>
      <c r="E212" s="615" t="s">
        <v>18</v>
      </c>
      <c r="F212" s="611">
        <v>15908000</v>
      </c>
    </row>
    <row r="213" spans="1:8" ht="59.8" hidden="1" customHeight="1" outlineLevel="7" x14ac:dyDescent="0.25">
      <c r="A213" s="44" t="s">
        <v>954</v>
      </c>
      <c r="B213" s="615" t="s">
        <v>455</v>
      </c>
      <c r="C213" s="615" t="s">
        <v>50</v>
      </c>
      <c r="D213" s="615" t="s">
        <v>530</v>
      </c>
      <c r="E213" s="615" t="s">
        <v>6</v>
      </c>
      <c r="F213" s="402">
        <f>F214</f>
        <v>0</v>
      </c>
    </row>
    <row r="214" spans="1:8" ht="36.700000000000003" hidden="1" outlineLevel="7" x14ac:dyDescent="0.25">
      <c r="A214" s="423" t="s">
        <v>15</v>
      </c>
      <c r="B214" s="615" t="s">
        <v>455</v>
      </c>
      <c r="C214" s="615" t="s">
        <v>50</v>
      </c>
      <c r="D214" s="615" t="s">
        <v>530</v>
      </c>
      <c r="E214" s="615" t="s">
        <v>16</v>
      </c>
      <c r="F214" s="402">
        <f>F215</f>
        <v>0</v>
      </c>
    </row>
    <row r="215" spans="1:8" ht="21.75" hidden="1" customHeight="1" outlineLevel="7" x14ac:dyDescent="0.25">
      <c r="A215" s="423" t="s">
        <v>17</v>
      </c>
      <c r="B215" s="615" t="s">
        <v>455</v>
      </c>
      <c r="C215" s="615" t="s">
        <v>50</v>
      </c>
      <c r="D215" s="615" t="s">
        <v>530</v>
      </c>
      <c r="E215" s="615" t="s">
        <v>18</v>
      </c>
      <c r="F215" s="402"/>
    </row>
    <row r="216" spans="1:8" ht="43.5" hidden="1" customHeight="1" outlineLevel="7" x14ac:dyDescent="0.25">
      <c r="A216" s="423" t="s">
        <v>272</v>
      </c>
      <c r="B216" s="615" t="s">
        <v>455</v>
      </c>
      <c r="C216" s="615" t="s">
        <v>50</v>
      </c>
      <c r="D216" s="615" t="s">
        <v>383</v>
      </c>
      <c r="E216" s="615" t="s">
        <v>6</v>
      </c>
      <c r="F216" s="345">
        <f>F217</f>
        <v>0</v>
      </c>
    </row>
    <row r="217" spans="1:8" ht="36.700000000000003" hidden="1" outlineLevel="7" x14ac:dyDescent="0.25">
      <c r="A217" s="423" t="s">
        <v>15</v>
      </c>
      <c r="B217" s="615" t="s">
        <v>455</v>
      </c>
      <c r="C217" s="615" t="s">
        <v>50</v>
      </c>
      <c r="D217" s="615" t="s">
        <v>383</v>
      </c>
      <c r="E217" s="615" t="s">
        <v>16</v>
      </c>
      <c r="F217" s="345">
        <f>F218</f>
        <v>0</v>
      </c>
    </row>
    <row r="218" spans="1:8" ht="36.700000000000003" hidden="1" outlineLevel="7" x14ac:dyDescent="0.25">
      <c r="A218" s="423" t="s">
        <v>17</v>
      </c>
      <c r="B218" s="615" t="s">
        <v>455</v>
      </c>
      <c r="C218" s="615" t="s">
        <v>50</v>
      </c>
      <c r="D218" s="615" t="s">
        <v>383</v>
      </c>
      <c r="E218" s="615" t="s">
        <v>18</v>
      </c>
      <c r="F218" s="402"/>
    </row>
    <row r="219" spans="1:8" ht="31.95" customHeight="1" outlineLevel="7" x14ac:dyDescent="0.25">
      <c r="A219" s="423" t="s">
        <v>52</v>
      </c>
      <c r="B219" s="615" t="s">
        <v>455</v>
      </c>
      <c r="C219" s="615" t="s">
        <v>53</v>
      </c>
      <c r="D219" s="615" t="s">
        <v>126</v>
      </c>
      <c r="E219" s="615" t="s">
        <v>6</v>
      </c>
      <c r="F219" s="611">
        <f>F220+F225</f>
        <v>1225000</v>
      </c>
    </row>
    <row r="220" spans="1:8" ht="59.8" customHeight="1" outlineLevel="7" x14ac:dyDescent="0.25">
      <c r="A220" s="45" t="s">
        <v>1156</v>
      </c>
      <c r="B220" s="616" t="s">
        <v>455</v>
      </c>
      <c r="C220" s="616" t="s">
        <v>53</v>
      </c>
      <c r="D220" s="616" t="s">
        <v>385</v>
      </c>
      <c r="E220" s="616" t="s">
        <v>6</v>
      </c>
      <c r="F220" s="611">
        <f>F221</f>
        <v>100000</v>
      </c>
    </row>
    <row r="221" spans="1:8" ht="36.700000000000003" outlineLevel="7" x14ac:dyDescent="0.25">
      <c r="A221" s="423" t="s">
        <v>692</v>
      </c>
      <c r="B221" s="615" t="s">
        <v>455</v>
      </c>
      <c r="C221" s="615" t="s">
        <v>53</v>
      </c>
      <c r="D221" s="615" t="s">
        <v>387</v>
      </c>
      <c r="E221" s="615" t="s">
        <v>6</v>
      </c>
      <c r="F221" s="611">
        <f>F222</f>
        <v>100000</v>
      </c>
    </row>
    <row r="222" spans="1:8" ht="77.45" customHeight="1" outlineLevel="7" x14ac:dyDescent="0.25">
      <c r="A222" s="423" t="s">
        <v>693</v>
      </c>
      <c r="B222" s="615" t="s">
        <v>455</v>
      </c>
      <c r="C222" s="615" t="s">
        <v>53</v>
      </c>
      <c r="D222" s="615" t="s">
        <v>694</v>
      </c>
      <c r="E222" s="615" t="s">
        <v>6</v>
      </c>
      <c r="F222" s="611">
        <f>F223</f>
        <v>100000</v>
      </c>
    </row>
    <row r="223" spans="1:8" outlineLevel="2" x14ac:dyDescent="0.25">
      <c r="A223" s="423" t="s">
        <v>19</v>
      </c>
      <c r="B223" s="615" t="s">
        <v>455</v>
      </c>
      <c r="C223" s="615" t="s">
        <v>53</v>
      </c>
      <c r="D223" s="615" t="s">
        <v>694</v>
      </c>
      <c r="E223" s="615" t="s">
        <v>20</v>
      </c>
      <c r="F223" s="611">
        <f>F224</f>
        <v>100000</v>
      </c>
    </row>
    <row r="224" spans="1:8" ht="62.15" customHeight="1" outlineLevel="2" x14ac:dyDescent="0.25">
      <c r="A224" s="423" t="s">
        <v>963</v>
      </c>
      <c r="B224" s="615" t="s">
        <v>455</v>
      </c>
      <c r="C224" s="615" t="s">
        <v>53</v>
      </c>
      <c r="D224" s="615" t="s">
        <v>694</v>
      </c>
      <c r="E224" s="615" t="s">
        <v>48</v>
      </c>
      <c r="F224" s="611">
        <f>'потребность 2024 проект весь'!M220</f>
        <v>100000</v>
      </c>
    </row>
    <row r="225" spans="1:8" ht="57.75" customHeight="1" outlineLevel="2" x14ac:dyDescent="0.25">
      <c r="A225" s="45" t="s">
        <v>1157</v>
      </c>
      <c r="B225" s="616" t="s">
        <v>455</v>
      </c>
      <c r="C225" s="616" t="s">
        <v>53</v>
      </c>
      <c r="D225" s="616" t="s">
        <v>327</v>
      </c>
      <c r="E225" s="616" t="s">
        <v>6</v>
      </c>
      <c r="F225" s="610">
        <f>F226+F230</f>
        <v>1125000</v>
      </c>
    </row>
    <row r="226" spans="1:8" ht="36.700000000000003" outlineLevel="2" x14ac:dyDescent="0.25">
      <c r="A226" s="423" t="s">
        <v>366</v>
      </c>
      <c r="B226" s="615" t="s">
        <v>455</v>
      </c>
      <c r="C226" s="615" t="s">
        <v>53</v>
      </c>
      <c r="D226" s="615" t="s">
        <v>328</v>
      </c>
      <c r="E226" s="615" t="s">
        <v>6</v>
      </c>
      <c r="F226" s="343">
        <f>F227</f>
        <v>270000</v>
      </c>
    </row>
    <row r="227" spans="1:8" outlineLevel="2" x14ac:dyDescent="0.25">
      <c r="A227" s="423" t="s">
        <v>329</v>
      </c>
      <c r="B227" s="615" t="s">
        <v>455</v>
      </c>
      <c r="C227" s="615" t="s">
        <v>53</v>
      </c>
      <c r="D227" s="615" t="s">
        <v>330</v>
      </c>
      <c r="E227" s="615" t="s">
        <v>6</v>
      </c>
      <c r="F227" s="343">
        <f>F228</f>
        <v>270000</v>
      </c>
    </row>
    <row r="228" spans="1:8" s="76" customFormat="1" ht="36.700000000000003" outlineLevel="3" x14ac:dyDescent="0.25">
      <c r="A228" s="423" t="s">
        <v>15</v>
      </c>
      <c r="B228" s="615" t="s">
        <v>455</v>
      </c>
      <c r="C228" s="615" t="s">
        <v>53</v>
      </c>
      <c r="D228" s="615" t="s">
        <v>330</v>
      </c>
      <c r="E228" s="615" t="s">
        <v>16</v>
      </c>
      <c r="F228" s="343">
        <f>F229</f>
        <v>270000</v>
      </c>
      <c r="G228" s="75"/>
      <c r="H228" s="75"/>
    </row>
    <row r="229" spans="1:8" ht="36.700000000000003" outlineLevel="3" x14ac:dyDescent="0.25">
      <c r="A229" s="423" t="s">
        <v>17</v>
      </c>
      <c r="B229" s="615" t="s">
        <v>455</v>
      </c>
      <c r="C229" s="615" t="s">
        <v>53</v>
      </c>
      <c r="D229" s="615" t="s">
        <v>330</v>
      </c>
      <c r="E229" s="615" t="s">
        <v>18</v>
      </c>
      <c r="F229" s="611">
        <f>'потребность 2024 проект весь'!M225</f>
        <v>270000</v>
      </c>
    </row>
    <row r="230" spans="1:8" ht="36.700000000000003" outlineLevel="3" x14ac:dyDescent="0.25">
      <c r="A230" s="423" t="s">
        <v>368</v>
      </c>
      <c r="B230" s="615" t="s">
        <v>455</v>
      </c>
      <c r="C230" s="615" t="s">
        <v>53</v>
      </c>
      <c r="D230" s="615" t="s">
        <v>367</v>
      </c>
      <c r="E230" s="615" t="s">
        <v>6</v>
      </c>
      <c r="F230" s="611">
        <f>F231</f>
        <v>855000</v>
      </c>
    </row>
    <row r="231" spans="1:8" outlineLevel="3" x14ac:dyDescent="0.25">
      <c r="A231" s="423" t="s">
        <v>331</v>
      </c>
      <c r="B231" s="615" t="s">
        <v>455</v>
      </c>
      <c r="C231" s="615" t="s">
        <v>53</v>
      </c>
      <c r="D231" s="615" t="s">
        <v>389</v>
      </c>
      <c r="E231" s="615" t="s">
        <v>6</v>
      </c>
      <c r="F231" s="611">
        <f>F232</f>
        <v>855000</v>
      </c>
    </row>
    <row r="232" spans="1:8" ht="18.7" customHeight="1" outlineLevel="3" x14ac:dyDescent="0.25">
      <c r="A232" s="423" t="s">
        <v>15</v>
      </c>
      <c r="B232" s="615" t="s">
        <v>455</v>
      </c>
      <c r="C232" s="615" t="s">
        <v>53</v>
      </c>
      <c r="D232" s="615" t="s">
        <v>389</v>
      </c>
      <c r="E232" s="615" t="s">
        <v>16</v>
      </c>
      <c r="F232" s="611">
        <f>F233</f>
        <v>855000</v>
      </c>
    </row>
    <row r="233" spans="1:8" ht="19.55" customHeight="1" outlineLevel="3" x14ac:dyDescent="0.25">
      <c r="A233" s="423" t="s">
        <v>17</v>
      </c>
      <c r="B233" s="615" t="s">
        <v>455</v>
      </c>
      <c r="C233" s="615" t="s">
        <v>53</v>
      </c>
      <c r="D233" s="615" t="s">
        <v>389</v>
      </c>
      <c r="E233" s="615" t="s">
        <v>18</v>
      </c>
      <c r="F233" s="611">
        <f>'потребность 2024 проект весь'!M229</f>
        <v>855000</v>
      </c>
    </row>
    <row r="234" spans="1:8" outlineLevel="5" x14ac:dyDescent="0.25">
      <c r="A234" s="45" t="s">
        <v>54</v>
      </c>
      <c r="B234" s="616" t="s">
        <v>455</v>
      </c>
      <c r="C234" s="616" t="s">
        <v>55</v>
      </c>
      <c r="D234" s="616" t="s">
        <v>126</v>
      </c>
      <c r="E234" s="616" t="s">
        <v>6</v>
      </c>
      <c r="F234" s="347">
        <f>F235+F241+F263+F318</f>
        <v>52055680.980000004</v>
      </c>
    </row>
    <row r="235" spans="1:8" outlineLevel="6" x14ac:dyDescent="0.25">
      <c r="A235" s="423" t="s">
        <v>56</v>
      </c>
      <c r="B235" s="615" t="s">
        <v>455</v>
      </c>
      <c r="C235" s="615" t="s">
        <v>57</v>
      </c>
      <c r="D235" s="615" t="s">
        <v>126</v>
      </c>
      <c r="E235" s="615" t="s">
        <v>6</v>
      </c>
      <c r="F235" s="402">
        <f>F236</f>
        <v>3037550</v>
      </c>
    </row>
    <row r="236" spans="1:8" ht="55.2" customHeight="1" outlineLevel="7" x14ac:dyDescent="0.25">
      <c r="A236" s="45" t="s">
        <v>1158</v>
      </c>
      <c r="B236" s="616" t="s">
        <v>455</v>
      </c>
      <c r="C236" s="616" t="s">
        <v>57</v>
      </c>
      <c r="D236" s="616" t="s">
        <v>319</v>
      </c>
      <c r="E236" s="616" t="s">
        <v>6</v>
      </c>
      <c r="F236" s="347">
        <f>F237</f>
        <v>3037550</v>
      </c>
    </row>
    <row r="237" spans="1:8" s="76" customFormat="1" ht="36.700000000000003" outlineLevel="1" x14ac:dyDescent="0.25">
      <c r="A237" s="423" t="s">
        <v>332</v>
      </c>
      <c r="B237" s="615" t="s">
        <v>455</v>
      </c>
      <c r="C237" s="615" t="s">
        <v>57</v>
      </c>
      <c r="D237" s="615" t="s">
        <v>320</v>
      </c>
      <c r="E237" s="615" t="s">
        <v>6</v>
      </c>
      <c r="F237" s="402">
        <f>F238</f>
        <v>3037550</v>
      </c>
      <c r="G237" s="75"/>
      <c r="H237" s="75"/>
    </row>
    <row r="238" spans="1:8" ht="26.5" customHeight="1" outlineLevel="1" x14ac:dyDescent="0.25">
      <c r="A238" s="423" t="s">
        <v>333</v>
      </c>
      <c r="B238" s="615" t="s">
        <v>455</v>
      </c>
      <c r="C238" s="615" t="s">
        <v>57</v>
      </c>
      <c r="D238" s="615" t="s">
        <v>334</v>
      </c>
      <c r="E238" s="615" t="s">
        <v>6</v>
      </c>
      <c r="F238" s="402">
        <f>F239</f>
        <v>3037550</v>
      </c>
    </row>
    <row r="239" spans="1:8" s="76" customFormat="1" ht="36.700000000000003" outlineLevel="1" x14ac:dyDescent="0.25">
      <c r="A239" s="423" t="s">
        <v>15</v>
      </c>
      <c r="B239" s="615" t="s">
        <v>455</v>
      </c>
      <c r="C239" s="615" t="s">
        <v>57</v>
      </c>
      <c r="D239" s="615" t="s">
        <v>334</v>
      </c>
      <c r="E239" s="615" t="s">
        <v>16</v>
      </c>
      <c r="F239" s="402">
        <f>F240</f>
        <v>3037550</v>
      </c>
      <c r="G239" s="75"/>
      <c r="H239" s="75"/>
    </row>
    <row r="240" spans="1:8" ht="36.700000000000003" customHeight="1" outlineLevel="1" x14ac:dyDescent="0.25">
      <c r="A240" s="423" t="s">
        <v>17</v>
      </c>
      <c r="B240" s="615" t="s">
        <v>455</v>
      </c>
      <c r="C240" s="615" t="s">
        <v>57</v>
      </c>
      <c r="D240" s="615" t="s">
        <v>334</v>
      </c>
      <c r="E240" s="615" t="s">
        <v>18</v>
      </c>
      <c r="F240" s="345">
        <f>'потребность 2024 проект весь'!M236</f>
        <v>3037550</v>
      </c>
    </row>
    <row r="241" spans="1:8" ht="18.7" customHeight="1" outlineLevel="7" x14ac:dyDescent="0.25">
      <c r="A241" s="423" t="s">
        <v>58</v>
      </c>
      <c r="B241" s="615" t="s">
        <v>455</v>
      </c>
      <c r="C241" s="615" t="s">
        <v>59</v>
      </c>
      <c r="D241" s="615" t="s">
        <v>126</v>
      </c>
      <c r="E241" s="615" t="s">
        <v>6</v>
      </c>
      <c r="F241" s="402">
        <f>F242</f>
        <v>3326016.67</v>
      </c>
    </row>
    <row r="242" spans="1:8" ht="55.05" outlineLevel="7" x14ac:dyDescent="0.25">
      <c r="A242" s="45" t="s">
        <v>1159</v>
      </c>
      <c r="B242" s="616" t="s">
        <v>455</v>
      </c>
      <c r="C242" s="616" t="s">
        <v>59</v>
      </c>
      <c r="D242" s="616" t="s">
        <v>134</v>
      </c>
      <c r="E242" s="616" t="s">
        <v>6</v>
      </c>
      <c r="F242" s="347">
        <f>F243</f>
        <v>3326016.67</v>
      </c>
    </row>
    <row r="243" spans="1:8" ht="55.05" outlineLevel="7" x14ac:dyDescent="0.25">
      <c r="A243" s="423" t="s">
        <v>1033</v>
      </c>
      <c r="B243" s="615" t="s">
        <v>455</v>
      </c>
      <c r="C243" s="615" t="s">
        <v>59</v>
      </c>
      <c r="D243" s="615" t="s">
        <v>335</v>
      </c>
      <c r="E243" s="615" t="s">
        <v>6</v>
      </c>
      <c r="F243" s="402">
        <f>F244+F251+F254+F260+F257</f>
        <v>3326016.67</v>
      </c>
    </row>
    <row r="244" spans="1:8" ht="73.400000000000006" outlineLevel="1" x14ac:dyDescent="0.25">
      <c r="A244" s="423" t="s">
        <v>60</v>
      </c>
      <c r="B244" s="615" t="s">
        <v>455</v>
      </c>
      <c r="C244" s="615" t="s">
        <v>59</v>
      </c>
      <c r="D244" s="615" t="s">
        <v>336</v>
      </c>
      <c r="E244" s="615" t="s">
        <v>6</v>
      </c>
      <c r="F244" s="402">
        <f>F245+F247+F249</f>
        <v>1000000</v>
      </c>
    </row>
    <row r="245" spans="1:8" s="76" customFormat="1" ht="36.700000000000003" outlineLevel="1" x14ac:dyDescent="0.25">
      <c r="A245" s="423" t="s">
        <v>15</v>
      </c>
      <c r="B245" s="615" t="s">
        <v>455</v>
      </c>
      <c r="C245" s="615" t="s">
        <v>59</v>
      </c>
      <c r="D245" s="615" t="s">
        <v>336</v>
      </c>
      <c r="E245" s="615" t="s">
        <v>16</v>
      </c>
      <c r="F245" s="402">
        <f>F246</f>
        <v>1000000</v>
      </c>
      <c r="G245" s="75"/>
      <c r="H245" s="75"/>
    </row>
    <row r="246" spans="1:8" ht="39.25" customHeight="1" outlineLevel="1" x14ac:dyDescent="0.25">
      <c r="A246" s="423" t="s">
        <v>17</v>
      </c>
      <c r="B246" s="615" t="s">
        <v>455</v>
      </c>
      <c r="C246" s="615" t="s">
        <v>59</v>
      </c>
      <c r="D246" s="615" t="s">
        <v>336</v>
      </c>
      <c r="E246" s="615" t="s">
        <v>18</v>
      </c>
      <c r="F246" s="345">
        <f>'потребность 2024 проект весь'!M242</f>
        <v>1000000</v>
      </c>
    </row>
    <row r="247" spans="1:8" ht="41.3" hidden="1" customHeight="1" outlineLevel="1" x14ac:dyDescent="0.25">
      <c r="A247" s="423" t="s">
        <v>258</v>
      </c>
      <c r="B247" s="615" t="s">
        <v>455</v>
      </c>
      <c r="C247" s="615" t="s">
        <v>59</v>
      </c>
      <c r="D247" s="615" t="s">
        <v>336</v>
      </c>
      <c r="E247" s="615" t="s">
        <v>259</v>
      </c>
      <c r="F247" s="345">
        <f>F248</f>
        <v>0</v>
      </c>
    </row>
    <row r="248" spans="1:8" ht="24.8" hidden="1" customHeight="1" outlineLevel="1" x14ac:dyDescent="0.25">
      <c r="A248" s="423" t="s">
        <v>260</v>
      </c>
      <c r="B248" s="615" t="s">
        <v>455</v>
      </c>
      <c r="C248" s="615" t="s">
        <v>59</v>
      </c>
      <c r="D248" s="615" t="s">
        <v>336</v>
      </c>
      <c r="E248" s="615" t="s">
        <v>261</v>
      </c>
      <c r="F248" s="345">
        <v>0</v>
      </c>
    </row>
    <row r="249" spans="1:8" ht="27.7" hidden="1" customHeight="1" outlineLevel="1" x14ac:dyDescent="0.25">
      <c r="A249" s="423" t="s">
        <v>19</v>
      </c>
      <c r="B249" s="615" t="s">
        <v>455</v>
      </c>
      <c r="C249" s="615" t="s">
        <v>59</v>
      </c>
      <c r="D249" s="615" t="s">
        <v>336</v>
      </c>
      <c r="E249" s="615" t="s">
        <v>20</v>
      </c>
      <c r="F249" s="345">
        <f>F250</f>
        <v>0</v>
      </c>
    </row>
    <row r="250" spans="1:8" ht="57.75" hidden="1" customHeight="1" outlineLevel="1" x14ac:dyDescent="0.25">
      <c r="A250" s="423" t="s">
        <v>963</v>
      </c>
      <c r="B250" s="615" t="s">
        <v>455</v>
      </c>
      <c r="C250" s="615" t="s">
        <v>59</v>
      </c>
      <c r="D250" s="615" t="s">
        <v>336</v>
      </c>
      <c r="E250" s="615" t="s">
        <v>48</v>
      </c>
      <c r="F250" s="345">
        <v>0</v>
      </c>
    </row>
    <row r="251" spans="1:8" ht="21.25" customHeight="1" outlineLevel="1" x14ac:dyDescent="0.25">
      <c r="A251" s="423" t="s">
        <v>246</v>
      </c>
      <c r="B251" s="615" t="s">
        <v>455</v>
      </c>
      <c r="C251" s="615" t="s">
        <v>59</v>
      </c>
      <c r="D251" s="615" t="s">
        <v>337</v>
      </c>
      <c r="E251" s="615" t="s">
        <v>6</v>
      </c>
      <c r="F251" s="345">
        <f>F252</f>
        <v>2265410.61</v>
      </c>
    </row>
    <row r="252" spans="1:8" ht="21.25" customHeight="1" outlineLevel="1" x14ac:dyDescent="0.25">
      <c r="A252" s="423" t="s">
        <v>19</v>
      </c>
      <c r="B252" s="615" t="s">
        <v>455</v>
      </c>
      <c r="C252" s="615" t="s">
        <v>59</v>
      </c>
      <c r="D252" s="615" t="s">
        <v>337</v>
      </c>
      <c r="E252" s="615" t="s">
        <v>20</v>
      </c>
      <c r="F252" s="345">
        <f>F253</f>
        <v>2265410.61</v>
      </c>
    </row>
    <row r="253" spans="1:8" ht="55.55" customHeight="1" outlineLevel="1" x14ac:dyDescent="0.25">
      <c r="A253" s="423" t="s">
        <v>963</v>
      </c>
      <c r="B253" s="615" t="s">
        <v>455</v>
      </c>
      <c r="C253" s="615" t="s">
        <v>59</v>
      </c>
      <c r="D253" s="615" t="s">
        <v>337</v>
      </c>
      <c r="E253" s="615" t="s">
        <v>48</v>
      </c>
      <c r="F253" s="402">
        <f>'потребность 2024 проект весь'!M249</f>
        <v>2265410.61</v>
      </c>
    </row>
    <row r="254" spans="1:8" ht="36.700000000000003" hidden="1" customHeight="1" outlineLevel="1" x14ac:dyDescent="0.25">
      <c r="A254" s="423" t="s">
        <v>256</v>
      </c>
      <c r="B254" s="615" t="s">
        <v>455</v>
      </c>
      <c r="C254" s="615" t="s">
        <v>59</v>
      </c>
      <c r="D254" s="615" t="s">
        <v>338</v>
      </c>
      <c r="E254" s="615" t="s">
        <v>6</v>
      </c>
      <c r="F254" s="345">
        <f>F255</f>
        <v>0</v>
      </c>
    </row>
    <row r="255" spans="1:8" hidden="1" outlineLevel="1" x14ac:dyDescent="0.25">
      <c r="A255" s="423" t="s">
        <v>19</v>
      </c>
      <c r="B255" s="615" t="s">
        <v>455</v>
      </c>
      <c r="C255" s="615" t="s">
        <v>59</v>
      </c>
      <c r="D255" s="615" t="s">
        <v>338</v>
      </c>
      <c r="E255" s="615" t="s">
        <v>20</v>
      </c>
      <c r="F255" s="345">
        <f>F256</f>
        <v>0</v>
      </c>
    </row>
    <row r="256" spans="1:8" ht="60.45" hidden="1" customHeight="1" outlineLevel="1" x14ac:dyDescent="0.25">
      <c r="A256" s="423" t="s">
        <v>963</v>
      </c>
      <c r="B256" s="615" t="s">
        <v>455</v>
      </c>
      <c r="C256" s="615" t="s">
        <v>59</v>
      </c>
      <c r="D256" s="615" t="s">
        <v>338</v>
      </c>
      <c r="E256" s="615" t="s">
        <v>48</v>
      </c>
      <c r="F256" s="402">
        <v>0</v>
      </c>
    </row>
    <row r="257" spans="1:8" ht="42.8" hidden="1" customHeight="1" outlineLevel="1" x14ac:dyDescent="0.25">
      <c r="A257" s="423" t="s">
        <v>956</v>
      </c>
      <c r="B257" s="615" t="s">
        <v>455</v>
      </c>
      <c r="C257" s="615" t="s">
        <v>59</v>
      </c>
      <c r="D257" s="615" t="s">
        <v>639</v>
      </c>
      <c r="E257" s="615" t="s">
        <v>6</v>
      </c>
      <c r="F257" s="402">
        <f>F258</f>
        <v>0</v>
      </c>
    </row>
    <row r="258" spans="1:8" ht="37.549999999999997" hidden="1" customHeight="1" outlineLevel="1" x14ac:dyDescent="0.25">
      <c r="A258" s="423" t="s">
        <v>15</v>
      </c>
      <c r="B258" s="615" t="s">
        <v>455</v>
      </c>
      <c r="C258" s="615" t="s">
        <v>59</v>
      </c>
      <c r="D258" s="615" t="s">
        <v>639</v>
      </c>
      <c r="E258" s="615" t="s">
        <v>16</v>
      </c>
      <c r="F258" s="402">
        <f>F259</f>
        <v>0</v>
      </c>
    </row>
    <row r="259" spans="1:8" ht="37.549999999999997" hidden="1" customHeight="1" outlineLevel="1" x14ac:dyDescent="0.25">
      <c r="A259" s="423" t="s">
        <v>17</v>
      </c>
      <c r="B259" s="615" t="s">
        <v>455</v>
      </c>
      <c r="C259" s="615" t="s">
        <v>59</v>
      </c>
      <c r="D259" s="615" t="s">
        <v>639</v>
      </c>
      <c r="E259" s="615" t="s">
        <v>18</v>
      </c>
      <c r="F259" s="402">
        <v>0</v>
      </c>
    </row>
    <row r="260" spans="1:8" ht="42.45" customHeight="1" outlineLevel="1" x14ac:dyDescent="0.25">
      <c r="A260" s="423" t="s">
        <v>616</v>
      </c>
      <c r="B260" s="615" t="s">
        <v>455</v>
      </c>
      <c r="C260" s="615" t="s">
        <v>59</v>
      </c>
      <c r="D260" s="615" t="s">
        <v>615</v>
      </c>
      <c r="E260" s="615" t="s">
        <v>6</v>
      </c>
      <c r="F260" s="402">
        <f>F261</f>
        <v>60606.06</v>
      </c>
    </row>
    <row r="261" spans="1:8" ht="23.95" customHeight="1" outlineLevel="1" x14ac:dyDescent="0.25">
      <c r="A261" s="423" t="s">
        <v>15</v>
      </c>
      <c r="B261" s="615" t="s">
        <v>455</v>
      </c>
      <c r="C261" s="615" t="s">
        <v>59</v>
      </c>
      <c r="D261" s="615" t="s">
        <v>615</v>
      </c>
      <c r="E261" s="615" t="s">
        <v>16</v>
      </c>
      <c r="F261" s="402">
        <f>F262</f>
        <v>60606.06</v>
      </c>
    </row>
    <row r="262" spans="1:8" ht="20.399999999999999" customHeight="1" outlineLevel="1" x14ac:dyDescent="0.25">
      <c r="A262" s="423" t="s">
        <v>17</v>
      </c>
      <c r="B262" s="615" t="s">
        <v>455</v>
      </c>
      <c r="C262" s="615" t="s">
        <v>59</v>
      </c>
      <c r="D262" s="615" t="s">
        <v>615</v>
      </c>
      <c r="E262" s="615" t="s">
        <v>18</v>
      </c>
      <c r="F262" s="402">
        <f>'потребность 2024 проект весь'!M267</f>
        <v>60606.06</v>
      </c>
    </row>
    <row r="263" spans="1:8" ht="20.399999999999999" customHeight="1" outlineLevel="1" x14ac:dyDescent="0.25">
      <c r="A263" s="423" t="s">
        <v>61</v>
      </c>
      <c r="B263" s="615" t="s">
        <v>455</v>
      </c>
      <c r="C263" s="615" t="s">
        <v>62</v>
      </c>
      <c r="D263" s="615" t="s">
        <v>126</v>
      </c>
      <c r="E263" s="615" t="s">
        <v>6</v>
      </c>
      <c r="F263" s="402">
        <f>F264+F278+F298</f>
        <v>38233193.160000004</v>
      </c>
    </row>
    <row r="264" spans="1:8" ht="57.25" customHeight="1" outlineLevel="1" x14ac:dyDescent="0.25">
      <c r="A264" s="45" t="s">
        <v>1159</v>
      </c>
      <c r="B264" s="615" t="s">
        <v>455</v>
      </c>
      <c r="C264" s="616" t="s">
        <v>62</v>
      </c>
      <c r="D264" s="616" t="s">
        <v>134</v>
      </c>
      <c r="E264" s="616" t="s">
        <v>6</v>
      </c>
      <c r="F264" s="402">
        <f>F265</f>
        <v>1409168.98</v>
      </c>
    </row>
    <row r="265" spans="1:8" ht="23.3" customHeight="1" outlineLevel="1" x14ac:dyDescent="0.25">
      <c r="A265" s="423" t="s">
        <v>339</v>
      </c>
      <c r="B265" s="615" t="s">
        <v>455</v>
      </c>
      <c r="C265" s="615" t="s">
        <v>62</v>
      </c>
      <c r="D265" s="615" t="s">
        <v>229</v>
      </c>
      <c r="E265" s="615" t="s">
        <v>6</v>
      </c>
      <c r="F265" s="402">
        <f>F266+F269+F272+F275</f>
        <v>1409168.98</v>
      </c>
    </row>
    <row r="266" spans="1:8" ht="27.7" hidden="1" customHeight="1" outlineLevel="1" x14ac:dyDescent="0.25">
      <c r="A266" s="423" t="s">
        <v>343</v>
      </c>
      <c r="B266" s="615" t="s">
        <v>455</v>
      </c>
      <c r="C266" s="615" t="s">
        <v>62</v>
      </c>
      <c r="D266" s="615" t="s">
        <v>418</v>
      </c>
      <c r="E266" s="615" t="s">
        <v>6</v>
      </c>
      <c r="F266" s="402">
        <f>F267</f>
        <v>0</v>
      </c>
    </row>
    <row r="267" spans="1:8" s="76" customFormat="1" ht="36.700000000000003" hidden="1" outlineLevel="1" x14ac:dyDescent="0.25">
      <c r="A267" s="423" t="s">
        <v>15</v>
      </c>
      <c r="B267" s="615" t="s">
        <v>455</v>
      </c>
      <c r="C267" s="615" t="s">
        <v>62</v>
      </c>
      <c r="D267" s="615" t="s">
        <v>418</v>
      </c>
      <c r="E267" s="615" t="s">
        <v>16</v>
      </c>
      <c r="F267" s="402">
        <f>F268</f>
        <v>0</v>
      </c>
      <c r="G267" s="75"/>
      <c r="H267" s="75"/>
    </row>
    <row r="268" spans="1:8" ht="36.700000000000003" hidden="1" outlineLevel="1" x14ac:dyDescent="0.25">
      <c r="A268" s="423" t="s">
        <v>17</v>
      </c>
      <c r="B268" s="615" t="s">
        <v>455</v>
      </c>
      <c r="C268" s="615" t="s">
        <v>62</v>
      </c>
      <c r="D268" s="615" t="s">
        <v>418</v>
      </c>
      <c r="E268" s="615" t="s">
        <v>18</v>
      </c>
      <c r="F268" s="402">
        <v>0</v>
      </c>
    </row>
    <row r="269" spans="1:8" ht="36.700000000000003" outlineLevel="1" x14ac:dyDescent="0.25">
      <c r="A269" s="423" t="s">
        <v>63</v>
      </c>
      <c r="B269" s="615" t="s">
        <v>455</v>
      </c>
      <c r="C269" s="615" t="s">
        <v>62</v>
      </c>
      <c r="D269" s="615" t="s">
        <v>340</v>
      </c>
      <c r="E269" s="615" t="s">
        <v>6</v>
      </c>
      <c r="F269" s="402">
        <f>F270</f>
        <v>500000</v>
      </c>
    </row>
    <row r="270" spans="1:8" ht="36.700000000000003" outlineLevel="1" x14ac:dyDescent="0.25">
      <c r="A270" s="423" t="s">
        <v>15</v>
      </c>
      <c r="B270" s="615" t="s">
        <v>455</v>
      </c>
      <c r="C270" s="615" t="s">
        <v>62</v>
      </c>
      <c r="D270" s="615" t="s">
        <v>340</v>
      </c>
      <c r="E270" s="615" t="s">
        <v>16</v>
      </c>
      <c r="F270" s="402">
        <f>F271</f>
        <v>500000</v>
      </c>
    </row>
    <row r="271" spans="1:8" ht="22.75" customHeight="1" outlineLevel="1" x14ac:dyDescent="0.25">
      <c r="A271" s="423" t="s">
        <v>17</v>
      </c>
      <c r="B271" s="615" t="s">
        <v>455</v>
      </c>
      <c r="C271" s="615" t="s">
        <v>62</v>
      </c>
      <c r="D271" s="615" t="s">
        <v>340</v>
      </c>
      <c r="E271" s="615" t="s">
        <v>18</v>
      </c>
      <c r="F271" s="345">
        <f>'потребность 2024 проект весь'!M279</f>
        <v>500000</v>
      </c>
    </row>
    <row r="272" spans="1:8" ht="54.35" customHeight="1" outlineLevel="1" x14ac:dyDescent="0.25">
      <c r="A272" s="315" t="s">
        <v>1125</v>
      </c>
      <c r="B272" s="618" t="s">
        <v>455</v>
      </c>
      <c r="C272" s="618" t="s">
        <v>62</v>
      </c>
      <c r="D272" s="638" t="s">
        <v>1127</v>
      </c>
      <c r="E272" s="618" t="s">
        <v>6</v>
      </c>
      <c r="F272" s="345">
        <f>F273</f>
        <v>900077.29</v>
      </c>
    </row>
    <row r="273" spans="1:8" ht="22.75" customHeight="1" outlineLevel="1" x14ac:dyDescent="0.25">
      <c r="A273" s="189" t="s">
        <v>15</v>
      </c>
      <c r="B273" s="618" t="s">
        <v>455</v>
      </c>
      <c r="C273" s="618" t="s">
        <v>62</v>
      </c>
      <c r="D273" s="638" t="s">
        <v>1127</v>
      </c>
      <c r="E273" s="618" t="s">
        <v>16</v>
      </c>
      <c r="F273" s="345">
        <f>F274</f>
        <v>900077.29</v>
      </c>
    </row>
    <row r="274" spans="1:8" ht="22.75" customHeight="1" outlineLevel="1" x14ac:dyDescent="0.25">
      <c r="A274" s="189" t="s">
        <v>17</v>
      </c>
      <c r="B274" s="618" t="s">
        <v>455</v>
      </c>
      <c r="C274" s="618" t="s">
        <v>62</v>
      </c>
      <c r="D274" s="638" t="s">
        <v>1127</v>
      </c>
      <c r="E274" s="618" t="s">
        <v>18</v>
      </c>
      <c r="F274" s="345">
        <f>'потребность 2024 проект весь'!M282</f>
        <v>900077.29</v>
      </c>
    </row>
    <row r="275" spans="1:8" ht="66.599999999999994" customHeight="1" outlineLevel="1" x14ac:dyDescent="0.25">
      <c r="A275" s="315" t="s">
        <v>1126</v>
      </c>
      <c r="B275" s="618" t="s">
        <v>455</v>
      </c>
      <c r="C275" s="618" t="s">
        <v>62</v>
      </c>
      <c r="D275" s="638" t="s">
        <v>1128</v>
      </c>
      <c r="E275" s="618" t="s">
        <v>6</v>
      </c>
      <c r="F275" s="345">
        <f>F276</f>
        <v>9091.69</v>
      </c>
    </row>
    <row r="276" spans="1:8" ht="22.75" customHeight="1" outlineLevel="1" x14ac:dyDescent="0.25">
      <c r="A276" s="189" t="s">
        <v>15</v>
      </c>
      <c r="B276" s="618" t="s">
        <v>455</v>
      </c>
      <c r="C276" s="618" t="s">
        <v>62</v>
      </c>
      <c r="D276" s="638" t="s">
        <v>1128</v>
      </c>
      <c r="E276" s="618" t="s">
        <v>16</v>
      </c>
      <c r="F276" s="345">
        <f>F277</f>
        <v>9091.69</v>
      </c>
    </row>
    <row r="277" spans="1:8" ht="22.75" customHeight="1" outlineLevel="1" x14ac:dyDescent="0.25">
      <c r="A277" s="189" t="s">
        <v>17</v>
      </c>
      <c r="B277" s="618" t="s">
        <v>455</v>
      </c>
      <c r="C277" s="618" t="s">
        <v>62</v>
      </c>
      <c r="D277" s="638" t="s">
        <v>1128</v>
      </c>
      <c r="E277" s="618" t="s">
        <v>18</v>
      </c>
      <c r="F277" s="345">
        <f>'потребность 2024 проект весь'!M285</f>
        <v>9091.69</v>
      </c>
    </row>
    <row r="278" spans="1:8" s="76" customFormat="1" ht="46.9" customHeight="1" outlineLevel="1" x14ac:dyDescent="0.25">
      <c r="A278" s="45" t="s">
        <v>1160</v>
      </c>
      <c r="B278" s="616" t="s">
        <v>455</v>
      </c>
      <c r="C278" s="616" t="s">
        <v>62</v>
      </c>
      <c r="D278" s="616" t="s">
        <v>464</v>
      </c>
      <c r="E278" s="616" t="s">
        <v>6</v>
      </c>
      <c r="F278" s="402">
        <f>F279</f>
        <v>25358307.810000002</v>
      </c>
      <c r="G278" s="75"/>
      <c r="H278" s="75"/>
    </row>
    <row r="279" spans="1:8" ht="36.700000000000003" outlineLevel="1" x14ac:dyDescent="0.25">
      <c r="A279" s="423" t="s">
        <v>465</v>
      </c>
      <c r="B279" s="615" t="s">
        <v>455</v>
      </c>
      <c r="C279" s="615" t="s">
        <v>62</v>
      </c>
      <c r="D279" s="615" t="s">
        <v>466</v>
      </c>
      <c r="E279" s="615" t="s">
        <v>6</v>
      </c>
      <c r="F279" s="402">
        <f>F280+F283+F286+F295+F289+F292</f>
        <v>25358307.810000002</v>
      </c>
    </row>
    <row r="280" spans="1:8" ht="56.25" customHeight="1" outlineLevel="1" x14ac:dyDescent="0.25">
      <c r="A280" s="423" t="s">
        <v>467</v>
      </c>
      <c r="B280" s="615" t="s">
        <v>455</v>
      </c>
      <c r="C280" s="615" t="s">
        <v>62</v>
      </c>
      <c r="D280" s="615" t="s">
        <v>468</v>
      </c>
      <c r="E280" s="615" t="s">
        <v>6</v>
      </c>
      <c r="F280" s="402">
        <f>F281</f>
        <v>2320808.31</v>
      </c>
    </row>
    <row r="281" spans="1:8" ht="36.700000000000003" outlineLevel="1" x14ac:dyDescent="0.25">
      <c r="A281" s="423" t="s">
        <v>15</v>
      </c>
      <c r="B281" s="615" t="s">
        <v>455</v>
      </c>
      <c r="C281" s="615" t="s">
        <v>62</v>
      </c>
      <c r="D281" s="615" t="s">
        <v>468</v>
      </c>
      <c r="E281" s="615" t="s">
        <v>16</v>
      </c>
      <c r="F281" s="402">
        <f>F282</f>
        <v>2320808.31</v>
      </c>
    </row>
    <row r="282" spans="1:8" ht="36.700000000000003" outlineLevel="1" x14ac:dyDescent="0.25">
      <c r="A282" s="423" t="s">
        <v>17</v>
      </c>
      <c r="B282" s="615" t="s">
        <v>455</v>
      </c>
      <c r="C282" s="615" t="s">
        <v>62</v>
      </c>
      <c r="D282" s="615" t="s">
        <v>468</v>
      </c>
      <c r="E282" s="615" t="s">
        <v>18</v>
      </c>
      <c r="F282" s="345">
        <f>'потребность 2024 проект весь'!M290</f>
        <v>2320808.31</v>
      </c>
    </row>
    <row r="283" spans="1:8" ht="38.25" customHeight="1" outlineLevel="1" x14ac:dyDescent="0.25">
      <c r="A283" s="423" t="s">
        <v>469</v>
      </c>
      <c r="B283" s="615" t="s">
        <v>455</v>
      </c>
      <c r="C283" s="615" t="s">
        <v>62</v>
      </c>
      <c r="D283" s="615" t="s">
        <v>470</v>
      </c>
      <c r="E283" s="615" t="s">
        <v>6</v>
      </c>
      <c r="F283" s="402">
        <f>F284</f>
        <v>8697000</v>
      </c>
    </row>
    <row r="284" spans="1:8" ht="36.700000000000003" outlineLevel="1" x14ac:dyDescent="0.25">
      <c r="A284" s="423" t="s">
        <v>15</v>
      </c>
      <c r="B284" s="615" t="s">
        <v>455</v>
      </c>
      <c r="C284" s="615" t="s">
        <v>62</v>
      </c>
      <c r="D284" s="615" t="s">
        <v>470</v>
      </c>
      <c r="E284" s="615" t="s">
        <v>16</v>
      </c>
      <c r="F284" s="402">
        <f>F285</f>
        <v>8697000</v>
      </c>
    </row>
    <row r="285" spans="1:8" ht="36.700000000000003" outlineLevel="1" x14ac:dyDescent="0.25">
      <c r="A285" s="423" t="s">
        <v>17</v>
      </c>
      <c r="B285" s="615" t="s">
        <v>455</v>
      </c>
      <c r="C285" s="615" t="s">
        <v>62</v>
      </c>
      <c r="D285" s="615" t="s">
        <v>470</v>
      </c>
      <c r="E285" s="615" t="s">
        <v>18</v>
      </c>
      <c r="F285" s="345">
        <f>'потребность 2024 проект весь'!M293+3760000</f>
        <v>8697000</v>
      </c>
    </row>
    <row r="286" spans="1:8" ht="36.700000000000003" outlineLevel="1" x14ac:dyDescent="0.25">
      <c r="A286" s="423" t="s">
        <v>471</v>
      </c>
      <c r="B286" s="615" t="s">
        <v>455</v>
      </c>
      <c r="C286" s="615" t="s">
        <v>62</v>
      </c>
      <c r="D286" s="615" t="s">
        <v>472</v>
      </c>
      <c r="E286" s="615" t="s">
        <v>6</v>
      </c>
      <c r="F286" s="402">
        <f>F287</f>
        <v>3995000</v>
      </c>
    </row>
    <row r="287" spans="1:8" ht="36.700000000000003" outlineLevel="1" x14ac:dyDescent="0.25">
      <c r="A287" s="423" t="s">
        <v>15</v>
      </c>
      <c r="B287" s="615" t="s">
        <v>455</v>
      </c>
      <c r="C287" s="615" t="s">
        <v>62</v>
      </c>
      <c r="D287" s="615" t="s">
        <v>472</v>
      </c>
      <c r="E287" s="615" t="s">
        <v>16</v>
      </c>
      <c r="F287" s="402">
        <f>F288</f>
        <v>3995000</v>
      </c>
    </row>
    <row r="288" spans="1:8" ht="34" customHeight="1" outlineLevel="1" x14ac:dyDescent="0.25">
      <c r="A288" s="423" t="s">
        <v>17</v>
      </c>
      <c r="B288" s="615" t="s">
        <v>455</v>
      </c>
      <c r="C288" s="615" t="s">
        <v>62</v>
      </c>
      <c r="D288" s="615" t="s">
        <v>472</v>
      </c>
      <c r="E288" s="615" t="s">
        <v>18</v>
      </c>
      <c r="F288" s="345">
        <f>'потребность 2024 проект весь'!M296</f>
        <v>3995000</v>
      </c>
    </row>
    <row r="289" spans="1:8" ht="34" customHeight="1" outlineLevel="1" x14ac:dyDescent="0.25">
      <c r="A289" s="315" t="s">
        <v>1118</v>
      </c>
      <c r="B289" s="618" t="s">
        <v>455</v>
      </c>
      <c r="C289" s="618" t="s">
        <v>62</v>
      </c>
      <c r="D289" s="639" t="s">
        <v>1147</v>
      </c>
      <c r="E289" s="618" t="s">
        <v>6</v>
      </c>
      <c r="F289" s="402">
        <f>F290</f>
        <v>10293772</v>
      </c>
    </row>
    <row r="290" spans="1:8" ht="34" customHeight="1" outlineLevel="1" x14ac:dyDescent="0.25">
      <c r="A290" s="189" t="s">
        <v>258</v>
      </c>
      <c r="B290" s="618" t="s">
        <v>455</v>
      </c>
      <c r="C290" s="618" t="s">
        <v>62</v>
      </c>
      <c r="D290" s="639" t="s">
        <v>1147</v>
      </c>
      <c r="E290" s="618" t="s">
        <v>259</v>
      </c>
      <c r="F290" s="402">
        <f>F291</f>
        <v>10293772</v>
      </c>
    </row>
    <row r="291" spans="1:8" ht="34" customHeight="1" outlineLevel="1" x14ac:dyDescent="0.25">
      <c r="A291" s="189" t="s">
        <v>260</v>
      </c>
      <c r="B291" s="618" t="s">
        <v>455</v>
      </c>
      <c r="C291" s="618" t="s">
        <v>62</v>
      </c>
      <c r="D291" s="639" t="s">
        <v>1147</v>
      </c>
      <c r="E291" s="618" t="s">
        <v>261</v>
      </c>
      <c r="F291" s="402">
        <v>10293772</v>
      </c>
    </row>
    <row r="292" spans="1:8" ht="34" customHeight="1" outlineLevel="1" x14ac:dyDescent="0.25">
      <c r="A292" s="235" t="s">
        <v>1121</v>
      </c>
      <c r="B292" s="618" t="s">
        <v>455</v>
      </c>
      <c r="C292" s="618" t="s">
        <v>62</v>
      </c>
      <c r="D292" s="638" t="s">
        <v>1148</v>
      </c>
      <c r="E292" s="618" t="s">
        <v>6</v>
      </c>
      <c r="F292" s="402">
        <f>F293</f>
        <v>51727.5</v>
      </c>
    </row>
    <row r="293" spans="1:8" ht="34" customHeight="1" outlineLevel="1" x14ac:dyDescent="0.25">
      <c r="A293" s="189" t="s">
        <v>258</v>
      </c>
      <c r="B293" s="618" t="s">
        <v>455</v>
      </c>
      <c r="C293" s="618" t="s">
        <v>62</v>
      </c>
      <c r="D293" s="638" t="s">
        <v>1148</v>
      </c>
      <c r="E293" s="618" t="s">
        <v>259</v>
      </c>
      <c r="F293" s="402">
        <f>F294</f>
        <v>51727.5</v>
      </c>
    </row>
    <row r="294" spans="1:8" ht="34" customHeight="1" outlineLevel="1" x14ac:dyDescent="0.25">
      <c r="A294" s="189" t="s">
        <v>260</v>
      </c>
      <c r="B294" s="618" t="s">
        <v>455</v>
      </c>
      <c r="C294" s="618" t="s">
        <v>62</v>
      </c>
      <c r="D294" s="638" t="s">
        <v>1148</v>
      </c>
      <c r="E294" s="618" t="s">
        <v>261</v>
      </c>
      <c r="F294" s="402">
        <v>51727.5</v>
      </c>
    </row>
    <row r="295" spans="1:8" ht="39.75" hidden="1" customHeight="1" outlineLevel="1" x14ac:dyDescent="0.25">
      <c r="A295" s="427" t="s">
        <v>1082</v>
      </c>
      <c r="B295" s="615" t="s">
        <v>455</v>
      </c>
      <c r="C295" s="615" t="s">
        <v>62</v>
      </c>
      <c r="D295" s="621">
        <v>1895894030</v>
      </c>
      <c r="E295" s="615" t="s">
        <v>6</v>
      </c>
      <c r="F295" s="345">
        <f>F296</f>
        <v>0</v>
      </c>
    </row>
    <row r="296" spans="1:8" ht="38.25" hidden="1" customHeight="1" outlineLevel="1" x14ac:dyDescent="0.25">
      <c r="A296" s="423" t="s">
        <v>15</v>
      </c>
      <c r="B296" s="615" t="s">
        <v>455</v>
      </c>
      <c r="C296" s="615" t="s">
        <v>62</v>
      </c>
      <c r="D296" s="621">
        <v>1895894030</v>
      </c>
      <c r="E296" s="615" t="s">
        <v>16</v>
      </c>
      <c r="F296" s="345">
        <f>F297</f>
        <v>0</v>
      </c>
    </row>
    <row r="297" spans="1:8" ht="39.25" hidden="1" customHeight="1" outlineLevel="1" x14ac:dyDescent="0.25">
      <c r="A297" s="423" t="s">
        <v>17</v>
      </c>
      <c r="B297" s="615" t="s">
        <v>455</v>
      </c>
      <c r="C297" s="615" t="s">
        <v>62</v>
      </c>
      <c r="D297" s="621">
        <v>1895894030</v>
      </c>
      <c r="E297" s="615" t="s">
        <v>18</v>
      </c>
      <c r="F297" s="345">
        <v>0</v>
      </c>
    </row>
    <row r="298" spans="1:8" s="76" customFormat="1" ht="55.05" outlineLevel="1" x14ac:dyDescent="0.25">
      <c r="A298" s="45" t="s">
        <v>473</v>
      </c>
      <c r="B298" s="616" t="s">
        <v>455</v>
      </c>
      <c r="C298" s="616" t="s">
        <v>62</v>
      </c>
      <c r="D298" s="616" t="s">
        <v>474</v>
      </c>
      <c r="E298" s="616" t="s">
        <v>6</v>
      </c>
      <c r="F298" s="402">
        <f>F299+F307</f>
        <v>11465716.370000001</v>
      </c>
      <c r="G298" s="75"/>
      <c r="H298" s="75"/>
    </row>
    <row r="299" spans="1:8" s="76" customFormat="1" ht="55.05" hidden="1" outlineLevel="1" x14ac:dyDescent="0.25">
      <c r="A299" s="45" t="s">
        <v>501</v>
      </c>
      <c r="B299" s="616" t="s">
        <v>455</v>
      </c>
      <c r="C299" s="616" t="s">
        <v>62</v>
      </c>
      <c r="D299" s="616" t="s">
        <v>502</v>
      </c>
      <c r="E299" s="616" t="s">
        <v>6</v>
      </c>
      <c r="F299" s="402">
        <f>F300+F304</f>
        <v>0</v>
      </c>
      <c r="G299" s="75"/>
      <c r="H299" s="75"/>
    </row>
    <row r="300" spans="1:8" ht="36.700000000000003" hidden="1" outlineLevel="1" x14ac:dyDescent="0.25">
      <c r="A300" s="423" t="s">
        <v>931</v>
      </c>
      <c r="B300" s="615" t="s">
        <v>455</v>
      </c>
      <c r="C300" s="615" t="s">
        <v>62</v>
      </c>
      <c r="D300" s="615" t="s">
        <v>503</v>
      </c>
      <c r="E300" s="615" t="s">
        <v>6</v>
      </c>
      <c r="F300" s="402">
        <f>F301</f>
        <v>0</v>
      </c>
    </row>
    <row r="301" spans="1:8" ht="36.700000000000003" hidden="1" outlineLevel="1" x14ac:dyDescent="0.25">
      <c r="A301" s="423" t="s">
        <v>499</v>
      </c>
      <c r="B301" s="615" t="s">
        <v>455</v>
      </c>
      <c r="C301" s="615" t="s">
        <v>62</v>
      </c>
      <c r="D301" s="615" t="s">
        <v>504</v>
      </c>
      <c r="E301" s="615" t="s">
        <v>6</v>
      </c>
      <c r="F301" s="402">
        <f>F302</f>
        <v>0</v>
      </c>
    </row>
    <row r="302" spans="1:8" ht="36.700000000000003" hidden="1" outlineLevel="1" x14ac:dyDescent="0.25">
      <c r="A302" s="423" t="s">
        <v>15</v>
      </c>
      <c r="B302" s="615" t="s">
        <v>455</v>
      </c>
      <c r="C302" s="615" t="s">
        <v>62</v>
      </c>
      <c r="D302" s="615" t="s">
        <v>504</v>
      </c>
      <c r="E302" s="615" t="s">
        <v>16</v>
      </c>
      <c r="F302" s="402">
        <f>F303</f>
        <v>0</v>
      </c>
    </row>
    <row r="303" spans="1:8" ht="36.700000000000003" hidden="1" outlineLevel="1" x14ac:dyDescent="0.25">
      <c r="A303" s="423" t="s">
        <v>17</v>
      </c>
      <c r="B303" s="615" t="s">
        <v>455</v>
      </c>
      <c r="C303" s="615" t="s">
        <v>62</v>
      </c>
      <c r="D303" s="615" t="s">
        <v>504</v>
      </c>
      <c r="E303" s="615" t="s">
        <v>18</v>
      </c>
      <c r="F303" s="402">
        <v>0</v>
      </c>
    </row>
    <row r="304" spans="1:8" ht="36.700000000000003" hidden="1" outlineLevel="1" x14ac:dyDescent="0.25">
      <c r="A304" s="423" t="s">
        <v>614</v>
      </c>
      <c r="B304" s="615" t="s">
        <v>455</v>
      </c>
      <c r="C304" s="615" t="s">
        <v>62</v>
      </c>
      <c r="D304" s="615" t="s">
        <v>655</v>
      </c>
      <c r="E304" s="615" t="s">
        <v>6</v>
      </c>
      <c r="F304" s="402">
        <f>F305</f>
        <v>0</v>
      </c>
    </row>
    <row r="305" spans="1:8" ht="36.700000000000003" hidden="1" outlineLevel="1" x14ac:dyDescent="0.25">
      <c r="A305" s="423" t="s">
        <v>15</v>
      </c>
      <c r="B305" s="615" t="s">
        <v>455</v>
      </c>
      <c r="C305" s="615" t="s">
        <v>62</v>
      </c>
      <c r="D305" s="615" t="s">
        <v>655</v>
      </c>
      <c r="E305" s="615" t="s">
        <v>16</v>
      </c>
      <c r="F305" s="402">
        <f>F306</f>
        <v>0</v>
      </c>
    </row>
    <row r="306" spans="1:8" ht="36.700000000000003" hidden="1" outlineLevel="1" x14ac:dyDescent="0.25">
      <c r="A306" s="423" t="s">
        <v>17</v>
      </c>
      <c r="B306" s="615" t="s">
        <v>455</v>
      </c>
      <c r="C306" s="615" t="s">
        <v>62</v>
      </c>
      <c r="D306" s="615" t="s">
        <v>655</v>
      </c>
      <c r="E306" s="615" t="s">
        <v>18</v>
      </c>
      <c r="F306" s="402">
        <v>0</v>
      </c>
    </row>
    <row r="307" spans="1:8" s="76" customFormat="1" ht="36.700000000000003" outlineLevel="1" x14ac:dyDescent="0.25">
      <c r="A307" s="45" t="s">
        <v>505</v>
      </c>
      <c r="B307" s="615" t="s">
        <v>455</v>
      </c>
      <c r="C307" s="615" t="s">
        <v>62</v>
      </c>
      <c r="D307" s="616" t="s">
        <v>507</v>
      </c>
      <c r="E307" s="616" t="s">
        <v>6</v>
      </c>
      <c r="F307" s="402">
        <f t="shared" ref="F307:F313" si="1">F308</f>
        <v>11465716.370000001</v>
      </c>
      <c r="G307" s="75"/>
      <c r="H307" s="75"/>
    </row>
    <row r="308" spans="1:8" s="76" customFormat="1" ht="36.700000000000003" outlineLevel="1" x14ac:dyDescent="0.25">
      <c r="A308" s="45" t="s">
        <v>506</v>
      </c>
      <c r="B308" s="615" t="s">
        <v>455</v>
      </c>
      <c r="C308" s="615" t="s">
        <v>62</v>
      </c>
      <c r="D308" s="616" t="s">
        <v>508</v>
      </c>
      <c r="E308" s="616" t="s">
        <v>6</v>
      </c>
      <c r="F308" s="347">
        <f>F309+F312+F315</f>
        <v>11465716.370000001</v>
      </c>
      <c r="G308" s="75"/>
      <c r="H308" s="75"/>
    </row>
    <row r="309" spans="1:8" s="76" customFormat="1" ht="80.849999999999994" customHeight="1" outlineLevel="1" x14ac:dyDescent="0.25">
      <c r="A309" s="44" t="s">
        <v>951</v>
      </c>
      <c r="B309" s="615" t="s">
        <v>455</v>
      </c>
      <c r="C309" s="615" t="s">
        <v>62</v>
      </c>
      <c r="D309" s="615" t="s">
        <v>531</v>
      </c>
      <c r="E309" s="615" t="s">
        <v>6</v>
      </c>
      <c r="F309" s="402">
        <f>F310</f>
        <v>11351059.210000001</v>
      </c>
      <c r="G309" s="75"/>
      <c r="H309" s="75"/>
    </row>
    <row r="310" spans="1:8" s="76" customFormat="1" ht="36.700000000000003" outlineLevel="1" x14ac:dyDescent="0.25">
      <c r="A310" s="423" t="s">
        <v>15</v>
      </c>
      <c r="B310" s="615" t="s">
        <v>455</v>
      </c>
      <c r="C310" s="615" t="s">
        <v>62</v>
      </c>
      <c r="D310" s="615" t="s">
        <v>531</v>
      </c>
      <c r="E310" s="615" t="s">
        <v>16</v>
      </c>
      <c r="F310" s="402">
        <f>F311</f>
        <v>11351059.210000001</v>
      </c>
      <c r="G310" s="75"/>
      <c r="H310" s="75"/>
    </row>
    <row r="311" spans="1:8" s="76" customFormat="1" ht="36.700000000000003" outlineLevel="1" x14ac:dyDescent="0.25">
      <c r="A311" s="423" t="s">
        <v>17</v>
      </c>
      <c r="B311" s="615" t="s">
        <v>455</v>
      </c>
      <c r="C311" s="615" t="s">
        <v>62</v>
      </c>
      <c r="D311" s="615" t="s">
        <v>531</v>
      </c>
      <c r="E311" s="615" t="s">
        <v>18</v>
      </c>
      <c r="F311" s="402">
        <f>'потребность 2024 проект весь'!M313</f>
        <v>11351059.210000001</v>
      </c>
      <c r="G311" s="75"/>
      <c r="H311" s="75"/>
    </row>
    <row r="312" spans="1:8" ht="40.75" customHeight="1" outlineLevel="1" x14ac:dyDescent="0.25">
      <c r="A312" s="423" t="s">
        <v>510</v>
      </c>
      <c r="B312" s="615" t="s">
        <v>455</v>
      </c>
      <c r="C312" s="615" t="s">
        <v>62</v>
      </c>
      <c r="D312" s="615" t="s">
        <v>509</v>
      </c>
      <c r="E312" s="615" t="s">
        <v>6</v>
      </c>
      <c r="F312" s="402">
        <f t="shared" si="1"/>
        <v>114657.16</v>
      </c>
    </row>
    <row r="313" spans="1:8" ht="36.700000000000003" outlineLevel="1" x14ac:dyDescent="0.25">
      <c r="A313" s="423" t="s">
        <v>15</v>
      </c>
      <c r="B313" s="615" t="s">
        <v>455</v>
      </c>
      <c r="C313" s="615" t="s">
        <v>62</v>
      </c>
      <c r="D313" s="615" t="s">
        <v>509</v>
      </c>
      <c r="E313" s="615" t="s">
        <v>16</v>
      </c>
      <c r="F313" s="402">
        <f t="shared" si="1"/>
        <v>114657.16</v>
      </c>
    </row>
    <row r="314" spans="1:8" ht="36.700000000000003" outlineLevel="1" x14ac:dyDescent="0.25">
      <c r="A314" s="423" t="s">
        <v>17</v>
      </c>
      <c r="B314" s="615" t="s">
        <v>455</v>
      </c>
      <c r="C314" s="615" t="s">
        <v>62</v>
      </c>
      <c r="D314" s="615" t="s">
        <v>509</v>
      </c>
      <c r="E314" s="615" t="s">
        <v>18</v>
      </c>
      <c r="F314" s="345">
        <f>'потребность 2024 проект весь'!M316</f>
        <v>114657.16</v>
      </c>
    </row>
    <row r="315" spans="1:8" ht="36.700000000000003" hidden="1" outlineLevel="1" x14ac:dyDescent="0.25">
      <c r="A315" s="423" t="s">
        <v>614</v>
      </c>
      <c r="B315" s="615" t="s">
        <v>455</v>
      </c>
      <c r="C315" s="615" t="s">
        <v>62</v>
      </c>
      <c r="D315" s="615" t="s">
        <v>613</v>
      </c>
      <c r="E315" s="615" t="s">
        <v>6</v>
      </c>
      <c r="F315" s="402">
        <f>F316</f>
        <v>0</v>
      </c>
    </row>
    <row r="316" spans="1:8" ht="36.700000000000003" hidden="1" outlineLevel="1" x14ac:dyDescent="0.25">
      <c r="A316" s="423" t="s">
        <v>15</v>
      </c>
      <c r="B316" s="615" t="s">
        <v>455</v>
      </c>
      <c r="C316" s="615" t="s">
        <v>62</v>
      </c>
      <c r="D316" s="615" t="s">
        <v>613</v>
      </c>
      <c r="E316" s="615" t="s">
        <v>16</v>
      </c>
      <c r="F316" s="402">
        <f>F317</f>
        <v>0</v>
      </c>
    </row>
    <row r="317" spans="1:8" ht="38.25" hidden="1" customHeight="1" outlineLevel="1" x14ac:dyDescent="0.25">
      <c r="A317" s="423" t="s">
        <v>17</v>
      </c>
      <c r="B317" s="615" t="s">
        <v>455</v>
      </c>
      <c r="C317" s="615" t="s">
        <v>62</v>
      </c>
      <c r="D317" s="615" t="s">
        <v>613</v>
      </c>
      <c r="E317" s="615" t="s">
        <v>18</v>
      </c>
      <c r="F317" s="345">
        <v>0</v>
      </c>
    </row>
    <row r="318" spans="1:8" outlineLevel="1" x14ac:dyDescent="0.25">
      <c r="A318" s="423" t="s">
        <v>284</v>
      </c>
      <c r="B318" s="615" t="s">
        <v>455</v>
      </c>
      <c r="C318" s="615" t="s">
        <v>285</v>
      </c>
      <c r="D318" s="615" t="s">
        <v>126</v>
      </c>
      <c r="E318" s="615" t="s">
        <v>6</v>
      </c>
      <c r="F318" s="345">
        <f>F319</f>
        <v>7458921.1500000004</v>
      </c>
    </row>
    <row r="319" spans="1:8" ht="55.05" outlineLevel="1" x14ac:dyDescent="0.25">
      <c r="A319" s="45" t="s">
        <v>1161</v>
      </c>
      <c r="B319" s="616" t="s">
        <v>455</v>
      </c>
      <c r="C319" s="616" t="s">
        <v>285</v>
      </c>
      <c r="D319" s="616" t="s">
        <v>134</v>
      </c>
      <c r="E319" s="616" t="s">
        <v>6</v>
      </c>
      <c r="F319" s="346">
        <f>F320</f>
        <v>7458921.1500000004</v>
      </c>
    </row>
    <row r="320" spans="1:8" ht="36.700000000000003" outlineLevel="1" x14ac:dyDescent="0.25">
      <c r="A320" s="423" t="s">
        <v>738</v>
      </c>
      <c r="B320" s="615" t="s">
        <v>455</v>
      </c>
      <c r="C320" s="615" t="s">
        <v>285</v>
      </c>
      <c r="D320" s="615" t="s">
        <v>335</v>
      </c>
      <c r="E320" s="615" t="s">
        <v>6</v>
      </c>
      <c r="F320" s="345">
        <f>F321+F324</f>
        <v>7458921.1500000004</v>
      </c>
    </row>
    <row r="321" spans="1:8" ht="46.2" customHeight="1" outlineLevel="1" x14ac:dyDescent="0.25">
      <c r="A321" s="31" t="s">
        <v>952</v>
      </c>
      <c r="B321" s="615" t="s">
        <v>455</v>
      </c>
      <c r="C321" s="615" t="s">
        <v>285</v>
      </c>
      <c r="D321" s="615" t="s">
        <v>532</v>
      </c>
      <c r="E321" s="615" t="s">
        <v>6</v>
      </c>
      <c r="F321" s="345">
        <f>F322</f>
        <v>7384331.9400000004</v>
      </c>
    </row>
    <row r="322" spans="1:8" outlineLevel="1" x14ac:dyDescent="0.25">
      <c r="A322" s="423" t="s">
        <v>19</v>
      </c>
      <c r="B322" s="615" t="s">
        <v>455</v>
      </c>
      <c r="C322" s="615" t="s">
        <v>285</v>
      </c>
      <c r="D322" s="615" t="s">
        <v>532</v>
      </c>
      <c r="E322" s="615" t="s">
        <v>20</v>
      </c>
      <c r="F322" s="345">
        <f>F323</f>
        <v>7384331.9400000004</v>
      </c>
    </row>
    <row r="323" spans="1:8" ht="55.05" outlineLevel="1" x14ac:dyDescent="0.25">
      <c r="A323" s="423" t="s">
        <v>963</v>
      </c>
      <c r="B323" s="615" t="s">
        <v>455</v>
      </c>
      <c r="C323" s="615" t="s">
        <v>285</v>
      </c>
      <c r="D323" s="615" t="s">
        <v>532</v>
      </c>
      <c r="E323" s="615" t="s">
        <v>48</v>
      </c>
      <c r="F323" s="345">
        <f>'потребность 2024 проект весь'!M325</f>
        <v>7384331.9400000004</v>
      </c>
    </row>
    <row r="324" spans="1:8" s="76" customFormat="1" ht="42.8" customHeight="1" outlineLevel="1" x14ac:dyDescent="0.25">
      <c r="A324" s="423" t="s">
        <v>295</v>
      </c>
      <c r="B324" s="615" t="s">
        <v>455</v>
      </c>
      <c r="C324" s="615" t="s">
        <v>285</v>
      </c>
      <c r="D324" s="615" t="s">
        <v>341</v>
      </c>
      <c r="E324" s="615" t="s">
        <v>6</v>
      </c>
      <c r="F324" s="345">
        <f>F325</f>
        <v>74589.210000000006</v>
      </c>
      <c r="G324" s="75"/>
      <c r="H324" s="75"/>
    </row>
    <row r="325" spans="1:8" outlineLevel="2" x14ac:dyDescent="0.25">
      <c r="A325" s="423" t="s">
        <v>19</v>
      </c>
      <c r="B325" s="615" t="s">
        <v>455</v>
      </c>
      <c r="C325" s="615" t="s">
        <v>285</v>
      </c>
      <c r="D325" s="615" t="s">
        <v>341</v>
      </c>
      <c r="E325" s="615" t="s">
        <v>20</v>
      </c>
      <c r="F325" s="345">
        <f>F326</f>
        <v>74589.210000000006</v>
      </c>
    </row>
    <row r="326" spans="1:8" s="76" customFormat="1" ht="59.3" customHeight="1" outlineLevel="3" x14ac:dyDescent="0.25">
      <c r="A326" s="423" t="s">
        <v>963</v>
      </c>
      <c r="B326" s="615" t="s">
        <v>455</v>
      </c>
      <c r="C326" s="615" t="s">
        <v>285</v>
      </c>
      <c r="D326" s="615" t="s">
        <v>341</v>
      </c>
      <c r="E326" s="615" t="s">
        <v>48</v>
      </c>
      <c r="F326" s="345">
        <f>'потребность 2024 проект весь'!M328</f>
        <v>74589.210000000006</v>
      </c>
      <c r="G326" s="75"/>
      <c r="H326" s="75"/>
    </row>
    <row r="327" spans="1:8" ht="27" customHeight="1" outlineLevel="3" x14ac:dyDescent="0.25">
      <c r="A327" s="45" t="s">
        <v>64</v>
      </c>
      <c r="B327" s="615" t="s">
        <v>455</v>
      </c>
      <c r="C327" s="616" t="s">
        <v>65</v>
      </c>
      <c r="D327" s="616" t="s">
        <v>126</v>
      </c>
      <c r="E327" s="616" t="s">
        <v>6</v>
      </c>
      <c r="F327" s="347">
        <f>F328</f>
        <v>755000</v>
      </c>
    </row>
    <row r="328" spans="1:8" ht="23.3" customHeight="1" outlineLevel="3" x14ac:dyDescent="0.25">
      <c r="A328" s="423" t="s">
        <v>66</v>
      </c>
      <c r="B328" s="615" t="s">
        <v>455</v>
      </c>
      <c r="C328" s="615" t="s">
        <v>67</v>
      </c>
      <c r="D328" s="615" t="s">
        <v>126</v>
      </c>
      <c r="E328" s="615" t="s">
        <v>6</v>
      </c>
      <c r="F328" s="402">
        <f>F329+F338</f>
        <v>755000</v>
      </c>
    </row>
    <row r="329" spans="1:8" ht="43.5" customHeight="1" outlineLevel="3" x14ac:dyDescent="0.25">
      <c r="A329" s="45" t="s">
        <v>1162</v>
      </c>
      <c r="B329" s="616" t="s">
        <v>455</v>
      </c>
      <c r="C329" s="616" t="s">
        <v>67</v>
      </c>
      <c r="D329" s="616" t="s">
        <v>135</v>
      </c>
      <c r="E329" s="616" t="s">
        <v>6</v>
      </c>
      <c r="F329" s="347">
        <f>F330+F334</f>
        <v>470000</v>
      </c>
    </row>
    <row r="330" spans="1:8" ht="62.5" customHeight="1" outlineLevel="3" x14ac:dyDescent="0.25">
      <c r="A330" s="423" t="s">
        <v>736</v>
      </c>
      <c r="B330" s="615" t="s">
        <v>455</v>
      </c>
      <c r="C330" s="615" t="s">
        <v>67</v>
      </c>
      <c r="D330" s="615" t="s">
        <v>371</v>
      </c>
      <c r="E330" s="615" t="s">
        <v>6</v>
      </c>
      <c r="F330" s="402">
        <f>F331</f>
        <v>440000</v>
      </c>
    </row>
    <row r="331" spans="1:8" ht="30.25" customHeight="1" outlineLevel="7" x14ac:dyDescent="0.25">
      <c r="A331" s="423" t="s">
        <v>240</v>
      </c>
      <c r="B331" s="615" t="s">
        <v>455</v>
      </c>
      <c r="C331" s="615" t="s">
        <v>67</v>
      </c>
      <c r="D331" s="615" t="s">
        <v>344</v>
      </c>
      <c r="E331" s="615" t="s">
        <v>6</v>
      </c>
      <c r="F331" s="402">
        <f>F332</f>
        <v>440000</v>
      </c>
    </row>
    <row r="332" spans="1:8" ht="25.5" customHeight="1" outlineLevel="5" x14ac:dyDescent="0.25">
      <c r="A332" s="423" t="s">
        <v>15</v>
      </c>
      <c r="B332" s="615" t="s">
        <v>455</v>
      </c>
      <c r="C332" s="615" t="s">
        <v>67</v>
      </c>
      <c r="D332" s="615" t="s">
        <v>344</v>
      </c>
      <c r="E332" s="615" t="s">
        <v>16</v>
      </c>
      <c r="F332" s="402">
        <f>F333</f>
        <v>440000</v>
      </c>
    </row>
    <row r="333" spans="1:8" ht="36.700000000000003" outlineLevel="6" x14ac:dyDescent="0.25">
      <c r="A333" s="423" t="s">
        <v>17</v>
      </c>
      <c r="B333" s="615" t="s">
        <v>455</v>
      </c>
      <c r="C333" s="615" t="s">
        <v>67</v>
      </c>
      <c r="D333" s="615" t="s">
        <v>344</v>
      </c>
      <c r="E333" s="615" t="s">
        <v>18</v>
      </c>
      <c r="F333" s="402">
        <f>'потребность 2024 проект весь'!M335</f>
        <v>440000</v>
      </c>
    </row>
    <row r="334" spans="1:8" ht="44.5" customHeight="1" outlineLevel="7" x14ac:dyDescent="0.25">
      <c r="A334" s="423" t="s">
        <v>345</v>
      </c>
      <c r="B334" s="615" t="s">
        <v>455</v>
      </c>
      <c r="C334" s="615" t="s">
        <v>67</v>
      </c>
      <c r="D334" s="615" t="s">
        <v>242</v>
      </c>
      <c r="E334" s="615" t="s">
        <v>6</v>
      </c>
      <c r="F334" s="345">
        <f>F335</f>
        <v>30000</v>
      </c>
    </row>
    <row r="335" spans="1:8" s="76" customFormat="1" ht="27" customHeight="1" outlineLevel="3" x14ac:dyDescent="0.25">
      <c r="A335" s="423" t="s">
        <v>68</v>
      </c>
      <c r="B335" s="615" t="s">
        <v>455</v>
      </c>
      <c r="C335" s="615" t="s">
        <v>67</v>
      </c>
      <c r="D335" s="615" t="s">
        <v>241</v>
      </c>
      <c r="E335" s="615" t="s">
        <v>6</v>
      </c>
      <c r="F335" s="402">
        <f>F336</f>
        <v>30000</v>
      </c>
      <c r="G335" s="75"/>
      <c r="H335" s="75"/>
    </row>
    <row r="336" spans="1:8" ht="36.700000000000003" outlineLevel="5" x14ac:dyDescent="0.25">
      <c r="A336" s="423" t="s">
        <v>15</v>
      </c>
      <c r="B336" s="615" t="s">
        <v>455</v>
      </c>
      <c r="C336" s="615" t="s">
        <v>67</v>
      </c>
      <c r="D336" s="615" t="s">
        <v>241</v>
      </c>
      <c r="E336" s="615" t="s">
        <v>16</v>
      </c>
      <c r="F336" s="402">
        <f>F337</f>
        <v>30000</v>
      </c>
    </row>
    <row r="337" spans="1:8" ht="36.700000000000003" outlineLevel="5" x14ac:dyDescent="0.25">
      <c r="A337" s="423" t="s">
        <v>17</v>
      </c>
      <c r="B337" s="615" t="s">
        <v>455</v>
      </c>
      <c r="C337" s="615" t="s">
        <v>67</v>
      </c>
      <c r="D337" s="615" t="s">
        <v>241</v>
      </c>
      <c r="E337" s="615" t="s">
        <v>18</v>
      </c>
      <c r="F337" s="402">
        <f>'потребность 2024 проект весь'!M339</f>
        <v>30000</v>
      </c>
    </row>
    <row r="338" spans="1:8" ht="73.400000000000006" outlineLevel="6" x14ac:dyDescent="0.25">
      <c r="A338" s="45" t="s">
        <v>1163</v>
      </c>
      <c r="B338" s="616" t="s">
        <v>455</v>
      </c>
      <c r="C338" s="616" t="s">
        <v>67</v>
      </c>
      <c r="D338" s="616" t="s">
        <v>346</v>
      </c>
      <c r="E338" s="616" t="s">
        <v>6</v>
      </c>
      <c r="F338" s="347">
        <f>F339</f>
        <v>285000</v>
      </c>
    </row>
    <row r="339" spans="1:8" ht="41.3" customHeight="1" outlineLevel="7" x14ac:dyDescent="0.25">
      <c r="A339" s="423" t="s">
        <v>347</v>
      </c>
      <c r="B339" s="615" t="s">
        <v>455</v>
      </c>
      <c r="C339" s="615" t="s">
        <v>67</v>
      </c>
      <c r="D339" s="615" t="s">
        <v>348</v>
      </c>
      <c r="E339" s="615" t="s">
        <v>6</v>
      </c>
      <c r="F339" s="402">
        <f>F341</f>
        <v>285000</v>
      </c>
    </row>
    <row r="340" spans="1:8" s="76" customFormat="1" outlineLevel="1" x14ac:dyDescent="0.25">
      <c r="A340" s="423" t="s">
        <v>349</v>
      </c>
      <c r="B340" s="615" t="s">
        <v>455</v>
      </c>
      <c r="C340" s="615" t="s">
        <v>67</v>
      </c>
      <c r="D340" s="615" t="s">
        <v>350</v>
      </c>
      <c r="E340" s="615" t="s">
        <v>6</v>
      </c>
      <c r="F340" s="402">
        <f>F341</f>
        <v>285000</v>
      </c>
      <c r="G340" s="75"/>
      <c r="H340" s="75"/>
    </row>
    <row r="341" spans="1:8" ht="36.700000000000003" outlineLevel="2" x14ac:dyDescent="0.25">
      <c r="A341" s="423" t="s">
        <v>15</v>
      </c>
      <c r="B341" s="615" t="s">
        <v>455</v>
      </c>
      <c r="C341" s="615" t="s">
        <v>67</v>
      </c>
      <c r="D341" s="615" t="s">
        <v>350</v>
      </c>
      <c r="E341" s="615" t="s">
        <v>16</v>
      </c>
      <c r="F341" s="402">
        <f>F342</f>
        <v>285000</v>
      </c>
    </row>
    <row r="342" spans="1:8" s="76" customFormat="1" ht="36.700000000000003" outlineLevel="3" x14ac:dyDescent="0.25">
      <c r="A342" s="423" t="s">
        <v>17</v>
      </c>
      <c r="B342" s="615" t="s">
        <v>455</v>
      </c>
      <c r="C342" s="615" t="s">
        <v>67</v>
      </c>
      <c r="D342" s="615" t="s">
        <v>350</v>
      </c>
      <c r="E342" s="615" t="s">
        <v>18</v>
      </c>
      <c r="F342" s="345">
        <f>'потребность 2024 проект весь'!M344</f>
        <v>285000</v>
      </c>
      <c r="G342" s="75"/>
      <c r="H342" s="75"/>
    </row>
    <row r="343" spans="1:8" outlineLevel="3" x14ac:dyDescent="0.25">
      <c r="A343" s="45" t="s">
        <v>69</v>
      </c>
      <c r="B343" s="616" t="s">
        <v>455</v>
      </c>
      <c r="C343" s="616" t="s">
        <v>70</v>
      </c>
      <c r="D343" s="616" t="s">
        <v>126</v>
      </c>
      <c r="E343" s="616" t="s">
        <v>6</v>
      </c>
      <c r="F343" s="347">
        <f t="shared" ref="F343:F348" si="2">F344</f>
        <v>23376667.030000001</v>
      </c>
    </row>
    <row r="344" spans="1:8" outlineLevel="5" x14ac:dyDescent="0.25">
      <c r="A344" s="423" t="s">
        <v>251</v>
      </c>
      <c r="B344" s="615" t="s">
        <v>455</v>
      </c>
      <c r="C344" s="615" t="s">
        <v>250</v>
      </c>
      <c r="D344" s="615" t="s">
        <v>126</v>
      </c>
      <c r="E344" s="615" t="s">
        <v>6</v>
      </c>
      <c r="F344" s="402">
        <f t="shared" si="2"/>
        <v>23376667.030000001</v>
      </c>
    </row>
    <row r="345" spans="1:8" ht="36.700000000000003" outlineLevel="6" x14ac:dyDescent="0.25">
      <c r="A345" s="45" t="s">
        <v>1164</v>
      </c>
      <c r="B345" s="616" t="s">
        <v>455</v>
      </c>
      <c r="C345" s="616" t="s">
        <v>250</v>
      </c>
      <c r="D345" s="616" t="s">
        <v>136</v>
      </c>
      <c r="E345" s="616" t="s">
        <v>6</v>
      </c>
      <c r="F345" s="347">
        <f>F346</f>
        <v>23376667.030000001</v>
      </c>
    </row>
    <row r="346" spans="1:8" ht="36.700000000000003" outlineLevel="7" x14ac:dyDescent="0.3">
      <c r="A346" s="11" t="s">
        <v>351</v>
      </c>
      <c r="B346" s="615" t="s">
        <v>455</v>
      </c>
      <c r="C346" s="615" t="s">
        <v>250</v>
      </c>
      <c r="D346" s="615" t="s">
        <v>225</v>
      </c>
      <c r="E346" s="615" t="s">
        <v>6</v>
      </c>
      <c r="F346" s="402">
        <f>F347</f>
        <v>23376667.030000001</v>
      </c>
    </row>
    <row r="347" spans="1:8" ht="36.700000000000003" outlineLevel="7" x14ac:dyDescent="0.25">
      <c r="A347" s="423" t="s">
        <v>73</v>
      </c>
      <c r="B347" s="615" t="s">
        <v>455</v>
      </c>
      <c r="C347" s="615" t="s">
        <v>250</v>
      </c>
      <c r="D347" s="615" t="s">
        <v>137</v>
      </c>
      <c r="E347" s="615" t="s">
        <v>6</v>
      </c>
      <c r="F347" s="402">
        <f t="shared" si="2"/>
        <v>23376667.030000001</v>
      </c>
    </row>
    <row r="348" spans="1:8" ht="36.700000000000003" outlineLevel="7" x14ac:dyDescent="0.25">
      <c r="A348" s="423" t="s">
        <v>37</v>
      </c>
      <c r="B348" s="615" t="s">
        <v>455</v>
      </c>
      <c r="C348" s="615" t="s">
        <v>250</v>
      </c>
      <c r="D348" s="615" t="s">
        <v>137</v>
      </c>
      <c r="E348" s="615" t="s">
        <v>38</v>
      </c>
      <c r="F348" s="402">
        <f t="shared" si="2"/>
        <v>23376667.030000001</v>
      </c>
    </row>
    <row r="349" spans="1:8" outlineLevel="7" x14ac:dyDescent="0.3">
      <c r="A349" s="11" t="s">
        <v>74</v>
      </c>
      <c r="B349" s="615" t="s">
        <v>455</v>
      </c>
      <c r="C349" s="615" t="s">
        <v>250</v>
      </c>
      <c r="D349" s="615" t="s">
        <v>137</v>
      </c>
      <c r="E349" s="615" t="s">
        <v>75</v>
      </c>
      <c r="F349" s="402">
        <f>'потребность 2024 проект весь'!M351</f>
        <v>23376667.030000001</v>
      </c>
    </row>
    <row r="350" spans="1:8" outlineLevel="7" x14ac:dyDescent="0.25">
      <c r="A350" s="45" t="s">
        <v>79</v>
      </c>
      <c r="B350" s="616" t="s">
        <v>455</v>
      </c>
      <c r="C350" s="616" t="s">
        <v>80</v>
      </c>
      <c r="D350" s="616" t="s">
        <v>126</v>
      </c>
      <c r="E350" s="616" t="s">
        <v>6</v>
      </c>
      <c r="F350" s="347">
        <f>F351</f>
        <v>39611430.129999995</v>
      </c>
    </row>
    <row r="351" spans="1:8" outlineLevel="7" x14ac:dyDescent="0.25">
      <c r="A351" s="423" t="s">
        <v>81</v>
      </c>
      <c r="B351" s="615" t="s">
        <v>455</v>
      </c>
      <c r="C351" s="615" t="s">
        <v>82</v>
      </c>
      <c r="D351" s="615" t="s">
        <v>126</v>
      </c>
      <c r="E351" s="615" t="s">
        <v>6</v>
      </c>
      <c r="F351" s="402">
        <f>F352</f>
        <v>39611430.129999995</v>
      </c>
    </row>
    <row r="352" spans="1:8" ht="36.700000000000003" outlineLevel="7" x14ac:dyDescent="0.25">
      <c r="A352" s="45" t="s">
        <v>1164</v>
      </c>
      <c r="B352" s="616" t="s">
        <v>455</v>
      </c>
      <c r="C352" s="616" t="s">
        <v>82</v>
      </c>
      <c r="D352" s="616" t="s">
        <v>136</v>
      </c>
      <c r="E352" s="616" t="s">
        <v>6</v>
      </c>
      <c r="F352" s="347">
        <f>F353+F367+F363</f>
        <v>39611430.129999995</v>
      </c>
    </row>
    <row r="353" spans="1:6" ht="36.700000000000003" outlineLevel="7" x14ac:dyDescent="0.25">
      <c r="A353" s="423" t="s">
        <v>353</v>
      </c>
      <c r="B353" s="615" t="s">
        <v>455</v>
      </c>
      <c r="C353" s="615" t="s">
        <v>82</v>
      </c>
      <c r="D353" s="615" t="s">
        <v>224</v>
      </c>
      <c r="E353" s="615" t="s">
        <v>6</v>
      </c>
      <c r="F353" s="402">
        <f>F354+F357+F360</f>
        <v>12712813.279999999</v>
      </c>
    </row>
    <row r="354" spans="1:6" ht="36.700000000000003" outlineLevel="7" x14ac:dyDescent="0.25">
      <c r="A354" s="423" t="s">
        <v>1009</v>
      </c>
      <c r="B354" s="615" t="s">
        <v>455</v>
      </c>
      <c r="C354" s="615" t="s">
        <v>82</v>
      </c>
      <c r="D354" s="615" t="s">
        <v>141</v>
      </c>
      <c r="E354" s="615" t="s">
        <v>6</v>
      </c>
      <c r="F354" s="402">
        <f>F355</f>
        <v>12543111.26</v>
      </c>
    </row>
    <row r="355" spans="1:6" ht="36.700000000000003" outlineLevel="7" x14ac:dyDescent="0.25">
      <c r="A355" s="423" t="s">
        <v>37</v>
      </c>
      <c r="B355" s="615" t="s">
        <v>455</v>
      </c>
      <c r="C355" s="615" t="s">
        <v>82</v>
      </c>
      <c r="D355" s="615" t="s">
        <v>141</v>
      </c>
      <c r="E355" s="615" t="s">
        <v>38</v>
      </c>
      <c r="F355" s="402">
        <f>F356</f>
        <v>12543111.26</v>
      </c>
    </row>
    <row r="356" spans="1:6" outlineLevel="7" x14ac:dyDescent="0.25">
      <c r="A356" s="423" t="s">
        <v>74</v>
      </c>
      <c r="B356" s="615" t="s">
        <v>455</v>
      </c>
      <c r="C356" s="615" t="s">
        <v>82</v>
      </c>
      <c r="D356" s="615" t="s">
        <v>141</v>
      </c>
      <c r="E356" s="615" t="s">
        <v>75</v>
      </c>
      <c r="F356" s="345">
        <f>'потребность 2024 проект весь'!M361+738784.72</f>
        <v>12543111.26</v>
      </c>
    </row>
    <row r="357" spans="1:6" ht="60.45" customHeight="1" outlineLevel="7" x14ac:dyDescent="0.25">
      <c r="A357" s="423" t="s">
        <v>953</v>
      </c>
      <c r="B357" s="615" t="s">
        <v>455</v>
      </c>
      <c r="C357" s="615" t="s">
        <v>82</v>
      </c>
      <c r="D357" s="615" t="s">
        <v>286</v>
      </c>
      <c r="E357" s="617" t="s">
        <v>6</v>
      </c>
      <c r="F357" s="345">
        <f>F358</f>
        <v>168005</v>
      </c>
    </row>
    <row r="358" spans="1:6" ht="34" outlineLevel="7" x14ac:dyDescent="0.25">
      <c r="A358" s="189" t="s">
        <v>37</v>
      </c>
      <c r="B358" s="615" t="s">
        <v>455</v>
      </c>
      <c r="C358" s="615" t="s">
        <v>82</v>
      </c>
      <c r="D358" s="615" t="s">
        <v>286</v>
      </c>
      <c r="E358" s="617" t="s">
        <v>38</v>
      </c>
      <c r="F358" s="345">
        <f>F359</f>
        <v>168005</v>
      </c>
    </row>
    <row r="359" spans="1:6" outlineLevel="7" x14ac:dyDescent="0.25">
      <c r="A359" s="189" t="s">
        <v>74</v>
      </c>
      <c r="B359" s="615" t="s">
        <v>455</v>
      </c>
      <c r="C359" s="615" t="s">
        <v>82</v>
      </c>
      <c r="D359" s="615" t="s">
        <v>286</v>
      </c>
      <c r="E359" s="617" t="s">
        <v>75</v>
      </c>
      <c r="F359" s="345">
        <f>'потребность 2024 проект весь'!M364</f>
        <v>168005</v>
      </c>
    </row>
    <row r="360" spans="1:6" ht="50.95" outlineLevel="7" x14ac:dyDescent="0.25">
      <c r="A360" s="189" t="s">
        <v>296</v>
      </c>
      <c r="B360" s="615" t="s">
        <v>455</v>
      </c>
      <c r="C360" s="615" t="s">
        <v>82</v>
      </c>
      <c r="D360" s="615" t="s">
        <v>297</v>
      </c>
      <c r="E360" s="617" t="s">
        <v>6</v>
      </c>
      <c r="F360" s="345">
        <f>F361</f>
        <v>1697.02</v>
      </c>
    </row>
    <row r="361" spans="1:6" ht="34" outlineLevel="7" x14ac:dyDescent="0.25">
      <c r="A361" s="189" t="s">
        <v>37</v>
      </c>
      <c r="B361" s="615" t="s">
        <v>455</v>
      </c>
      <c r="C361" s="615" t="s">
        <v>82</v>
      </c>
      <c r="D361" s="615" t="s">
        <v>297</v>
      </c>
      <c r="E361" s="617" t="s">
        <v>38</v>
      </c>
      <c r="F361" s="345">
        <f>F362</f>
        <v>1697.02</v>
      </c>
    </row>
    <row r="362" spans="1:6" outlineLevel="7" x14ac:dyDescent="0.25">
      <c r="A362" s="189" t="s">
        <v>74</v>
      </c>
      <c r="B362" s="615" t="s">
        <v>455</v>
      </c>
      <c r="C362" s="615" t="s">
        <v>82</v>
      </c>
      <c r="D362" s="615" t="s">
        <v>297</v>
      </c>
      <c r="E362" s="617" t="s">
        <v>75</v>
      </c>
      <c r="F362" s="345">
        <f>'потребность 2024 проект весь'!M367</f>
        <v>1697.02</v>
      </c>
    </row>
    <row r="363" spans="1:6" ht="36.700000000000003" outlineLevel="7" x14ac:dyDescent="0.25">
      <c r="A363" s="423" t="s">
        <v>612</v>
      </c>
      <c r="B363" s="615" t="s">
        <v>455</v>
      </c>
      <c r="C363" s="615" t="s">
        <v>82</v>
      </c>
      <c r="D363" s="615" t="s">
        <v>611</v>
      </c>
      <c r="E363" s="615" t="s">
        <v>6</v>
      </c>
      <c r="F363" s="402">
        <f>F364</f>
        <v>26266116.849999998</v>
      </c>
    </row>
    <row r="364" spans="1:6" ht="36.700000000000003" customHeight="1" outlineLevel="3" x14ac:dyDescent="0.25">
      <c r="A364" s="423" t="s">
        <v>1009</v>
      </c>
      <c r="B364" s="615" t="s">
        <v>455</v>
      </c>
      <c r="C364" s="615" t="s">
        <v>82</v>
      </c>
      <c r="D364" s="615" t="s">
        <v>610</v>
      </c>
      <c r="E364" s="615" t="s">
        <v>6</v>
      </c>
      <c r="F364" s="402">
        <f>F365</f>
        <v>26266116.849999998</v>
      </c>
    </row>
    <row r="365" spans="1:6" ht="36.700000000000003" outlineLevel="3" x14ac:dyDescent="0.25">
      <c r="A365" s="423" t="s">
        <v>37</v>
      </c>
      <c r="B365" s="615" t="s">
        <v>455</v>
      </c>
      <c r="C365" s="615" t="s">
        <v>82</v>
      </c>
      <c r="D365" s="615" t="s">
        <v>610</v>
      </c>
      <c r="E365" s="615" t="s">
        <v>38</v>
      </c>
      <c r="F365" s="402">
        <f>F366</f>
        <v>26266116.849999998</v>
      </c>
    </row>
    <row r="366" spans="1:6" ht="21.25" customHeight="1" outlineLevel="3" x14ac:dyDescent="0.25">
      <c r="A366" s="423" t="s">
        <v>74</v>
      </c>
      <c r="B366" s="615" t="s">
        <v>455</v>
      </c>
      <c r="C366" s="615" t="s">
        <v>82</v>
      </c>
      <c r="D366" s="615" t="s">
        <v>610</v>
      </c>
      <c r="E366" s="615" t="s">
        <v>75</v>
      </c>
      <c r="F366" s="345">
        <f>'потребность 2024 проект весь'!M371</f>
        <v>26266116.849999998</v>
      </c>
    </row>
    <row r="367" spans="1:6" ht="27" customHeight="1" outlineLevel="7" x14ac:dyDescent="0.25">
      <c r="A367" s="423" t="s">
        <v>208</v>
      </c>
      <c r="B367" s="615" t="s">
        <v>455</v>
      </c>
      <c r="C367" s="615" t="s">
        <v>82</v>
      </c>
      <c r="D367" s="615" t="s">
        <v>226</v>
      </c>
      <c r="E367" s="615" t="s">
        <v>6</v>
      </c>
      <c r="F367" s="345">
        <f>F368+F371+F374+F377</f>
        <v>632500</v>
      </c>
    </row>
    <row r="368" spans="1:6" outlineLevel="7" x14ac:dyDescent="0.25">
      <c r="A368" s="423" t="s">
        <v>83</v>
      </c>
      <c r="B368" s="615" t="s">
        <v>455</v>
      </c>
      <c r="C368" s="615" t="s">
        <v>82</v>
      </c>
      <c r="D368" s="615" t="s">
        <v>140</v>
      </c>
      <c r="E368" s="615" t="s">
        <v>6</v>
      </c>
      <c r="F368" s="402">
        <f>F369</f>
        <v>632500</v>
      </c>
    </row>
    <row r="369" spans="1:8" s="76" customFormat="1" ht="36.700000000000003" outlineLevel="1" x14ac:dyDescent="0.25">
      <c r="A369" s="423" t="s">
        <v>37</v>
      </c>
      <c r="B369" s="615" t="s">
        <v>455</v>
      </c>
      <c r="C369" s="615" t="s">
        <v>82</v>
      </c>
      <c r="D369" s="615" t="s">
        <v>140</v>
      </c>
      <c r="E369" s="615" t="s">
        <v>38</v>
      </c>
      <c r="F369" s="402">
        <f>F370</f>
        <v>632500</v>
      </c>
      <c r="G369" s="75"/>
      <c r="H369" s="75"/>
    </row>
    <row r="370" spans="1:8" outlineLevel="2" x14ac:dyDescent="0.25">
      <c r="A370" s="423" t="s">
        <v>74</v>
      </c>
      <c r="B370" s="615" t="s">
        <v>455</v>
      </c>
      <c r="C370" s="615" t="s">
        <v>82</v>
      </c>
      <c r="D370" s="615" t="s">
        <v>140</v>
      </c>
      <c r="E370" s="615" t="s">
        <v>75</v>
      </c>
      <c r="F370" s="402">
        <f>'потребность 2024 проект весь'!M375</f>
        <v>632500</v>
      </c>
    </row>
    <row r="371" spans="1:8" ht="73.400000000000006" hidden="1" outlineLevel="4" x14ac:dyDescent="0.25">
      <c r="A371" s="423" t="s">
        <v>1048</v>
      </c>
      <c r="B371" s="615" t="s">
        <v>455</v>
      </c>
      <c r="C371" s="615" t="s">
        <v>82</v>
      </c>
      <c r="D371" s="615" t="s">
        <v>823</v>
      </c>
      <c r="E371" s="615" t="s">
        <v>6</v>
      </c>
      <c r="F371" s="402">
        <f>F372</f>
        <v>0</v>
      </c>
    </row>
    <row r="372" spans="1:8" ht="36.700000000000003" hidden="1" outlineLevel="4" x14ac:dyDescent="0.25">
      <c r="A372" s="423" t="s">
        <v>37</v>
      </c>
      <c r="B372" s="615" t="s">
        <v>455</v>
      </c>
      <c r="C372" s="615" t="s">
        <v>82</v>
      </c>
      <c r="D372" s="615" t="s">
        <v>823</v>
      </c>
      <c r="E372" s="615" t="s">
        <v>38</v>
      </c>
      <c r="F372" s="402">
        <f>F373</f>
        <v>0</v>
      </c>
    </row>
    <row r="373" spans="1:8" hidden="1" outlineLevel="4" x14ac:dyDescent="0.25">
      <c r="A373" s="423" t="s">
        <v>74</v>
      </c>
      <c r="B373" s="615" t="s">
        <v>455</v>
      </c>
      <c r="C373" s="615" t="s">
        <v>82</v>
      </c>
      <c r="D373" s="615" t="s">
        <v>823</v>
      </c>
      <c r="E373" s="615" t="s">
        <v>75</v>
      </c>
      <c r="F373" s="402">
        <v>0</v>
      </c>
    </row>
    <row r="374" spans="1:8" ht="27.2" hidden="1" customHeight="1" outlineLevel="4" x14ac:dyDescent="0.25">
      <c r="A374" s="315" t="s">
        <v>1118</v>
      </c>
      <c r="B374" s="618" t="s">
        <v>455</v>
      </c>
      <c r="C374" s="618" t="s">
        <v>82</v>
      </c>
      <c r="D374" s="639" t="s">
        <v>1119</v>
      </c>
      <c r="E374" s="618" t="s">
        <v>6</v>
      </c>
      <c r="F374" s="402">
        <f>F375</f>
        <v>0</v>
      </c>
    </row>
    <row r="375" spans="1:8" ht="34" hidden="1" outlineLevel="4" x14ac:dyDescent="0.25">
      <c r="A375" s="189" t="s">
        <v>258</v>
      </c>
      <c r="B375" s="618" t="s">
        <v>455</v>
      </c>
      <c r="C375" s="618" t="s">
        <v>82</v>
      </c>
      <c r="D375" s="638" t="s">
        <v>1119</v>
      </c>
      <c r="E375" s="618" t="s">
        <v>259</v>
      </c>
      <c r="F375" s="402">
        <f>F376</f>
        <v>0</v>
      </c>
    </row>
    <row r="376" spans="1:8" hidden="1" outlineLevel="4" x14ac:dyDescent="0.25">
      <c r="A376" s="189" t="s">
        <v>260</v>
      </c>
      <c r="B376" s="618" t="s">
        <v>455</v>
      </c>
      <c r="C376" s="618" t="s">
        <v>82</v>
      </c>
      <c r="D376" s="638" t="s">
        <v>1119</v>
      </c>
      <c r="E376" s="618" t="s">
        <v>261</v>
      </c>
      <c r="F376" s="402">
        <v>0</v>
      </c>
    </row>
    <row r="377" spans="1:8" ht="55.7" hidden="1" customHeight="1" outlineLevel="4" x14ac:dyDescent="0.25">
      <c r="A377" s="235" t="s">
        <v>1121</v>
      </c>
      <c r="B377" s="618" t="s">
        <v>455</v>
      </c>
      <c r="C377" s="618" t="s">
        <v>82</v>
      </c>
      <c r="D377" s="638" t="s">
        <v>1120</v>
      </c>
      <c r="E377" s="618" t="s">
        <v>6</v>
      </c>
      <c r="F377" s="402">
        <f>F378</f>
        <v>0</v>
      </c>
    </row>
    <row r="378" spans="1:8" ht="34" hidden="1" outlineLevel="4" x14ac:dyDescent="0.25">
      <c r="A378" s="189" t="s">
        <v>258</v>
      </c>
      <c r="B378" s="618" t="s">
        <v>455</v>
      </c>
      <c r="C378" s="618" t="s">
        <v>82</v>
      </c>
      <c r="D378" s="638" t="s">
        <v>1120</v>
      </c>
      <c r="E378" s="618" t="s">
        <v>259</v>
      </c>
      <c r="F378" s="402">
        <f>F379</f>
        <v>0</v>
      </c>
    </row>
    <row r="379" spans="1:8" hidden="1" outlineLevel="4" x14ac:dyDescent="0.25">
      <c r="A379" s="189" t="s">
        <v>260</v>
      </c>
      <c r="B379" s="618" t="s">
        <v>455</v>
      </c>
      <c r="C379" s="618" t="s">
        <v>82</v>
      </c>
      <c r="D379" s="639" t="s">
        <v>1120</v>
      </c>
      <c r="E379" s="618" t="s">
        <v>261</v>
      </c>
      <c r="F379" s="402">
        <v>0</v>
      </c>
    </row>
    <row r="380" spans="1:8" outlineLevel="7" x14ac:dyDescent="0.25">
      <c r="A380" s="45" t="s">
        <v>85</v>
      </c>
      <c r="B380" s="616" t="s">
        <v>455</v>
      </c>
      <c r="C380" s="616" t="s">
        <v>86</v>
      </c>
      <c r="D380" s="616" t="s">
        <v>126</v>
      </c>
      <c r="E380" s="616" t="s">
        <v>6</v>
      </c>
      <c r="F380" s="347">
        <f>F381+F386+F404+F416</f>
        <v>49665939.669999994</v>
      </c>
    </row>
    <row r="381" spans="1:8" outlineLevel="7" x14ac:dyDescent="0.25">
      <c r="A381" s="423" t="s">
        <v>87</v>
      </c>
      <c r="B381" s="615" t="s">
        <v>455</v>
      </c>
      <c r="C381" s="615" t="s">
        <v>88</v>
      </c>
      <c r="D381" s="615" t="s">
        <v>126</v>
      </c>
      <c r="E381" s="615" t="s">
        <v>6</v>
      </c>
      <c r="F381" s="402">
        <f>F382</f>
        <v>6906246.1199999992</v>
      </c>
    </row>
    <row r="382" spans="1:8" ht="36.700000000000003" outlineLevel="7" x14ac:dyDescent="0.25">
      <c r="A382" s="45" t="s">
        <v>132</v>
      </c>
      <c r="B382" s="616" t="s">
        <v>455</v>
      </c>
      <c r="C382" s="616" t="s">
        <v>88</v>
      </c>
      <c r="D382" s="616" t="s">
        <v>127</v>
      </c>
      <c r="E382" s="616" t="s">
        <v>6</v>
      </c>
      <c r="F382" s="347">
        <f>F383</f>
        <v>6906246.1199999992</v>
      </c>
    </row>
    <row r="383" spans="1:8" s="76" customFormat="1" ht="26.5" customHeight="1" outlineLevel="7" x14ac:dyDescent="0.25">
      <c r="A383" s="423" t="s">
        <v>89</v>
      </c>
      <c r="B383" s="615" t="s">
        <v>455</v>
      </c>
      <c r="C383" s="615" t="s">
        <v>88</v>
      </c>
      <c r="D383" s="615" t="s">
        <v>142</v>
      </c>
      <c r="E383" s="615" t="s">
        <v>6</v>
      </c>
      <c r="F383" s="402">
        <f>F384</f>
        <v>6906246.1199999992</v>
      </c>
      <c r="G383" s="75"/>
      <c r="H383" s="75"/>
    </row>
    <row r="384" spans="1:8" ht="25.5" customHeight="1" outlineLevel="7" x14ac:dyDescent="0.25">
      <c r="A384" s="423" t="s">
        <v>90</v>
      </c>
      <c r="B384" s="615" t="s">
        <v>455</v>
      </c>
      <c r="C384" s="615" t="s">
        <v>88</v>
      </c>
      <c r="D384" s="615" t="s">
        <v>142</v>
      </c>
      <c r="E384" s="615" t="s">
        <v>91</v>
      </c>
      <c r="F384" s="402">
        <f>F385</f>
        <v>6906246.1199999992</v>
      </c>
    </row>
    <row r="385" spans="1:6" outlineLevel="7" x14ac:dyDescent="0.25">
      <c r="A385" s="423" t="s">
        <v>92</v>
      </c>
      <c r="B385" s="615" t="s">
        <v>455</v>
      </c>
      <c r="C385" s="615" t="s">
        <v>88</v>
      </c>
      <c r="D385" s="615" t="s">
        <v>142</v>
      </c>
      <c r="E385" s="615" t="s">
        <v>93</v>
      </c>
      <c r="F385" s="345">
        <f>'потребность 2024 проект весь'!M390+748912.1</f>
        <v>6906246.1199999992</v>
      </c>
    </row>
    <row r="386" spans="1:6" outlineLevel="7" x14ac:dyDescent="0.25">
      <c r="A386" s="423" t="s">
        <v>94</v>
      </c>
      <c r="B386" s="615" t="s">
        <v>455</v>
      </c>
      <c r="C386" s="615" t="s">
        <v>95</v>
      </c>
      <c r="D386" s="615" t="s">
        <v>126</v>
      </c>
      <c r="E386" s="615" t="s">
        <v>6</v>
      </c>
      <c r="F386" s="402">
        <f>F387+F397+F392</f>
        <v>1122101.6099999999</v>
      </c>
    </row>
    <row r="387" spans="1:6" ht="55.05" outlineLevel="7" x14ac:dyDescent="0.25">
      <c r="A387" s="45" t="s">
        <v>1165</v>
      </c>
      <c r="B387" s="615" t="s">
        <v>455</v>
      </c>
      <c r="C387" s="616" t="s">
        <v>95</v>
      </c>
      <c r="D387" s="616" t="s">
        <v>129</v>
      </c>
      <c r="E387" s="616" t="s">
        <v>6</v>
      </c>
      <c r="F387" s="347">
        <f>F388</f>
        <v>150000</v>
      </c>
    </row>
    <row r="388" spans="1:6" ht="36.700000000000003" outlineLevel="7" x14ac:dyDescent="0.25">
      <c r="A388" s="423" t="s">
        <v>355</v>
      </c>
      <c r="B388" s="615" t="s">
        <v>455</v>
      </c>
      <c r="C388" s="615" t="s">
        <v>95</v>
      </c>
      <c r="D388" s="615" t="s">
        <v>404</v>
      </c>
      <c r="E388" s="615" t="s">
        <v>6</v>
      </c>
      <c r="F388" s="402">
        <f>F389</f>
        <v>150000</v>
      </c>
    </row>
    <row r="389" spans="1:6" ht="36.700000000000003" outlineLevel="7" x14ac:dyDescent="0.25">
      <c r="A389" s="423" t="s">
        <v>99</v>
      </c>
      <c r="B389" s="615" t="s">
        <v>455</v>
      </c>
      <c r="C389" s="615" t="s">
        <v>95</v>
      </c>
      <c r="D389" s="615" t="s">
        <v>388</v>
      </c>
      <c r="E389" s="615" t="s">
        <v>6</v>
      </c>
      <c r="F389" s="402">
        <f>F390</f>
        <v>150000</v>
      </c>
    </row>
    <row r="390" spans="1:6" outlineLevel="7" x14ac:dyDescent="0.25">
      <c r="A390" s="423" t="s">
        <v>90</v>
      </c>
      <c r="B390" s="615" t="s">
        <v>455</v>
      </c>
      <c r="C390" s="615" t="s">
        <v>95</v>
      </c>
      <c r="D390" s="615" t="s">
        <v>388</v>
      </c>
      <c r="E390" s="615" t="s">
        <v>91</v>
      </c>
      <c r="F390" s="402">
        <f>F391</f>
        <v>150000</v>
      </c>
    </row>
    <row r="391" spans="1:6" ht="36.700000000000003" outlineLevel="7" x14ac:dyDescent="0.25">
      <c r="A391" s="423" t="s">
        <v>97</v>
      </c>
      <c r="B391" s="615" t="s">
        <v>455</v>
      </c>
      <c r="C391" s="615" t="s">
        <v>95</v>
      </c>
      <c r="D391" s="615" t="s">
        <v>388</v>
      </c>
      <c r="E391" s="615" t="s">
        <v>98</v>
      </c>
      <c r="F391" s="345">
        <f>'потребность 2024 проект весь'!M396</f>
        <v>150000</v>
      </c>
    </row>
    <row r="392" spans="1:6" ht="36.700000000000003" outlineLevel="1" x14ac:dyDescent="0.25">
      <c r="A392" s="45" t="s">
        <v>1166</v>
      </c>
      <c r="B392" s="615" t="s">
        <v>455</v>
      </c>
      <c r="C392" s="616" t="s">
        <v>95</v>
      </c>
      <c r="D392" s="616" t="s">
        <v>356</v>
      </c>
      <c r="E392" s="616" t="s">
        <v>6</v>
      </c>
      <c r="F392" s="346">
        <f>F393</f>
        <v>872101.61</v>
      </c>
    </row>
    <row r="393" spans="1:6" ht="44.5" customHeight="1" outlineLevel="1" x14ac:dyDescent="0.25">
      <c r="A393" s="423" t="s">
        <v>373</v>
      </c>
      <c r="B393" s="615" t="s">
        <v>455</v>
      </c>
      <c r="C393" s="615" t="s">
        <v>95</v>
      </c>
      <c r="D393" s="615" t="s">
        <v>357</v>
      </c>
      <c r="E393" s="615" t="s">
        <v>6</v>
      </c>
      <c r="F393" s="345">
        <f>F394</f>
        <v>872101.61</v>
      </c>
    </row>
    <row r="394" spans="1:6" ht="35.5" customHeight="1" outlineLevel="1" x14ac:dyDescent="0.25">
      <c r="A394" s="423" t="s">
        <v>847</v>
      </c>
      <c r="B394" s="615" t="s">
        <v>455</v>
      </c>
      <c r="C394" s="615" t="s">
        <v>95</v>
      </c>
      <c r="D394" s="615" t="s">
        <v>358</v>
      </c>
      <c r="E394" s="615" t="s">
        <v>6</v>
      </c>
      <c r="F394" s="402">
        <f>F395</f>
        <v>872101.61</v>
      </c>
    </row>
    <row r="395" spans="1:6" outlineLevel="1" x14ac:dyDescent="0.25">
      <c r="A395" s="423" t="s">
        <v>90</v>
      </c>
      <c r="B395" s="615" t="s">
        <v>455</v>
      </c>
      <c r="C395" s="615" t="s">
        <v>95</v>
      </c>
      <c r="D395" s="615" t="s">
        <v>358</v>
      </c>
      <c r="E395" s="615" t="s">
        <v>91</v>
      </c>
      <c r="F395" s="345">
        <f>F396</f>
        <v>872101.61</v>
      </c>
    </row>
    <row r="396" spans="1:6" ht="36.700000000000003" outlineLevel="1" x14ac:dyDescent="0.25">
      <c r="A396" s="423" t="s">
        <v>97</v>
      </c>
      <c r="B396" s="615" t="s">
        <v>455</v>
      </c>
      <c r="C396" s="615" t="s">
        <v>95</v>
      </c>
      <c r="D396" s="615" t="s">
        <v>358</v>
      </c>
      <c r="E396" s="615" t="s">
        <v>98</v>
      </c>
      <c r="F396" s="402">
        <f>'потребность 2024 проект весь'!M401</f>
        <v>872101.61</v>
      </c>
    </row>
    <row r="397" spans="1:6" ht="36.700000000000003" outlineLevel="1" x14ac:dyDescent="0.25">
      <c r="A397" s="45" t="s">
        <v>132</v>
      </c>
      <c r="B397" s="616" t="s">
        <v>455</v>
      </c>
      <c r="C397" s="616" t="s">
        <v>95</v>
      </c>
      <c r="D397" s="616" t="s">
        <v>127</v>
      </c>
      <c r="E397" s="616" t="s">
        <v>6</v>
      </c>
      <c r="F397" s="346">
        <f>F398+F401</f>
        <v>100000</v>
      </c>
    </row>
    <row r="398" spans="1:6" ht="36.700000000000003" outlineLevel="1" x14ac:dyDescent="0.25">
      <c r="A398" s="423" t="s">
        <v>883</v>
      </c>
      <c r="B398" s="615" t="s">
        <v>455</v>
      </c>
      <c r="C398" s="615" t="s">
        <v>95</v>
      </c>
      <c r="D398" s="615" t="s">
        <v>493</v>
      </c>
      <c r="E398" s="615" t="s">
        <v>6</v>
      </c>
      <c r="F398" s="345">
        <f>F399</f>
        <v>100000</v>
      </c>
    </row>
    <row r="399" spans="1:6" outlineLevel="1" x14ac:dyDescent="0.25">
      <c r="A399" s="423" t="s">
        <v>90</v>
      </c>
      <c r="B399" s="615" t="s">
        <v>455</v>
      </c>
      <c r="C399" s="615" t="s">
        <v>95</v>
      </c>
      <c r="D399" s="615" t="s">
        <v>493</v>
      </c>
      <c r="E399" s="615" t="s">
        <v>91</v>
      </c>
      <c r="F399" s="345">
        <f>F400</f>
        <v>100000</v>
      </c>
    </row>
    <row r="400" spans="1:6" ht="20.25" customHeight="1" outlineLevel="1" x14ac:dyDescent="0.25">
      <c r="A400" s="423" t="s">
        <v>298</v>
      </c>
      <c r="B400" s="615" t="s">
        <v>455</v>
      </c>
      <c r="C400" s="615" t="s">
        <v>95</v>
      </c>
      <c r="D400" s="615" t="s">
        <v>493</v>
      </c>
      <c r="E400" s="615" t="s">
        <v>299</v>
      </c>
      <c r="F400" s="402">
        <f>'потребность 2024 проект весь'!M405</f>
        <v>100000</v>
      </c>
    </row>
    <row r="401" spans="1:8" ht="109.4" hidden="1" customHeight="1" outlineLevel="1" x14ac:dyDescent="0.25">
      <c r="A401" s="389" t="s">
        <v>808</v>
      </c>
      <c r="B401" s="615" t="s">
        <v>455</v>
      </c>
      <c r="C401" s="615" t="s">
        <v>95</v>
      </c>
      <c r="D401" s="615" t="s">
        <v>809</v>
      </c>
      <c r="E401" s="615" t="s">
        <v>6</v>
      </c>
      <c r="F401" s="402">
        <f>F402</f>
        <v>0</v>
      </c>
    </row>
    <row r="402" spans="1:8" ht="20.25" hidden="1" customHeight="1" outlineLevel="1" x14ac:dyDescent="0.25">
      <c r="A402" s="423" t="s">
        <v>90</v>
      </c>
      <c r="B402" s="615" t="s">
        <v>455</v>
      </c>
      <c r="C402" s="615" t="s">
        <v>95</v>
      </c>
      <c r="D402" s="615" t="s">
        <v>809</v>
      </c>
      <c r="E402" s="615" t="s">
        <v>91</v>
      </c>
      <c r="F402" s="402">
        <f>F403</f>
        <v>0</v>
      </c>
    </row>
    <row r="403" spans="1:8" ht="20.25" hidden="1" customHeight="1" outlineLevel="1" x14ac:dyDescent="0.25">
      <c r="A403" s="423" t="s">
        <v>298</v>
      </c>
      <c r="B403" s="615" t="s">
        <v>455</v>
      </c>
      <c r="C403" s="615" t="s">
        <v>95</v>
      </c>
      <c r="D403" s="615" t="s">
        <v>809</v>
      </c>
      <c r="E403" s="615" t="s">
        <v>299</v>
      </c>
      <c r="F403" s="402">
        <v>0</v>
      </c>
    </row>
    <row r="404" spans="1:8" outlineLevel="1" x14ac:dyDescent="0.25">
      <c r="A404" s="423" t="s">
        <v>123</v>
      </c>
      <c r="B404" s="615" t="s">
        <v>455</v>
      </c>
      <c r="C404" s="615" t="s">
        <v>124</v>
      </c>
      <c r="D404" s="615" t="s">
        <v>126</v>
      </c>
      <c r="E404" s="615" t="s">
        <v>6</v>
      </c>
      <c r="F404" s="345">
        <f>F405</f>
        <v>41523591.939999998</v>
      </c>
    </row>
    <row r="405" spans="1:8" ht="36.700000000000003" outlineLevel="1" x14ac:dyDescent="0.25">
      <c r="A405" s="45" t="s">
        <v>132</v>
      </c>
      <c r="B405" s="616" t="s">
        <v>455</v>
      </c>
      <c r="C405" s="616" t="s">
        <v>124</v>
      </c>
      <c r="D405" s="616" t="s">
        <v>127</v>
      </c>
      <c r="E405" s="616" t="s">
        <v>6</v>
      </c>
      <c r="F405" s="346">
        <f>F406</f>
        <v>41523591.939999998</v>
      </c>
    </row>
    <row r="406" spans="1:8" outlineLevel="1" x14ac:dyDescent="0.25">
      <c r="A406" s="423" t="s">
        <v>269</v>
      </c>
      <c r="B406" s="615" t="s">
        <v>455</v>
      </c>
      <c r="C406" s="615" t="s">
        <v>124</v>
      </c>
      <c r="D406" s="615" t="s">
        <v>268</v>
      </c>
      <c r="E406" s="615" t="s">
        <v>6</v>
      </c>
      <c r="F406" s="345">
        <f>F413+F407</f>
        <v>41523591.939999998</v>
      </c>
    </row>
    <row r="407" spans="1:8" s="76" customFormat="1" ht="55.05" outlineLevel="1" x14ac:dyDescent="0.3">
      <c r="A407" s="11" t="s">
        <v>934</v>
      </c>
      <c r="B407" s="615" t="s">
        <v>455</v>
      </c>
      <c r="C407" s="615" t="s">
        <v>124</v>
      </c>
      <c r="D407" s="615" t="s">
        <v>399</v>
      </c>
      <c r="E407" s="615" t="s">
        <v>6</v>
      </c>
      <c r="F407" s="402">
        <f>F408+F410</f>
        <v>16624054.49</v>
      </c>
      <c r="G407" s="75"/>
      <c r="H407" s="75"/>
    </row>
    <row r="408" spans="1:8" ht="36.700000000000003" outlineLevel="1" x14ac:dyDescent="0.25">
      <c r="A408" s="423" t="s">
        <v>15</v>
      </c>
      <c r="B408" s="615" t="s">
        <v>455</v>
      </c>
      <c r="C408" s="615" t="s">
        <v>124</v>
      </c>
      <c r="D408" s="615" t="s">
        <v>399</v>
      </c>
      <c r="E408" s="615" t="s">
        <v>16</v>
      </c>
      <c r="F408" s="402">
        <f>F409</f>
        <v>130000</v>
      </c>
    </row>
    <row r="409" spans="1:8" s="76" customFormat="1" ht="37.549999999999997" customHeight="1" outlineLevel="1" x14ac:dyDescent="0.25">
      <c r="A409" s="423" t="s">
        <v>17</v>
      </c>
      <c r="B409" s="615" t="s">
        <v>455</v>
      </c>
      <c r="C409" s="615" t="s">
        <v>124</v>
      </c>
      <c r="D409" s="615" t="s">
        <v>399</v>
      </c>
      <c r="E409" s="615" t="s">
        <v>18</v>
      </c>
      <c r="F409" s="402">
        <f>'потребность 2024 проект весь'!M414</f>
        <v>130000</v>
      </c>
      <c r="G409" s="75"/>
      <c r="H409" s="75"/>
    </row>
    <row r="410" spans="1:8" outlineLevel="1" x14ac:dyDescent="0.25">
      <c r="A410" s="423" t="s">
        <v>90</v>
      </c>
      <c r="B410" s="615" t="s">
        <v>455</v>
      </c>
      <c r="C410" s="615" t="s">
        <v>124</v>
      </c>
      <c r="D410" s="615" t="s">
        <v>399</v>
      </c>
      <c r="E410" s="615" t="s">
        <v>91</v>
      </c>
      <c r="F410" s="402">
        <f>F411+F412</f>
        <v>16494054.49</v>
      </c>
    </row>
    <row r="411" spans="1:8" ht="23.1" customHeight="1" outlineLevel="1" x14ac:dyDescent="0.25">
      <c r="A411" s="423" t="s">
        <v>92</v>
      </c>
      <c r="B411" s="615" t="s">
        <v>455</v>
      </c>
      <c r="C411" s="615" t="s">
        <v>124</v>
      </c>
      <c r="D411" s="615" t="s">
        <v>399</v>
      </c>
      <c r="E411" s="615" t="s">
        <v>93</v>
      </c>
      <c r="F411" s="402">
        <f>'потребность 2024 проект весь'!M416</f>
        <v>14494054.49</v>
      </c>
    </row>
    <row r="412" spans="1:8" ht="47.25" customHeight="1" outlineLevel="1" x14ac:dyDescent="0.25">
      <c r="A412" s="423" t="s">
        <v>97</v>
      </c>
      <c r="B412" s="615" t="s">
        <v>455</v>
      </c>
      <c r="C412" s="615" t="s">
        <v>124</v>
      </c>
      <c r="D412" s="615" t="s">
        <v>399</v>
      </c>
      <c r="E412" s="615" t="s">
        <v>98</v>
      </c>
      <c r="F412" s="402">
        <f>'потребность 2024 проект весь'!M417</f>
        <v>2000000</v>
      </c>
    </row>
    <row r="413" spans="1:8" ht="99" customHeight="1" outlineLevel="1" x14ac:dyDescent="0.25">
      <c r="A413" s="44" t="s">
        <v>959</v>
      </c>
      <c r="B413" s="615" t="s">
        <v>455</v>
      </c>
      <c r="C413" s="615" t="s">
        <v>124</v>
      </c>
      <c r="D413" s="615" t="s">
        <v>1114</v>
      </c>
      <c r="E413" s="615" t="s">
        <v>6</v>
      </c>
      <c r="F413" s="345">
        <f>F414</f>
        <v>24899537.449999999</v>
      </c>
    </row>
    <row r="414" spans="1:8" ht="36.700000000000003" outlineLevel="1" x14ac:dyDescent="0.25">
      <c r="A414" s="423" t="s">
        <v>258</v>
      </c>
      <c r="B414" s="615" t="s">
        <v>455</v>
      </c>
      <c r="C414" s="615" t="s">
        <v>124</v>
      </c>
      <c r="D414" s="615" t="s">
        <v>1114</v>
      </c>
      <c r="E414" s="615" t="s">
        <v>259</v>
      </c>
      <c r="F414" s="345">
        <f>F415</f>
        <v>24899537.449999999</v>
      </c>
    </row>
    <row r="415" spans="1:8" outlineLevel="1" x14ac:dyDescent="0.25">
      <c r="A415" s="423" t="s">
        <v>260</v>
      </c>
      <c r="B415" s="615" t="s">
        <v>455</v>
      </c>
      <c r="C415" s="615" t="s">
        <v>124</v>
      </c>
      <c r="D415" s="615" t="s">
        <v>1114</v>
      </c>
      <c r="E415" s="615" t="s">
        <v>261</v>
      </c>
      <c r="F415" s="402">
        <f>'потребность 2024 проект весь'!M423</f>
        <v>24899537.449999999</v>
      </c>
    </row>
    <row r="416" spans="1:8" outlineLevel="1" x14ac:dyDescent="0.25">
      <c r="A416" s="423" t="s">
        <v>1052</v>
      </c>
      <c r="B416" s="615" t="s">
        <v>455</v>
      </c>
      <c r="C416" s="615" t="s">
        <v>1053</v>
      </c>
      <c r="D416" s="615" t="s">
        <v>126</v>
      </c>
      <c r="E416" s="615" t="s">
        <v>6</v>
      </c>
      <c r="F416" s="402">
        <f>F417</f>
        <v>114000</v>
      </c>
    </row>
    <row r="417" spans="1:6" ht="36.700000000000003" outlineLevel="1" x14ac:dyDescent="0.25">
      <c r="A417" s="45" t="s">
        <v>1164</v>
      </c>
      <c r="B417" s="615" t="s">
        <v>455</v>
      </c>
      <c r="C417" s="615" t="s">
        <v>1053</v>
      </c>
      <c r="D417" s="615" t="s">
        <v>136</v>
      </c>
      <c r="E417" s="615" t="s">
        <v>6</v>
      </c>
      <c r="F417" s="402">
        <f>F418</f>
        <v>114000</v>
      </c>
    </row>
    <row r="418" spans="1:6" outlineLevel="1" x14ac:dyDescent="0.25">
      <c r="A418" s="423" t="s">
        <v>208</v>
      </c>
      <c r="B418" s="615" t="s">
        <v>455</v>
      </c>
      <c r="C418" s="615" t="s">
        <v>1053</v>
      </c>
      <c r="D418" s="615" t="s">
        <v>226</v>
      </c>
      <c r="E418" s="615" t="s">
        <v>6</v>
      </c>
      <c r="F418" s="402">
        <f>F422+F425+F419</f>
        <v>114000</v>
      </c>
    </row>
    <row r="419" spans="1:6" ht="135.19999999999999" hidden="1" customHeight="1" outlineLevel="1" x14ac:dyDescent="0.25">
      <c r="A419" s="423" t="s">
        <v>1065</v>
      </c>
      <c r="B419" s="615" t="s">
        <v>455</v>
      </c>
      <c r="C419" s="615" t="s">
        <v>1053</v>
      </c>
      <c r="D419" s="615" t="s">
        <v>1066</v>
      </c>
      <c r="E419" s="615" t="s">
        <v>6</v>
      </c>
      <c r="F419" s="402">
        <f>F420</f>
        <v>0</v>
      </c>
    </row>
    <row r="420" spans="1:6" ht="36.700000000000003" hidden="1" outlineLevel="1" x14ac:dyDescent="0.25">
      <c r="A420" s="423" t="s">
        <v>37</v>
      </c>
      <c r="B420" s="615" t="s">
        <v>455</v>
      </c>
      <c r="C420" s="615" t="s">
        <v>1053</v>
      </c>
      <c r="D420" s="615" t="s">
        <v>1066</v>
      </c>
      <c r="E420" s="615" t="s">
        <v>38</v>
      </c>
      <c r="F420" s="402">
        <f>F421</f>
        <v>0</v>
      </c>
    </row>
    <row r="421" spans="1:6" ht="55.05" hidden="1" outlineLevel="1" x14ac:dyDescent="0.25">
      <c r="A421" s="423" t="s">
        <v>1055</v>
      </c>
      <c r="B421" s="615" t="s">
        <v>455</v>
      </c>
      <c r="C421" s="615" t="s">
        <v>1053</v>
      </c>
      <c r="D421" s="615" t="s">
        <v>1066</v>
      </c>
      <c r="E421" s="615" t="s">
        <v>248</v>
      </c>
      <c r="F421" s="402"/>
    </row>
    <row r="422" spans="1:6" ht="132.44999999999999" hidden="1" customHeight="1" outlineLevel="1" x14ac:dyDescent="0.25">
      <c r="A422" s="423" t="s">
        <v>1059</v>
      </c>
      <c r="B422" s="615" t="s">
        <v>455</v>
      </c>
      <c r="C422" s="615" t="s">
        <v>1053</v>
      </c>
      <c r="D422" s="615" t="s">
        <v>1054</v>
      </c>
      <c r="E422" s="615" t="s">
        <v>6</v>
      </c>
      <c r="F422" s="402">
        <f>F423</f>
        <v>0</v>
      </c>
    </row>
    <row r="423" spans="1:6" ht="36.700000000000003" hidden="1" outlineLevel="1" x14ac:dyDescent="0.25">
      <c r="A423" s="423" t="s">
        <v>37</v>
      </c>
      <c r="B423" s="615" t="s">
        <v>455</v>
      </c>
      <c r="C423" s="615" t="s">
        <v>1053</v>
      </c>
      <c r="D423" s="615" t="s">
        <v>1054</v>
      </c>
      <c r="E423" s="615" t="s">
        <v>38</v>
      </c>
      <c r="F423" s="402">
        <f>F424</f>
        <v>0</v>
      </c>
    </row>
    <row r="424" spans="1:6" ht="59.8" hidden="1" customHeight="1" outlineLevel="1" x14ac:dyDescent="0.25">
      <c r="A424" s="423" t="s">
        <v>1055</v>
      </c>
      <c r="B424" s="615" t="s">
        <v>455</v>
      </c>
      <c r="C424" s="615" t="s">
        <v>1053</v>
      </c>
      <c r="D424" s="615" t="s">
        <v>1054</v>
      </c>
      <c r="E424" s="615" t="s">
        <v>248</v>
      </c>
      <c r="F424" s="402">
        <v>0</v>
      </c>
    </row>
    <row r="425" spans="1:6" ht="34.65" customHeight="1" outlineLevel="1" x14ac:dyDescent="0.25">
      <c r="A425" s="423" t="s">
        <v>83</v>
      </c>
      <c r="B425" s="615" t="s">
        <v>455</v>
      </c>
      <c r="C425" s="615" t="s">
        <v>1053</v>
      </c>
      <c r="D425" s="615" t="s">
        <v>140</v>
      </c>
      <c r="E425" s="615" t="s">
        <v>6</v>
      </c>
      <c r="F425" s="402">
        <f>F426</f>
        <v>114000</v>
      </c>
    </row>
    <row r="426" spans="1:6" ht="36.700000000000003" outlineLevel="1" x14ac:dyDescent="0.25">
      <c r="A426" s="423" t="s">
        <v>37</v>
      </c>
      <c r="B426" s="615" t="s">
        <v>455</v>
      </c>
      <c r="C426" s="615" t="s">
        <v>1053</v>
      </c>
      <c r="D426" s="615" t="s">
        <v>140</v>
      </c>
      <c r="E426" s="615" t="s">
        <v>38</v>
      </c>
      <c r="F426" s="402">
        <f>F427</f>
        <v>114000</v>
      </c>
    </row>
    <row r="427" spans="1:6" ht="36.700000000000003" outlineLevel="1" x14ac:dyDescent="0.25">
      <c r="A427" s="423" t="s">
        <v>354</v>
      </c>
      <c r="B427" s="615" t="s">
        <v>455</v>
      </c>
      <c r="C427" s="615" t="s">
        <v>1053</v>
      </c>
      <c r="D427" s="615" t="s">
        <v>140</v>
      </c>
      <c r="E427" s="615" t="s">
        <v>248</v>
      </c>
      <c r="F427" s="402">
        <f>'потребность 2024 проект весь'!M435</f>
        <v>114000</v>
      </c>
    </row>
    <row r="428" spans="1:6" outlineLevel="1" x14ac:dyDescent="0.25">
      <c r="A428" s="45" t="s">
        <v>100</v>
      </c>
      <c r="B428" s="616" t="s">
        <v>455</v>
      </c>
      <c r="C428" s="616" t="s">
        <v>101</v>
      </c>
      <c r="D428" s="616" t="s">
        <v>126</v>
      </c>
      <c r="E428" s="616" t="s">
        <v>6</v>
      </c>
      <c r="F428" s="346">
        <f>F429</f>
        <v>1577021.75</v>
      </c>
    </row>
    <row r="429" spans="1:6" ht="22.75" customHeight="1" outlineLevel="1" x14ac:dyDescent="0.25">
      <c r="A429" s="423" t="s">
        <v>291</v>
      </c>
      <c r="B429" s="615" t="s">
        <v>455</v>
      </c>
      <c r="C429" s="615" t="s">
        <v>290</v>
      </c>
      <c r="D429" s="615" t="s">
        <v>126</v>
      </c>
      <c r="E429" s="615" t="s">
        <v>6</v>
      </c>
      <c r="F429" s="345">
        <f>F430+F449</f>
        <v>1577021.75</v>
      </c>
    </row>
    <row r="430" spans="1:6" ht="48.75" customHeight="1" outlineLevel="1" x14ac:dyDescent="0.25">
      <c r="A430" s="45" t="s">
        <v>1167</v>
      </c>
      <c r="B430" s="616" t="s">
        <v>455</v>
      </c>
      <c r="C430" s="616" t="s">
        <v>290</v>
      </c>
      <c r="D430" s="616" t="s">
        <v>198</v>
      </c>
      <c r="E430" s="616" t="s">
        <v>6</v>
      </c>
      <c r="F430" s="346">
        <f>F431</f>
        <v>1527021.75</v>
      </c>
    </row>
    <row r="431" spans="1:6" ht="36.700000000000003" outlineLevel="1" x14ac:dyDescent="0.25">
      <c r="A431" s="423" t="s">
        <v>1015</v>
      </c>
      <c r="B431" s="615" t="s">
        <v>455</v>
      </c>
      <c r="C431" s="615" t="s">
        <v>290</v>
      </c>
      <c r="D431" s="615" t="s">
        <v>227</v>
      </c>
      <c r="E431" s="615" t="s">
        <v>6</v>
      </c>
      <c r="F431" s="345">
        <f>F432+F437+F440+F443+F446</f>
        <v>1527021.75</v>
      </c>
    </row>
    <row r="432" spans="1:6" ht="20.25" customHeight="1" outlineLevel="1" x14ac:dyDescent="0.25">
      <c r="A432" s="423" t="s">
        <v>102</v>
      </c>
      <c r="B432" s="615" t="s">
        <v>455</v>
      </c>
      <c r="C432" s="615" t="s">
        <v>290</v>
      </c>
      <c r="D432" s="615" t="s">
        <v>199</v>
      </c>
      <c r="E432" s="615" t="s">
        <v>6</v>
      </c>
      <c r="F432" s="345">
        <f>F433+F435</f>
        <v>661000</v>
      </c>
    </row>
    <row r="433" spans="1:8" ht="21.25" customHeight="1" outlineLevel="1" x14ac:dyDescent="0.25">
      <c r="A433" s="423" t="s">
        <v>15</v>
      </c>
      <c r="B433" s="615" t="s">
        <v>455</v>
      </c>
      <c r="C433" s="615" t="s">
        <v>290</v>
      </c>
      <c r="D433" s="615" t="s">
        <v>199</v>
      </c>
      <c r="E433" s="615" t="s">
        <v>16</v>
      </c>
      <c r="F433" s="345">
        <f>F434</f>
        <v>631000</v>
      </c>
    </row>
    <row r="434" spans="1:8" s="76" customFormat="1" ht="36.700000000000003" outlineLevel="1" x14ac:dyDescent="0.25">
      <c r="A434" s="423" t="s">
        <v>17</v>
      </c>
      <c r="B434" s="615" t="s">
        <v>455</v>
      </c>
      <c r="C434" s="615" t="s">
        <v>290</v>
      </c>
      <c r="D434" s="615" t="s">
        <v>199</v>
      </c>
      <c r="E434" s="615" t="s">
        <v>18</v>
      </c>
      <c r="F434" s="345">
        <f>'потребность 2024 проект весь'!M442</f>
        <v>631000</v>
      </c>
      <c r="G434" s="75"/>
      <c r="H434" s="75"/>
    </row>
    <row r="435" spans="1:8" ht="24.8" customHeight="1" outlineLevel="2" x14ac:dyDescent="0.25">
      <c r="A435" s="423" t="s">
        <v>265</v>
      </c>
      <c r="B435" s="615" t="s">
        <v>455</v>
      </c>
      <c r="C435" s="615" t="s">
        <v>290</v>
      </c>
      <c r="D435" s="615" t="s">
        <v>199</v>
      </c>
      <c r="E435" s="615" t="s">
        <v>20</v>
      </c>
      <c r="F435" s="345">
        <f>F436</f>
        <v>30000</v>
      </c>
    </row>
    <row r="436" spans="1:8" s="76" customFormat="1" ht="36.700000000000003" customHeight="1" outlineLevel="3" x14ac:dyDescent="0.25">
      <c r="A436" s="423" t="s">
        <v>266</v>
      </c>
      <c r="B436" s="615" t="s">
        <v>455</v>
      </c>
      <c r="C436" s="615" t="s">
        <v>290</v>
      </c>
      <c r="D436" s="615" t="s">
        <v>199</v>
      </c>
      <c r="E436" s="615" t="s">
        <v>22</v>
      </c>
      <c r="F436" s="345">
        <f>'потребность 2024 проект весь'!M444</f>
        <v>30000</v>
      </c>
      <c r="G436" s="75"/>
      <c r="H436" s="75"/>
    </row>
    <row r="437" spans="1:8" s="76" customFormat="1" ht="48.9" customHeight="1" outlineLevel="3" x14ac:dyDescent="0.25">
      <c r="A437" s="423" t="s">
        <v>955</v>
      </c>
      <c r="B437" s="618" t="s">
        <v>455</v>
      </c>
      <c r="C437" s="618" t="s">
        <v>290</v>
      </c>
      <c r="D437" s="618" t="s">
        <v>860</v>
      </c>
      <c r="E437" s="618" t="s">
        <v>6</v>
      </c>
      <c r="F437" s="345">
        <f>F438</f>
        <v>114861.53</v>
      </c>
      <c r="G437" s="75"/>
      <c r="H437" s="75"/>
    </row>
    <row r="438" spans="1:8" s="76" customFormat="1" ht="27.7" customHeight="1" outlineLevel="3" x14ac:dyDescent="0.25">
      <c r="A438" s="189" t="s">
        <v>15</v>
      </c>
      <c r="B438" s="618" t="s">
        <v>455</v>
      </c>
      <c r="C438" s="618" t="s">
        <v>290</v>
      </c>
      <c r="D438" s="618" t="s">
        <v>860</v>
      </c>
      <c r="E438" s="618" t="s">
        <v>16</v>
      </c>
      <c r="F438" s="345">
        <f>F439</f>
        <v>114861.53</v>
      </c>
      <c r="G438" s="75"/>
      <c r="H438" s="75"/>
    </row>
    <row r="439" spans="1:8" s="76" customFormat="1" ht="49.75" customHeight="1" outlineLevel="3" x14ac:dyDescent="0.25">
      <c r="A439" s="189" t="s">
        <v>17</v>
      </c>
      <c r="B439" s="618" t="s">
        <v>455</v>
      </c>
      <c r="C439" s="618" t="s">
        <v>290</v>
      </c>
      <c r="D439" s="618" t="s">
        <v>860</v>
      </c>
      <c r="E439" s="618" t="s">
        <v>18</v>
      </c>
      <c r="F439" s="345">
        <f>'потребность 2024 проект весь'!M447</f>
        <v>114861.53</v>
      </c>
      <c r="G439" s="75"/>
      <c r="H439" s="75"/>
    </row>
    <row r="440" spans="1:8" s="76" customFormat="1" ht="38.9" customHeight="1" outlineLevel="3" x14ac:dyDescent="0.25">
      <c r="A440" s="189" t="s">
        <v>861</v>
      </c>
      <c r="B440" s="618" t="s">
        <v>455</v>
      </c>
      <c r="C440" s="618" t="s">
        <v>290</v>
      </c>
      <c r="D440" s="618" t="s">
        <v>862</v>
      </c>
      <c r="E440" s="618" t="s">
        <v>6</v>
      </c>
      <c r="F440" s="345">
        <f>F441</f>
        <v>1160.2200000000003</v>
      </c>
      <c r="G440" s="75"/>
      <c r="H440" s="75"/>
    </row>
    <row r="441" spans="1:8" s="76" customFormat="1" ht="22.95" customHeight="1" outlineLevel="3" x14ac:dyDescent="0.25">
      <c r="A441" s="189" t="s">
        <v>15</v>
      </c>
      <c r="B441" s="618" t="s">
        <v>455</v>
      </c>
      <c r="C441" s="618" t="s">
        <v>290</v>
      </c>
      <c r="D441" s="618" t="s">
        <v>862</v>
      </c>
      <c r="E441" s="618" t="s">
        <v>16</v>
      </c>
      <c r="F441" s="345">
        <f>F442</f>
        <v>1160.2200000000003</v>
      </c>
      <c r="G441" s="75"/>
      <c r="H441" s="75"/>
    </row>
    <row r="442" spans="1:8" s="76" customFormat="1" ht="35.5" customHeight="1" outlineLevel="3" x14ac:dyDescent="0.25">
      <c r="A442" s="189" t="s">
        <v>17</v>
      </c>
      <c r="B442" s="618" t="s">
        <v>455</v>
      </c>
      <c r="C442" s="618" t="s">
        <v>290</v>
      </c>
      <c r="D442" s="618" t="s">
        <v>862</v>
      </c>
      <c r="E442" s="618" t="s">
        <v>18</v>
      </c>
      <c r="F442" s="345">
        <f>'потребность 2024 проект весь'!M450</f>
        <v>1160.2200000000003</v>
      </c>
      <c r="G442" s="75"/>
      <c r="H442" s="75"/>
    </row>
    <row r="443" spans="1:8" ht="45.7" customHeight="1" outlineLevel="7" x14ac:dyDescent="0.25">
      <c r="A443" s="423" t="s">
        <v>848</v>
      </c>
      <c r="B443" s="615" t="s">
        <v>455</v>
      </c>
      <c r="C443" s="615" t="s">
        <v>290</v>
      </c>
      <c r="D443" s="615" t="s">
        <v>867</v>
      </c>
      <c r="E443" s="615" t="s">
        <v>6</v>
      </c>
      <c r="F443" s="345">
        <f>F444</f>
        <v>742500</v>
      </c>
    </row>
    <row r="444" spans="1:8" ht="36.700000000000003" outlineLevel="7" x14ac:dyDescent="0.25">
      <c r="A444" s="423" t="s">
        <v>15</v>
      </c>
      <c r="B444" s="615" t="s">
        <v>455</v>
      </c>
      <c r="C444" s="615" t="s">
        <v>290</v>
      </c>
      <c r="D444" s="615" t="s">
        <v>867</v>
      </c>
      <c r="E444" s="615" t="s">
        <v>16</v>
      </c>
      <c r="F444" s="345">
        <f>F445</f>
        <v>742500</v>
      </c>
    </row>
    <row r="445" spans="1:8" ht="36.700000000000003" outlineLevel="7" x14ac:dyDescent="0.25">
      <c r="A445" s="423" t="s">
        <v>17</v>
      </c>
      <c r="B445" s="615" t="s">
        <v>455</v>
      </c>
      <c r="C445" s="615" t="s">
        <v>290</v>
      </c>
      <c r="D445" s="615" t="s">
        <v>867</v>
      </c>
      <c r="E445" s="615" t="s">
        <v>18</v>
      </c>
      <c r="F445" s="345">
        <f>'потребность 2024 проект весь'!M456</f>
        <v>742500</v>
      </c>
    </row>
    <row r="446" spans="1:8" ht="55.05" outlineLevel="7" x14ac:dyDescent="0.25">
      <c r="A446" s="423" t="s">
        <v>787</v>
      </c>
      <c r="B446" s="615" t="s">
        <v>455</v>
      </c>
      <c r="C446" s="615" t="s">
        <v>290</v>
      </c>
      <c r="D446" s="615" t="s">
        <v>868</v>
      </c>
      <c r="E446" s="615" t="s">
        <v>6</v>
      </c>
      <c r="F446" s="345">
        <f>F447</f>
        <v>7500</v>
      </c>
    </row>
    <row r="447" spans="1:8" ht="36.700000000000003" outlineLevel="7" x14ac:dyDescent="0.25">
      <c r="A447" s="423" t="s">
        <v>15</v>
      </c>
      <c r="B447" s="615" t="s">
        <v>455</v>
      </c>
      <c r="C447" s="615" t="s">
        <v>290</v>
      </c>
      <c r="D447" s="615" t="s">
        <v>868</v>
      </c>
      <c r="E447" s="615" t="s">
        <v>16</v>
      </c>
      <c r="F447" s="345">
        <f>F448</f>
        <v>7500</v>
      </c>
    </row>
    <row r="448" spans="1:8" ht="25.5" customHeight="1" outlineLevel="7" x14ac:dyDescent="0.25">
      <c r="A448" s="423" t="s">
        <v>17</v>
      </c>
      <c r="B448" s="615" t="s">
        <v>455</v>
      </c>
      <c r="C448" s="615" t="s">
        <v>290</v>
      </c>
      <c r="D448" s="615" t="s">
        <v>868</v>
      </c>
      <c r="E448" s="615" t="s">
        <v>18</v>
      </c>
      <c r="F448" s="345">
        <f>'потребность 2024 проект весь'!M459</f>
        <v>7500</v>
      </c>
    </row>
    <row r="449" spans="1:8" s="2" customFormat="1" ht="45" customHeight="1" x14ac:dyDescent="0.25">
      <c r="A449" s="45" t="s">
        <v>1168</v>
      </c>
      <c r="B449" s="616" t="s">
        <v>455</v>
      </c>
      <c r="C449" s="616" t="s">
        <v>290</v>
      </c>
      <c r="D449" s="616" t="s">
        <v>419</v>
      </c>
      <c r="E449" s="616" t="s">
        <v>6</v>
      </c>
      <c r="F449" s="402">
        <f>F450</f>
        <v>50000</v>
      </c>
      <c r="G449" s="143"/>
      <c r="H449" s="143"/>
    </row>
    <row r="450" spans="1:8" outlineLevel="1" x14ac:dyDescent="0.25">
      <c r="A450" s="393" t="s">
        <v>420</v>
      </c>
      <c r="B450" s="615" t="s">
        <v>455</v>
      </c>
      <c r="C450" s="615" t="s">
        <v>290</v>
      </c>
      <c r="D450" s="615" t="s">
        <v>421</v>
      </c>
      <c r="E450" s="615" t="s">
        <v>6</v>
      </c>
      <c r="F450" s="402">
        <f>F451</f>
        <v>50000</v>
      </c>
    </row>
    <row r="451" spans="1:8" ht="37.549999999999997" customHeight="1" outlineLevel="2" x14ac:dyDescent="0.25">
      <c r="A451" s="423" t="s">
        <v>422</v>
      </c>
      <c r="B451" s="615" t="s">
        <v>455</v>
      </c>
      <c r="C451" s="615" t="s">
        <v>290</v>
      </c>
      <c r="D451" s="615" t="s">
        <v>423</v>
      </c>
      <c r="E451" s="615" t="s">
        <v>6</v>
      </c>
      <c r="F451" s="402">
        <f>F452</f>
        <v>50000</v>
      </c>
    </row>
    <row r="452" spans="1:8" ht="36.700000000000003" outlineLevel="4" x14ac:dyDescent="0.25">
      <c r="A452" s="423" t="s">
        <v>15</v>
      </c>
      <c r="B452" s="615" t="s">
        <v>455</v>
      </c>
      <c r="C452" s="615" t="s">
        <v>290</v>
      </c>
      <c r="D452" s="615" t="s">
        <v>423</v>
      </c>
      <c r="E452" s="615" t="s">
        <v>16</v>
      </c>
      <c r="F452" s="402">
        <f>F453</f>
        <v>50000</v>
      </c>
    </row>
    <row r="453" spans="1:8" ht="36.700000000000003" outlineLevel="5" x14ac:dyDescent="0.25">
      <c r="A453" s="423" t="s">
        <v>17</v>
      </c>
      <c r="B453" s="615" t="s">
        <v>455</v>
      </c>
      <c r="C453" s="615" t="s">
        <v>290</v>
      </c>
      <c r="D453" s="615" t="s">
        <v>423</v>
      </c>
      <c r="E453" s="615" t="s">
        <v>18</v>
      </c>
      <c r="F453" s="345">
        <f>'потребность 2024 проект весь'!M469</f>
        <v>50000</v>
      </c>
    </row>
    <row r="454" spans="1:8" outlineLevel="6" x14ac:dyDescent="0.25">
      <c r="A454" s="45" t="s">
        <v>103</v>
      </c>
      <c r="B454" s="615" t="s">
        <v>455</v>
      </c>
      <c r="C454" s="616" t="s">
        <v>104</v>
      </c>
      <c r="D454" s="616" t="s">
        <v>126</v>
      </c>
      <c r="E454" s="616" t="s">
        <v>6</v>
      </c>
      <c r="F454" s="347">
        <f t="shared" ref="F454:F459" si="3">F455</f>
        <v>3965254.82</v>
      </c>
    </row>
    <row r="455" spans="1:8" outlineLevel="7" x14ac:dyDescent="0.25">
      <c r="A455" s="423" t="s">
        <v>105</v>
      </c>
      <c r="B455" s="615" t="s">
        <v>455</v>
      </c>
      <c r="C455" s="615" t="s">
        <v>106</v>
      </c>
      <c r="D455" s="615" t="s">
        <v>126</v>
      </c>
      <c r="E455" s="615" t="s">
        <v>6</v>
      </c>
      <c r="F455" s="402">
        <f t="shared" si="3"/>
        <v>3965254.82</v>
      </c>
    </row>
    <row r="456" spans="1:8" ht="55.05" outlineLevel="5" x14ac:dyDescent="0.25">
      <c r="A456" s="45" t="s">
        <v>1150</v>
      </c>
      <c r="B456" s="615" t="s">
        <v>455</v>
      </c>
      <c r="C456" s="616" t="s">
        <v>106</v>
      </c>
      <c r="D456" s="616" t="s">
        <v>305</v>
      </c>
      <c r="E456" s="616" t="s">
        <v>6</v>
      </c>
      <c r="F456" s="347">
        <f>F457</f>
        <v>3965254.82</v>
      </c>
    </row>
    <row r="457" spans="1:8" ht="36.700000000000003" outlineLevel="6" x14ac:dyDescent="0.25">
      <c r="A457" s="423" t="s">
        <v>315</v>
      </c>
      <c r="B457" s="615" t="s">
        <v>455</v>
      </c>
      <c r="C457" s="615" t="s">
        <v>106</v>
      </c>
      <c r="D457" s="615" t="s">
        <v>306</v>
      </c>
      <c r="E457" s="615" t="s">
        <v>6</v>
      </c>
      <c r="F457" s="402">
        <f t="shared" si="3"/>
        <v>3965254.82</v>
      </c>
    </row>
    <row r="458" spans="1:8" ht="36.700000000000003" outlineLevel="7" x14ac:dyDescent="0.25">
      <c r="A458" s="423" t="s">
        <v>107</v>
      </c>
      <c r="B458" s="615" t="s">
        <v>455</v>
      </c>
      <c r="C458" s="615" t="s">
        <v>106</v>
      </c>
      <c r="D458" s="615" t="s">
        <v>307</v>
      </c>
      <c r="E458" s="615" t="s">
        <v>6</v>
      </c>
      <c r="F458" s="402">
        <f t="shared" si="3"/>
        <v>3965254.82</v>
      </c>
    </row>
    <row r="459" spans="1:8" ht="36.700000000000003" outlineLevel="6" x14ac:dyDescent="0.25">
      <c r="A459" s="423" t="s">
        <v>37</v>
      </c>
      <c r="B459" s="615" t="s">
        <v>455</v>
      </c>
      <c r="C459" s="615" t="s">
        <v>106</v>
      </c>
      <c r="D459" s="615" t="s">
        <v>307</v>
      </c>
      <c r="E459" s="615" t="s">
        <v>38</v>
      </c>
      <c r="F459" s="402">
        <f t="shared" si="3"/>
        <v>3965254.82</v>
      </c>
    </row>
    <row r="460" spans="1:8" ht="20.25" customHeight="1" outlineLevel="7" x14ac:dyDescent="0.25">
      <c r="A460" s="423" t="s">
        <v>39</v>
      </c>
      <c r="B460" s="615" t="s">
        <v>455</v>
      </c>
      <c r="C460" s="615" t="s">
        <v>106</v>
      </c>
      <c r="D460" s="615" t="s">
        <v>307</v>
      </c>
      <c r="E460" s="615" t="s">
        <v>40</v>
      </c>
      <c r="F460" s="402">
        <f>'потребность 2024 проект весь'!M476+368020.36</f>
        <v>3965254.82</v>
      </c>
    </row>
    <row r="461" spans="1:8" ht="29.9" customHeight="1" outlineLevel="6" x14ac:dyDescent="0.25">
      <c r="A461" s="57" t="s">
        <v>481</v>
      </c>
      <c r="B461" s="396" t="s">
        <v>456</v>
      </c>
      <c r="C461" s="396" t="s">
        <v>5</v>
      </c>
      <c r="D461" s="396" t="s">
        <v>126</v>
      </c>
      <c r="E461" s="396" t="s">
        <v>6</v>
      </c>
      <c r="F461" s="400">
        <f>F462</f>
        <v>7281386.0599999996</v>
      </c>
    </row>
    <row r="462" spans="1:8" outlineLevel="7" x14ac:dyDescent="0.25">
      <c r="A462" s="423" t="s">
        <v>7</v>
      </c>
      <c r="B462" s="615" t="s">
        <v>456</v>
      </c>
      <c r="C462" s="615" t="s">
        <v>8</v>
      </c>
      <c r="D462" s="615" t="s">
        <v>126</v>
      </c>
      <c r="E462" s="615" t="s">
        <v>6</v>
      </c>
      <c r="F462" s="402">
        <f>F463+F478</f>
        <v>7281386.0599999996</v>
      </c>
    </row>
    <row r="463" spans="1:8" ht="55.05" outlineLevel="5" x14ac:dyDescent="0.25">
      <c r="A463" s="423" t="s">
        <v>108</v>
      </c>
      <c r="B463" s="615" t="s">
        <v>456</v>
      </c>
      <c r="C463" s="615" t="s">
        <v>109</v>
      </c>
      <c r="D463" s="615" t="s">
        <v>126</v>
      </c>
      <c r="E463" s="615" t="s">
        <v>6</v>
      </c>
      <c r="F463" s="402">
        <f>F464</f>
        <v>7128386.0599999996</v>
      </c>
    </row>
    <row r="464" spans="1:8" ht="36.700000000000003" outlineLevel="6" x14ac:dyDescent="0.25">
      <c r="A464" s="423" t="s">
        <v>132</v>
      </c>
      <c r="B464" s="615" t="s">
        <v>456</v>
      </c>
      <c r="C464" s="615" t="s">
        <v>109</v>
      </c>
      <c r="D464" s="615" t="s">
        <v>127</v>
      </c>
      <c r="E464" s="615" t="s">
        <v>6</v>
      </c>
      <c r="F464" s="402">
        <f>F465+F468+F475</f>
        <v>7128386.0599999996</v>
      </c>
    </row>
    <row r="465" spans="1:8" outlineLevel="7" x14ac:dyDescent="0.25">
      <c r="A465" s="423" t="s">
        <v>482</v>
      </c>
      <c r="B465" s="615" t="s">
        <v>456</v>
      </c>
      <c r="C465" s="615" t="s">
        <v>109</v>
      </c>
      <c r="D465" s="615" t="s">
        <v>483</v>
      </c>
      <c r="E465" s="615" t="s">
        <v>6</v>
      </c>
      <c r="F465" s="402">
        <f>F466</f>
        <v>3365186.88</v>
      </c>
    </row>
    <row r="466" spans="1:8" ht="37.549999999999997" customHeight="1" outlineLevel="2" x14ac:dyDescent="0.25">
      <c r="A466" s="423" t="s">
        <v>11</v>
      </c>
      <c r="B466" s="615" t="s">
        <v>456</v>
      </c>
      <c r="C466" s="615" t="s">
        <v>109</v>
      </c>
      <c r="D466" s="615" t="s">
        <v>483</v>
      </c>
      <c r="E466" s="615" t="s">
        <v>12</v>
      </c>
      <c r="F466" s="402">
        <f>F467</f>
        <v>3365186.88</v>
      </c>
    </row>
    <row r="467" spans="1:8" ht="36.700000000000003" outlineLevel="4" x14ac:dyDescent="0.25">
      <c r="A467" s="423" t="s">
        <v>13</v>
      </c>
      <c r="B467" s="615" t="s">
        <v>456</v>
      </c>
      <c r="C467" s="615" t="s">
        <v>109</v>
      </c>
      <c r="D467" s="615" t="s">
        <v>483</v>
      </c>
      <c r="E467" s="615" t="s">
        <v>14</v>
      </c>
      <c r="F467" s="345">
        <f>'потребность 2024 проект весь'!M483+493093.36</f>
        <v>3365186.88</v>
      </c>
    </row>
    <row r="468" spans="1:8" ht="36.700000000000003" outlineLevel="5" x14ac:dyDescent="0.25">
      <c r="A468" s="423" t="s">
        <v>449</v>
      </c>
      <c r="B468" s="615" t="s">
        <v>456</v>
      </c>
      <c r="C468" s="615" t="s">
        <v>109</v>
      </c>
      <c r="D468" s="615" t="s">
        <v>450</v>
      </c>
      <c r="E468" s="615" t="s">
        <v>6</v>
      </c>
      <c r="F468" s="402">
        <f>F469+F471+F473</f>
        <v>3583199.1799999997</v>
      </c>
    </row>
    <row r="469" spans="1:8" ht="73.400000000000006" outlineLevel="6" x14ac:dyDescent="0.25">
      <c r="A469" s="423" t="s">
        <v>11</v>
      </c>
      <c r="B469" s="615" t="s">
        <v>456</v>
      </c>
      <c r="C469" s="615" t="s">
        <v>109</v>
      </c>
      <c r="D469" s="615" t="s">
        <v>450</v>
      </c>
      <c r="E469" s="615" t="s">
        <v>12</v>
      </c>
      <c r="F469" s="402">
        <f>F470</f>
        <v>3351199.1799999997</v>
      </c>
    </row>
    <row r="470" spans="1:8" ht="36.700000000000003" outlineLevel="7" x14ac:dyDescent="0.25">
      <c r="A470" s="423" t="s">
        <v>13</v>
      </c>
      <c r="B470" s="615" t="s">
        <v>456</v>
      </c>
      <c r="C470" s="615" t="s">
        <v>109</v>
      </c>
      <c r="D470" s="615" t="s">
        <v>450</v>
      </c>
      <c r="E470" s="615" t="s">
        <v>14</v>
      </c>
      <c r="F470" s="402">
        <f>'потребность 2024 проект весь'!M486+479681.61</f>
        <v>3351199.1799999997</v>
      </c>
    </row>
    <row r="471" spans="1:8" ht="36.700000000000003" outlineLevel="7" x14ac:dyDescent="0.25">
      <c r="A471" s="423" t="s">
        <v>15</v>
      </c>
      <c r="B471" s="615" t="s">
        <v>456</v>
      </c>
      <c r="C471" s="615" t="s">
        <v>109</v>
      </c>
      <c r="D471" s="615" t="s">
        <v>450</v>
      </c>
      <c r="E471" s="615" t="s">
        <v>16</v>
      </c>
      <c r="F471" s="402">
        <f>F472</f>
        <v>227000</v>
      </c>
    </row>
    <row r="472" spans="1:8" ht="36.700000000000003" outlineLevel="7" x14ac:dyDescent="0.25">
      <c r="A472" s="423" t="s">
        <v>17</v>
      </c>
      <c r="B472" s="615" t="s">
        <v>456</v>
      </c>
      <c r="C472" s="615" t="s">
        <v>109</v>
      </c>
      <c r="D472" s="615" t="s">
        <v>450</v>
      </c>
      <c r="E472" s="615" t="s">
        <v>18</v>
      </c>
      <c r="F472" s="345">
        <f>'потребность 2024 проект весь'!M488</f>
        <v>227000</v>
      </c>
    </row>
    <row r="473" spans="1:8" outlineLevel="2" x14ac:dyDescent="0.25">
      <c r="A473" s="423" t="s">
        <v>19</v>
      </c>
      <c r="B473" s="615" t="s">
        <v>456</v>
      </c>
      <c r="C473" s="615" t="s">
        <v>109</v>
      </c>
      <c r="D473" s="615" t="s">
        <v>450</v>
      </c>
      <c r="E473" s="615" t="s">
        <v>20</v>
      </c>
      <c r="F473" s="402">
        <f>F474</f>
        <v>5000</v>
      </c>
    </row>
    <row r="474" spans="1:8" s="76" customFormat="1" outlineLevel="3" x14ac:dyDescent="0.25">
      <c r="A474" s="423" t="s">
        <v>21</v>
      </c>
      <c r="B474" s="615" t="s">
        <v>456</v>
      </c>
      <c r="C474" s="615" t="s">
        <v>109</v>
      </c>
      <c r="D474" s="615" t="s">
        <v>450</v>
      </c>
      <c r="E474" s="615" t="s">
        <v>22</v>
      </c>
      <c r="F474" s="345">
        <f>'потребность 2024 проект весь'!M490</f>
        <v>5000</v>
      </c>
      <c r="G474" s="75"/>
      <c r="H474" s="75"/>
    </row>
    <row r="475" spans="1:8" outlineLevel="4" x14ac:dyDescent="0.25">
      <c r="A475" s="423" t="s">
        <v>485</v>
      </c>
      <c r="B475" s="615" t="s">
        <v>456</v>
      </c>
      <c r="C475" s="615" t="s">
        <v>109</v>
      </c>
      <c r="D475" s="615" t="s">
        <v>484</v>
      </c>
      <c r="E475" s="615" t="s">
        <v>6</v>
      </c>
      <c r="F475" s="402">
        <f>F476</f>
        <v>180000</v>
      </c>
    </row>
    <row r="476" spans="1:8" ht="73.400000000000006" outlineLevel="5" x14ac:dyDescent="0.25">
      <c r="A476" s="423" t="s">
        <v>11</v>
      </c>
      <c r="B476" s="615" t="s">
        <v>456</v>
      </c>
      <c r="C476" s="615" t="s">
        <v>109</v>
      </c>
      <c r="D476" s="615" t="s">
        <v>484</v>
      </c>
      <c r="E476" s="615" t="s">
        <v>12</v>
      </c>
      <c r="F476" s="402">
        <f>F477</f>
        <v>180000</v>
      </c>
    </row>
    <row r="477" spans="1:8" ht="31.75" customHeight="1" outlineLevel="6" x14ac:dyDescent="0.25">
      <c r="A477" s="423" t="s">
        <v>13</v>
      </c>
      <c r="B477" s="615" t="s">
        <v>456</v>
      </c>
      <c r="C477" s="615" t="s">
        <v>109</v>
      </c>
      <c r="D477" s="615" t="s">
        <v>484</v>
      </c>
      <c r="E477" s="615" t="s">
        <v>14</v>
      </c>
      <c r="F477" s="345">
        <f>'потребность 2024 проект весь'!M493</f>
        <v>180000</v>
      </c>
    </row>
    <row r="478" spans="1:8" s="2" customFormat="1" x14ac:dyDescent="0.25">
      <c r="A478" s="423" t="s">
        <v>23</v>
      </c>
      <c r="B478" s="615" t="s">
        <v>456</v>
      </c>
      <c r="C478" s="615" t="s">
        <v>24</v>
      </c>
      <c r="D478" s="615" t="s">
        <v>126</v>
      </c>
      <c r="E478" s="615" t="s">
        <v>6</v>
      </c>
      <c r="F478" s="402">
        <f>F479+F484</f>
        <v>153000</v>
      </c>
      <c r="G478" s="388"/>
      <c r="H478" s="388"/>
    </row>
    <row r="479" spans="1:8" s="76" customFormat="1" ht="36.700000000000003" outlineLevel="1" x14ac:dyDescent="0.25">
      <c r="A479" s="45" t="s">
        <v>1149</v>
      </c>
      <c r="B479" s="616" t="s">
        <v>456</v>
      </c>
      <c r="C479" s="616" t="s">
        <v>24</v>
      </c>
      <c r="D479" s="616" t="s">
        <v>128</v>
      </c>
      <c r="E479" s="616" t="s">
        <v>6</v>
      </c>
      <c r="F479" s="347">
        <f>F480</f>
        <v>21000</v>
      </c>
      <c r="G479" s="75"/>
      <c r="H479" s="75"/>
    </row>
    <row r="480" spans="1:8" ht="36.700000000000003" outlineLevel="2" x14ac:dyDescent="0.25">
      <c r="A480" s="423" t="s">
        <v>729</v>
      </c>
      <c r="B480" s="615" t="s">
        <v>456</v>
      </c>
      <c r="C480" s="615" t="s">
        <v>24</v>
      </c>
      <c r="D480" s="615" t="s">
        <v>303</v>
      </c>
      <c r="E480" s="615" t="s">
        <v>6</v>
      </c>
      <c r="F480" s="402">
        <f>F481</f>
        <v>21000</v>
      </c>
    </row>
    <row r="481" spans="1:8" s="76" customFormat="1" outlineLevel="3" x14ac:dyDescent="0.25">
      <c r="A481" s="423" t="s">
        <v>309</v>
      </c>
      <c r="B481" s="615" t="s">
        <v>456</v>
      </c>
      <c r="C481" s="615" t="s">
        <v>24</v>
      </c>
      <c r="D481" s="615" t="s">
        <v>304</v>
      </c>
      <c r="E481" s="615" t="s">
        <v>6</v>
      </c>
      <c r="F481" s="402">
        <f>F482</f>
        <v>21000</v>
      </c>
      <c r="G481" s="75"/>
      <c r="H481" s="75"/>
    </row>
    <row r="482" spans="1:8" ht="36.700000000000003" outlineLevel="4" x14ac:dyDescent="0.25">
      <c r="A482" s="423" t="s">
        <v>15</v>
      </c>
      <c r="B482" s="615" t="s">
        <v>456</v>
      </c>
      <c r="C482" s="615" t="s">
        <v>24</v>
      </c>
      <c r="D482" s="615" t="s">
        <v>304</v>
      </c>
      <c r="E482" s="615" t="s">
        <v>16</v>
      </c>
      <c r="F482" s="402">
        <f>F483</f>
        <v>21000</v>
      </c>
    </row>
    <row r="483" spans="1:8" ht="36.700000000000003" outlineLevel="4" x14ac:dyDescent="0.25">
      <c r="A483" s="423" t="s">
        <v>17</v>
      </c>
      <c r="B483" s="615" t="s">
        <v>456</v>
      </c>
      <c r="C483" s="615" t="s">
        <v>24</v>
      </c>
      <c r="D483" s="615" t="s">
        <v>304</v>
      </c>
      <c r="E483" s="615" t="s">
        <v>18</v>
      </c>
      <c r="F483" s="402">
        <f>'потребность 2024 проект весь'!M499</f>
        <v>21000</v>
      </c>
    </row>
    <row r="484" spans="1:8" ht="36.700000000000003" outlineLevel="5" x14ac:dyDescent="0.25">
      <c r="A484" s="45" t="s">
        <v>132</v>
      </c>
      <c r="B484" s="616" t="s">
        <v>456</v>
      </c>
      <c r="C484" s="616" t="s">
        <v>24</v>
      </c>
      <c r="D484" s="616" t="s">
        <v>127</v>
      </c>
      <c r="E484" s="616" t="s">
        <v>6</v>
      </c>
      <c r="F484" s="346">
        <f>F485</f>
        <v>132000</v>
      </c>
    </row>
    <row r="485" spans="1:8" ht="36.700000000000003" outlineLevel="6" x14ac:dyDescent="0.25">
      <c r="A485" s="423" t="s">
        <v>486</v>
      </c>
      <c r="B485" s="615" t="s">
        <v>456</v>
      </c>
      <c r="C485" s="615" t="s">
        <v>24</v>
      </c>
      <c r="D485" s="623" t="s">
        <v>487</v>
      </c>
      <c r="E485" s="615" t="s">
        <v>6</v>
      </c>
      <c r="F485" s="345">
        <f>F486</f>
        <v>132000</v>
      </c>
    </row>
    <row r="486" spans="1:8" ht="36.700000000000003" outlineLevel="7" x14ac:dyDescent="0.25">
      <c r="A486" s="423" t="s">
        <v>15</v>
      </c>
      <c r="B486" s="615" t="s">
        <v>456</v>
      </c>
      <c r="C486" s="615" t="s">
        <v>24</v>
      </c>
      <c r="D486" s="623" t="s">
        <v>487</v>
      </c>
      <c r="E486" s="615" t="s">
        <v>16</v>
      </c>
      <c r="F486" s="345">
        <f>F487</f>
        <v>132000</v>
      </c>
    </row>
    <row r="487" spans="1:8" ht="45" customHeight="1" outlineLevel="7" x14ac:dyDescent="0.25">
      <c r="A487" s="423" t="s">
        <v>17</v>
      </c>
      <c r="B487" s="615" t="s">
        <v>456</v>
      </c>
      <c r="C487" s="615" t="s">
        <v>24</v>
      </c>
      <c r="D487" s="623" t="s">
        <v>487</v>
      </c>
      <c r="E487" s="615" t="s">
        <v>18</v>
      </c>
      <c r="F487" s="402">
        <f>'потребность 2024 проект весь'!M503</f>
        <v>132000</v>
      </c>
    </row>
    <row r="488" spans="1:8" ht="36.700000000000003" outlineLevel="7" x14ac:dyDescent="0.25">
      <c r="A488" s="57" t="s">
        <v>498</v>
      </c>
      <c r="B488" s="396" t="s">
        <v>490</v>
      </c>
      <c r="C488" s="396" t="s">
        <v>5</v>
      </c>
      <c r="D488" s="396" t="s">
        <v>126</v>
      </c>
      <c r="E488" s="396" t="s">
        <v>6</v>
      </c>
      <c r="F488" s="400">
        <f>F489+F639+F655</f>
        <v>802768800.99999988</v>
      </c>
    </row>
    <row r="489" spans="1:8" outlineLevel="7" x14ac:dyDescent="0.25">
      <c r="A489" s="45" t="s">
        <v>69</v>
      </c>
      <c r="B489" s="616" t="s">
        <v>490</v>
      </c>
      <c r="C489" s="616" t="s">
        <v>70</v>
      </c>
      <c r="D489" s="616" t="s">
        <v>126</v>
      </c>
      <c r="E489" s="616" t="s">
        <v>6</v>
      </c>
      <c r="F489" s="347">
        <f>F490+F528+F599+F610+F578</f>
        <v>795783389.99999988</v>
      </c>
    </row>
    <row r="490" spans="1:8" outlineLevel="7" x14ac:dyDescent="0.25">
      <c r="A490" s="423" t="s">
        <v>110</v>
      </c>
      <c r="B490" s="615" t="s">
        <v>490</v>
      </c>
      <c r="C490" s="615" t="s">
        <v>111</v>
      </c>
      <c r="D490" s="615" t="s">
        <v>126</v>
      </c>
      <c r="E490" s="615" t="s">
        <v>6</v>
      </c>
      <c r="F490" s="402">
        <f>F491</f>
        <v>159500434.18000001</v>
      </c>
    </row>
    <row r="491" spans="1:8" ht="36.700000000000003" outlineLevel="7" x14ac:dyDescent="0.25">
      <c r="A491" s="45" t="s">
        <v>1169</v>
      </c>
      <c r="B491" s="616" t="s">
        <v>490</v>
      </c>
      <c r="C491" s="616" t="s">
        <v>111</v>
      </c>
      <c r="D491" s="616" t="s">
        <v>138</v>
      </c>
      <c r="E491" s="616" t="s">
        <v>6</v>
      </c>
      <c r="F491" s="347">
        <f>F492</f>
        <v>159500434.18000001</v>
      </c>
    </row>
    <row r="492" spans="1:8" ht="36.700000000000003" outlineLevel="7" x14ac:dyDescent="0.25">
      <c r="A492" s="423" t="s">
        <v>1038</v>
      </c>
      <c r="B492" s="615" t="s">
        <v>490</v>
      </c>
      <c r="C492" s="615" t="s">
        <v>111</v>
      </c>
      <c r="D492" s="615" t="s">
        <v>139</v>
      </c>
      <c r="E492" s="615" t="s">
        <v>6</v>
      </c>
      <c r="F492" s="402">
        <f>F493+F500</f>
        <v>159500434.18000001</v>
      </c>
    </row>
    <row r="493" spans="1:8" ht="36.700000000000003" outlineLevel="7" x14ac:dyDescent="0.25">
      <c r="A493" s="423" t="s">
        <v>200</v>
      </c>
      <c r="B493" s="615" t="s">
        <v>490</v>
      </c>
      <c r="C493" s="615" t="s">
        <v>111</v>
      </c>
      <c r="D493" s="615" t="s">
        <v>216</v>
      </c>
      <c r="E493" s="615" t="s">
        <v>6</v>
      </c>
      <c r="F493" s="402">
        <f>F494+F497</f>
        <v>159342434.18000001</v>
      </c>
    </row>
    <row r="494" spans="1:8" ht="36.700000000000003" outlineLevel="7" x14ac:dyDescent="0.25">
      <c r="A494" s="423" t="s">
        <v>113</v>
      </c>
      <c r="B494" s="615" t="s">
        <v>490</v>
      </c>
      <c r="C494" s="615" t="s">
        <v>111</v>
      </c>
      <c r="D494" s="615" t="s">
        <v>144</v>
      </c>
      <c r="E494" s="615" t="s">
        <v>6</v>
      </c>
      <c r="F494" s="402">
        <f>F495</f>
        <v>54428438.18</v>
      </c>
    </row>
    <row r="495" spans="1:8" ht="36.700000000000003" outlineLevel="7" x14ac:dyDescent="0.25">
      <c r="A495" s="423" t="s">
        <v>37</v>
      </c>
      <c r="B495" s="615" t="s">
        <v>490</v>
      </c>
      <c r="C495" s="615" t="s">
        <v>111</v>
      </c>
      <c r="D495" s="615" t="s">
        <v>144</v>
      </c>
      <c r="E495" s="615" t="s">
        <v>38</v>
      </c>
      <c r="F495" s="402">
        <f>F496</f>
        <v>54428438.18</v>
      </c>
    </row>
    <row r="496" spans="1:8" outlineLevel="7" x14ac:dyDescent="0.25">
      <c r="A496" s="423" t="s">
        <v>74</v>
      </c>
      <c r="B496" s="615" t="s">
        <v>490</v>
      </c>
      <c r="C496" s="615" t="s">
        <v>111</v>
      </c>
      <c r="D496" s="615" t="s">
        <v>144</v>
      </c>
      <c r="E496" s="615" t="s">
        <v>75</v>
      </c>
      <c r="F496" s="345">
        <f>'потребность 2024 проект весь'!M512</f>
        <v>54428438.18</v>
      </c>
    </row>
    <row r="497" spans="1:6" ht="73.400000000000006" outlineLevel="7" x14ac:dyDescent="0.3">
      <c r="A497" s="390" t="s">
        <v>935</v>
      </c>
      <c r="B497" s="615" t="s">
        <v>490</v>
      </c>
      <c r="C497" s="615" t="s">
        <v>111</v>
      </c>
      <c r="D497" s="615" t="s">
        <v>145</v>
      </c>
      <c r="E497" s="615" t="s">
        <v>6</v>
      </c>
      <c r="F497" s="402">
        <f>F498</f>
        <v>104913996</v>
      </c>
    </row>
    <row r="498" spans="1:6" ht="36.700000000000003" outlineLevel="7" x14ac:dyDescent="0.25">
      <c r="A498" s="423" t="s">
        <v>37</v>
      </c>
      <c r="B498" s="615" t="s">
        <v>490</v>
      </c>
      <c r="C498" s="615" t="s">
        <v>111</v>
      </c>
      <c r="D498" s="615" t="s">
        <v>145</v>
      </c>
      <c r="E498" s="615" t="s">
        <v>38</v>
      </c>
      <c r="F498" s="402">
        <f>F499</f>
        <v>104913996</v>
      </c>
    </row>
    <row r="499" spans="1:6" ht="24.8" customHeight="1" outlineLevel="7" x14ac:dyDescent="0.25">
      <c r="A499" s="423" t="s">
        <v>74</v>
      </c>
      <c r="B499" s="615" t="s">
        <v>490</v>
      </c>
      <c r="C499" s="615" t="s">
        <v>111</v>
      </c>
      <c r="D499" s="615" t="s">
        <v>145</v>
      </c>
      <c r="E499" s="615" t="s">
        <v>75</v>
      </c>
      <c r="F499" s="345">
        <f>'потребность 2024 проект весь'!M515</f>
        <v>104913996</v>
      </c>
    </row>
    <row r="500" spans="1:6" ht="36.700000000000003" outlineLevel="7" x14ac:dyDescent="0.25">
      <c r="A500" s="423" t="s">
        <v>201</v>
      </c>
      <c r="B500" s="615" t="s">
        <v>490</v>
      </c>
      <c r="C500" s="615" t="s">
        <v>111</v>
      </c>
      <c r="D500" s="615" t="s">
        <v>218</v>
      </c>
      <c r="E500" s="615" t="s">
        <v>6</v>
      </c>
      <c r="F500" s="345">
        <f>F525+F501+F504+F507+F516+F519+F513+F510</f>
        <v>158000</v>
      </c>
    </row>
    <row r="501" spans="1:6" ht="36.700000000000003" hidden="1" outlineLevel="7" x14ac:dyDescent="0.25">
      <c r="A501" s="423" t="s">
        <v>274</v>
      </c>
      <c r="B501" s="615" t="s">
        <v>490</v>
      </c>
      <c r="C501" s="615" t="s">
        <v>111</v>
      </c>
      <c r="D501" s="615" t="s">
        <v>275</v>
      </c>
      <c r="E501" s="615" t="s">
        <v>6</v>
      </c>
      <c r="F501" s="345">
        <f>F502</f>
        <v>0</v>
      </c>
    </row>
    <row r="502" spans="1:6" ht="22.75" hidden="1" customHeight="1" outlineLevel="7" x14ac:dyDescent="0.25">
      <c r="A502" s="423" t="s">
        <v>37</v>
      </c>
      <c r="B502" s="615" t="s">
        <v>490</v>
      </c>
      <c r="C502" s="615" t="s">
        <v>111</v>
      </c>
      <c r="D502" s="615" t="s">
        <v>275</v>
      </c>
      <c r="E502" s="615" t="s">
        <v>38</v>
      </c>
      <c r="F502" s="345">
        <f>F503</f>
        <v>0</v>
      </c>
    </row>
    <row r="503" spans="1:6" hidden="1" outlineLevel="7" x14ac:dyDescent="0.25">
      <c r="A503" s="423" t="s">
        <v>74</v>
      </c>
      <c r="B503" s="615" t="s">
        <v>490</v>
      </c>
      <c r="C503" s="615" t="s">
        <v>111</v>
      </c>
      <c r="D503" s="615" t="s">
        <v>275</v>
      </c>
      <c r="E503" s="615" t="s">
        <v>75</v>
      </c>
      <c r="F503" s="345">
        <f>'потребность 2023 (5)'!K564-100000</f>
        <v>0</v>
      </c>
    </row>
    <row r="504" spans="1:6" outlineLevel="7" x14ac:dyDescent="0.25">
      <c r="A504" s="423" t="s">
        <v>262</v>
      </c>
      <c r="B504" s="615" t="s">
        <v>490</v>
      </c>
      <c r="C504" s="615" t="s">
        <v>111</v>
      </c>
      <c r="D504" s="615" t="s">
        <v>276</v>
      </c>
      <c r="E504" s="615" t="s">
        <v>6</v>
      </c>
      <c r="F504" s="345">
        <f>F505</f>
        <v>158000</v>
      </c>
    </row>
    <row r="505" spans="1:6" ht="36.700000000000003" outlineLevel="7" x14ac:dyDescent="0.25">
      <c r="A505" s="423" t="s">
        <v>37</v>
      </c>
      <c r="B505" s="615" t="s">
        <v>490</v>
      </c>
      <c r="C505" s="615" t="s">
        <v>111</v>
      </c>
      <c r="D505" s="615" t="s">
        <v>276</v>
      </c>
      <c r="E505" s="615" t="s">
        <v>38</v>
      </c>
      <c r="F505" s="345">
        <f>F506</f>
        <v>158000</v>
      </c>
    </row>
    <row r="506" spans="1:6" outlineLevel="7" x14ac:dyDescent="0.25">
      <c r="A506" s="423" t="s">
        <v>74</v>
      </c>
      <c r="B506" s="615" t="s">
        <v>490</v>
      </c>
      <c r="C506" s="615" t="s">
        <v>111</v>
      </c>
      <c r="D506" s="615" t="s">
        <v>276</v>
      </c>
      <c r="E506" s="615" t="s">
        <v>75</v>
      </c>
      <c r="F506" s="345">
        <f>'потребность 2024 проект весь'!M522</f>
        <v>158000</v>
      </c>
    </row>
    <row r="507" spans="1:6" ht="36.700000000000003" hidden="1" outlineLevel="7" x14ac:dyDescent="0.25">
      <c r="A507" s="423" t="s">
        <v>461</v>
      </c>
      <c r="B507" s="615" t="s">
        <v>490</v>
      </c>
      <c r="C507" s="615" t="s">
        <v>111</v>
      </c>
      <c r="D507" s="615" t="s">
        <v>488</v>
      </c>
      <c r="E507" s="615" t="s">
        <v>6</v>
      </c>
      <c r="F507" s="345">
        <f>F508</f>
        <v>0</v>
      </c>
    </row>
    <row r="508" spans="1:6" ht="36.700000000000003" hidden="1" outlineLevel="7" x14ac:dyDescent="0.25">
      <c r="A508" s="423" t="s">
        <v>37</v>
      </c>
      <c r="B508" s="615" t="s">
        <v>490</v>
      </c>
      <c r="C508" s="615" t="s">
        <v>111</v>
      </c>
      <c r="D508" s="615" t="s">
        <v>488</v>
      </c>
      <c r="E508" s="615" t="s">
        <v>38</v>
      </c>
      <c r="F508" s="345">
        <f>F509</f>
        <v>0</v>
      </c>
    </row>
    <row r="509" spans="1:6" hidden="1" outlineLevel="7" x14ac:dyDescent="0.25">
      <c r="A509" s="423" t="s">
        <v>74</v>
      </c>
      <c r="B509" s="615" t="s">
        <v>490</v>
      </c>
      <c r="C509" s="615" t="s">
        <v>111</v>
      </c>
      <c r="D509" s="615" t="s">
        <v>488</v>
      </c>
      <c r="E509" s="615" t="s">
        <v>75</v>
      </c>
      <c r="F509" s="345">
        <v>0</v>
      </c>
    </row>
    <row r="510" spans="1:6" ht="56.4" hidden="1" customHeight="1" outlineLevel="7" x14ac:dyDescent="0.25">
      <c r="A510" s="423" t="s">
        <v>956</v>
      </c>
      <c r="B510" s="615" t="s">
        <v>490</v>
      </c>
      <c r="C510" s="615" t="s">
        <v>111</v>
      </c>
      <c r="D510" s="615" t="s">
        <v>1063</v>
      </c>
      <c r="E510" s="615" t="s">
        <v>6</v>
      </c>
      <c r="F510" s="345">
        <f>F511</f>
        <v>0</v>
      </c>
    </row>
    <row r="511" spans="1:6" ht="36.700000000000003" hidden="1" outlineLevel="7" x14ac:dyDescent="0.25">
      <c r="A511" s="423" t="s">
        <v>37</v>
      </c>
      <c r="B511" s="615" t="s">
        <v>490</v>
      </c>
      <c r="C511" s="615" t="s">
        <v>111</v>
      </c>
      <c r="D511" s="615" t="s">
        <v>1063</v>
      </c>
      <c r="E511" s="615" t="s">
        <v>38</v>
      </c>
      <c r="F511" s="345">
        <f>F512</f>
        <v>0</v>
      </c>
    </row>
    <row r="512" spans="1:6" hidden="1" outlineLevel="7" x14ac:dyDescent="0.25">
      <c r="A512" s="423" t="s">
        <v>74</v>
      </c>
      <c r="B512" s="615" t="s">
        <v>490</v>
      </c>
      <c r="C512" s="615" t="s">
        <v>111</v>
      </c>
      <c r="D512" s="615" t="s">
        <v>1063</v>
      </c>
      <c r="E512" s="615" t="s">
        <v>75</v>
      </c>
      <c r="F512" s="345">
        <v>0</v>
      </c>
    </row>
    <row r="513" spans="1:8" ht="36.700000000000003" hidden="1" outlineLevel="7" x14ac:dyDescent="0.25">
      <c r="A513" s="423" t="s">
        <v>616</v>
      </c>
      <c r="B513" s="615" t="s">
        <v>490</v>
      </c>
      <c r="C513" s="615" t="s">
        <v>111</v>
      </c>
      <c r="D513" s="615" t="s">
        <v>1056</v>
      </c>
      <c r="E513" s="615" t="s">
        <v>6</v>
      </c>
      <c r="F513" s="345">
        <f>F514</f>
        <v>0</v>
      </c>
    </row>
    <row r="514" spans="1:8" ht="36.700000000000003" hidden="1" outlineLevel="7" x14ac:dyDescent="0.25">
      <c r="A514" s="423" t="s">
        <v>37</v>
      </c>
      <c r="B514" s="615" t="s">
        <v>490</v>
      </c>
      <c r="C514" s="615" t="s">
        <v>111</v>
      </c>
      <c r="D514" s="615" t="s">
        <v>1056</v>
      </c>
      <c r="E514" s="615" t="s">
        <v>38</v>
      </c>
      <c r="F514" s="345">
        <f>F515</f>
        <v>0</v>
      </c>
    </row>
    <row r="515" spans="1:8" hidden="1" outlineLevel="7" x14ac:dyDescent="0.25">
      <c r="A515" s="423" t="s">
        <v>74</v>
      </c>
      <c r="B515" s="615" t="s">
        <v>490</v>
      </c>
      <c r="C515" s="615" t="s">
        <v>111</v>
      </c>
      <c r="D515" s="615" t="s">
        <v>1056</v>
      </c>
      <c r="E515" s="615" t="s">
        <v>75</v>
      </c>
      <c r="F515" s="345">
        <v>0</v>
      </c>
    </row>
    <row r="516" spans="1:8" ht="36.700000000000003" hidden="1" outlineLevel="7" x14ac:dyDescent="0.25">
      <c r="A516" s="423" t="s">
        <v>415</v>
      </c>
      <c r="B516" s="615" t="s">
        <v>490</v>
      </c>
      <c r="C516" s="615" t="s">
        <v>111</v>
      </c>
      <c r="D516" s="615" t="s">
        <v>416</v>
      </c>
      <c r="E516" s="615" t="s">
        <v>6</v>
      </c>
      <c r="F516" s="345">
        <f>F517</f>
        <v>0</v>
      </c>
    </row>
    <row r="517" spans="1:8" ht="36.700000000000003" hidden="1" outlineLevel="7" x14ac:dyDescent="0.25">
      <c r="A517" s="423" t="s">
        <v>37</v>
      </c>
      <c r="B517" s="615" t="s">
        <v>490</v>
      </c>
      <c r="C517" s="615" t="s">
        <v>111</v>
      </c>
      <c r="D517" s="615" t="s">
        <v>416</v>
      </c>
      <c r="E517" s="615" t="s">
        <v>38</v>
      </c>
      <c r="F517" s="345">
        <f>F518</f>
        <v>0</v>
      </c>
    </row>
    <row r="518" spans="1:8" ht="19.05" hidden="1" outlineLevel="2" thickBot="1" x14ac:dyDescent="0.3">
      <c r="A518" s="423" t="s">
        <v>74</v>
      </c>
      <c r="B518" s="615" t="s">
        <v>490</v>
      </c>
      <c r="C518" s="615" t="s">
        <v>111</v>
      </c>
      <c r="D518" s="615" t="s">
        <v>416</v>
      </c>
      <c r="E518" s="615" t="s">
        <v>75</v>
      </c>
      <c r="F518" s="345">
        <v>0</v>
      </c>
    </row>
    <row r="519" spans="1:8" s="76" customFormat="1" ht="57.25" hidden="1" customHeight="1" outlineLevel="3" thickBot="1" x14ac:dyDescent="0.3">
      <c r="A519" s="394" t="s">
        <v>806</v>
      </c>
      <c r="B519" s="615" t="s">
        <v>490</v>
      </c>
      <c r="C519" s="615" t="s">
        <v>111</v>
      </c>
      <c r="D519" s="615" t="s">
        <v>657</v>
      </c>
      <c r="E519" s="615" t="s">
        <v>6</v>
      </c>
      <c r="F519" s="345">
        <f>F520</f>
        <v>0</v>
      </c>
      <c r="G519" s="75"/>
      <c r="H519" s="75"/>
    </row>
    <row r="520" spans="1:8" ht="23.95" hidden="1" customHeight="1" outlineLevel="4" x14ac:dyDescent="0.25">
      <c r="A520" s="423" t="s">
        <v>37</v>
      </c>
      <c r="B520" s="615" t="s">
        <v>490</v>
      </c>
      <c r="C520" s="615" t="s">
        <v>111</v>
      </c>
      <c r="D520" s="615" t="s">
        <v>657</v>
      </c>
      <c r="E520" s="615" t="s">
        <v>38</v>
      </c>
      <c r="F520" s="345">
        <f>F521</f>
        <v>0</v>
      </c>
    </row>
    <row r="521" spans="1:8" ht="22.75" hidden="1" customHeight="1" outlineLevel="4" x14ac:dyDescent="0.25">
      <c r="A521" s="423" t="s">
        <v>74</v>
      </c>
      <c r="B521" s="615" t="s">
        <v>490</v>
      </c>
      <c r="C521" s="615" t="s">
        <v>111</v>
      </c>
      <c r="D521" s="615" t="s">
        <v>657</v>
      </c>
      <c r="E521" s="615" t="s">
        <v>75</v>
      </c>
      <c r="F521" s="345">
        <v>0</v>
      </c>
    </row>
    <row r="522" spans="1:8" ht="54" hidden="1" customHeight="1" outlineLevel="4" x14ac:dyDescent="0.25">
      <c r="A522" s="31" t="s">
        <v>1011</v>
      </c>
      <c r="B522" s="615" t="s">
        <v>490</v>
      </c>
      <c r="C522" s="615" t="s">
        <v>111</v>
      </c>
      <c r="D522" s="615" t="s">
        <v>534</v>
      </c>
      <c r="E522" s="615" t="s">
        <v>6</v>
      </c>
      <c r="F522" s="345">
        <f>F523</f>
        <v>0</v>
      </c>
    </row>
    <row r="523" spans="1:8" ht="32.299999999999997" hidden="1" customHeight="1" outlineLevel="4" x14ac:dyDescent="0.25">
      <c r="A523" s="423" t="s">
        <v>37</v>
      </c>
      <c r="B523" s="615" t="s">
        <v>490</v>
      </c>
      <c r="C523" s="615" t="s">
        <v>111</v>
      </c>
      <c r="D523" s="615" t="s">
        <v>534</v>
      </c>
      <c r="E523" s="615" t="s">
        <v>38</v>
      </c>
      <c r="F523" s="345">
        <f>F524</f>
        <v>0</v>
      </c>
    </row>
    <row r="524" spans="1:8" ht="30.75" hidden="1" customHeight="1" outlineLevel="4" thickBot="1" x14ac:dyDescent="0.3">
      <c r="A524" s="423" t="s">
        <v>74</v>
      </c>
      <c r="B524" s="615" t="s">
        <v>490</v>
      </c>
      <c r="C524" s="615" t="s">
        <v>111</v>
      </c>
      <c r="D524" s="615" t="s">
        <v>534</v>
      </c>
      <c r="E524" s="615" t="s">
        <v>75</v>
      </c>
      <c r="F524" s="345">
        <f>'потребность 2023 (5)'!K579</f>
        <v>0</v>
      </c>
    </row>
    <row r="525" spans="1:8" ht="74.05" hidden="1" outlineLevel="5" thickBot="1" x14ac:dyDescent="0.3">
      <c r="A525" s="394" t="s">
        <v>1010</v>
      </c>
      <c r="B525" s="615" t="s">
        <v>490</v>
      </c>
      <c r="C525" s="615" t="s">
        <v>111</v>
      </c>
      <c r="D525" s="615" t="s">
        <v>406</v>
      </c>
      <c r="E525" s="615" t="s">
        <v>6</v>
      </c>
      <c r="F525" s="345">
        <f>F526</f>
        <v>0</v>
      </c>
    </row>
    <row r="526" spans="1:8" ht="36.700000000000003" hidden="1" outlineLevel="6" x14ac:dyDescent="0.25">
      <c r="A526" s="423" t="s">
        <v>37</v>
      </c>
      <c r="B526" s="615" t="s">
        <v>490</v>
      </c>
      <c r="C526" s="615" t="s">
        <v>111</v>
      </c>
      <c r="D526" s="615" t="s">
        <v>406</v>
      </c>
      <c r="E526" s="615" t="s">
        <v>38</v>
      </c>
      <c r="F526" s="345">
        <f>F527</f>
        <v>0</v>
      </c>
    </row>
    <row r="527" spans="1:8" ht="20.25" hidden="1" customHeight="1" outlineLevel="7" x14ac:dyDescent="0.25">
      <c r="A527" s="423" t="s">
        <v>74</v>
      </c>
      <c r="B527" s="615" t="s">
        <v>490</v>
      </c>
      <c r="C527" s="615" t="s">
        <v>111</v>
      </c>
      <c r="D527" s="615" t="s">
        <v>406</v>
      </c>
      <c r="E527" s="615" t="s">
        <v>75</v>
      </c>
      <c r="F527" s="345">
        <f>'потребность 2023 (5)'!K582-188466.9</f>
        <v>0</v>
      </c>
    </row>
    <row r="528" spans="1:8" outlineLevel="5" collapsed="1" x14ac:dyDescent="0.25">
      <c r="A528" s="423" t="s">
        <v>71</v>
      </c>
      <c r="B528" s="615" t="s">
        <v>490</v>
      </c>
      <c r="C528" s="615" t="s">
        <v>72</v>
      </c>
      <c r="D528" s="615" t="s">
        <v>126</v>
      </c>
      <c r="E528" s="615" t="s">
        <v>6</v>
      </c>
      <c r="F528" s="402">
        <f>F529</f>
        <v>576915100.67999995</v>
      </c>
    </row>
    <row r="529" spans="1:6" ht="36.700000000000003" outlineLevel="5" x14ac:dyDescent="0.25">
      <c r="A529" s="45" t="s">
        <v>1169</v>
      </c>
      <c r="B529" s="616" t="s">
        <v>490</v>
      </c>
      <c r="C529" s="616" t="s">
        <v>72</v>
      </c>
      <c r="D529" s="616" t="s">
        <v>138</v>
      </c>
      <c r="E529" s="616" t="s">
        <v>6</v>
      </c>
      <c r="F529" s="347">
        <f>F530</f>
        <v>576915100.67999995</v>
      </c>
    </row>
    <row r="530" spans="1:6" ht="45" customHeight="1" outlineLevel="5" x14ac:dyDescent="0.25">
      <c r="A530" s="423" t="s">
        <v>1039</v>
      </c>
      <c r="B530" s="615" t="s">
        <v>490</v>
      </c>
      <c r="C530" s="615" t="s">
        <v>72</v>
      </c>
      <c r="D530" s="615" t="s">
        <v>146</v>
      </c>
      <c r="E530" s="615" t="s">
        <v>6</v>
      </c>
      <c r="F530" s="402">
        <f>F531+F544+F563+F574+F570</f>
        <v>576915100.67999995</v>
      </c>
    </row>
    <row r="531" spans="1:6" ht="45.7" customHeight="1" outlineLevel="5" x14ac:dyDescent="0.25">
      <c r="A531" s="423" t="s">
        <v>203</v>
      </c>
      <c r="B531" s="615" t="s">
        <v>490</v>
      </c>
      <c r="C531" s="615" t="s">
        <v>72</v>
      </c>
      <c r="D531" s="615" t="s">
        <v>219</v>
      </c>
      <c r="E531" s="615" t="s">
        <v>6</v>
      </c>
      <c r="F531" s="402">
        <f>F532+F535+F538+F541</f>
        <v>560972113.84000003</v>
      </c>
    </row>
    <row r="532" spans="1:6" ht="55.05" outlineLevel="5" x14ac:dyDescent="0.25">
      <c r="A532" s="44" t="s">
        <v>961</v>
      </c>
      <c r="B532" s="615" t="s">
        <v>490</v>
      </c>
      <c r="C532" s="615" t="s">
        <v>72</v>
      </c>
      <c r="D532" s="615" t="s">
        <v>538</v>
      </c>
      <c r="E532" s="615" t="s">
        <v>6</v>
      </c>
      <c r="F532" s="402">
        <f>F533</f>
        <v>23400000</v>
      </c>
    </row>
    <row r="533" spans="1:6" ht="36.700000000000003" outlineLevel="5" x14ac:dyDescent="0.25">
      <c r="A533" s="423" t="s">
        <v>37</v>
      </c>
      <c r="B533" s="615" t="s">
        <v>490</v>
      </c>
      <c r="C533" s="615" t="s">
        <v>72</v>
      </c>
      <c r="D533" s="615" t="s">
        <v>538</v>
      </c>
      <c r="E533" s="615" t="s">
        <v>38</v>
      </c>
      <c r="F533" s="402">
        <f>F534</f>
        <v>23400000</v>
      </c>
    </row>
    <row r="534" spans="1:6" outlineLevel="5" x14ac:dyDescent="0.25">
      <c r="A534" s="423" t="s">
        <v>74</v>
      </c>
      <c r="B534" s="615" t="s">
        <v>490</v>
      </c>
      <c r="C534" s="615" t="s">
        <v>72</v>
      </c>
      <c r="D534" s="615" t="s">
        <v>538</v>
      </c>
      <c r="E534" s="615" t="s">
        <v>75</v>
      </c>
      <c r="F534" s="402">
        <f>'потребность 2024 проект весь'!M550</f>
        <v>23400000</v>
      </c>
    </row>
    <row r="535" spans="1:6" ht="71.5" customHeight="1" outlineLevel="5" x14ac:dyDescent="0.25">
      <c r="A535" s="423" t="s">
        <v>114</v>
      </c>
      <c r="B535" s="615" t="s">
        <v>490</v>
      </c>
      <c r="C535" s="615" t="s">
        <v>72</v>
      </c>
      <c r="D535" s="615" t="s">
        <v>147</v>
      </c>
      <c r="E535" s="615" t="s">
        <v>6</v>
      </c>
      <c r="F535" s="402">
        <f>F536</f>
        <v>120551069.84</v>
      </c>
    </row>
    <row r="536" spans="1:6" ht="36.700000000000003" outlineLevel="5" x14ac:dyDescent="0.25">
      <c r="A536" s="423" t="s">
        <v>37</v>
      </c>
      <c r="B536" s="615" t="s">
        <v>490</v>
      </c>
      <c r="C536" s="615" t="s">
        <v>72</v>
      </c>
      <c r="D536" s="615" t="s">
        <v>147</v>
      </c>
      <c r="E536" s="615" t="s">
        <v>38</v>
      </c>
      <c r="F536" s="402">
        <f>F537</f>
        <v>120551069.84</v>
      </c>
    </row>
    <row r="537" spans="1:6" outlineLevel="5" x14ac:dyDescent="0.25">
      <c r="A537" s="423" t="s">
        <v>74</v>
      </c>
      <c r="B537" s="615" t="s">
        <v>490</v>
      </c>
      <c r="C537" s="615" t="s">
        <v>72</v>
      </c>
      <c r="D537" s="615" t="s">
        <v>147</v>
      </c>
      <c r="E537" s="615" t="s">
        <v>75</v>
      </c>
      <c r="F537" s="345">
        <f>'потребность 2024 проект весь'!M553</f>
        <v>120551069.84</v>
      </c>
    </row>
    <row r="538" spans="1:6" ht="91.7" outlineLevel="5" x14ac:dyDescent="0.3">
      <c r="A538" s="11" t="s">
        <v>936</v>
      </c>
      <c r="B538" s="615" t="s">
        <v>490</v>
      </c>
      <c r="C538" s="615" t="s">
        <v>72</v>
      </c>
      <c r="D538" s="615" t="s">
        <v>148</v>
      </c>
      <c r="E538" s="615" t="s">
        <v>6</v>
      </c>
      <c r="F538" s="402">
        <f>F539</f>
        <v>402585494</v>
      </c>
    </row>
    <row r="539" spans="1:6" ht="36.700000000000003" outlineLevel="5" x14ac:dyDescent="0.25">
      <c r="A539" s="423" t="s">
        <v>37</v>
      </c>
      <c r="B539" s="615" t="s">
        <v>490</v>
      </c>
      <c r="C539" s="615" t="s">
        <v>72</v>
      </c>
      <c r="D539" s="615" t="s">
        <v>148</v>
      </c>
      <c r="E539" s="615" t="s">
        <v>38</v>
      </c>
      <c r="F539" s="402">
        <f>F540</f>
        <v>402585494</v>
      </c>
    </row>
    <row r="540" spans="1:6" outlineLevel="5" x14ac:dyDescent="0.25">
      <c r="A540" s="423" t="s">
        <v>74</v>
      </c>
      <c r="B540" s="615" t="s">
        <v>490</v>
      </c>
      <c r="C540" s="615" t="s">
        <v>72</v>
      </c>
      <c r="D540" s="615" t="s">
        <v>148</v>
      </c>
      <c r="E540" s="615" t="s">
        <v>75</v>
      </c>
      <c r="F540" s="345">
        <f>'потребность 2024 проект весь'!M556</f>
        <v>402585494</v>
      </c>
    </row>
    <row r="541" spans="1:6" ht="73.400000000000006" outlineLevel="5" x14ac:dyDescent="0.25">
      <c r="A541" s="44" t="s">
        <v>958</v>
      </c>
      <c r="B541" s="615" t="s">
        <v>490</v>
      </c>
      <c r="C541" s="615" t="s">
        <v>72</v>
      </c>
      <c r="D541" s="615" t="s">
        <v>794</v>
      </c>
      <c r="E541" s="615" t="s">
        <v>6</v>
      </c>
      <c r="F541" s="345">
        <f>F542</f>
        <v>14435550</v>
      </c>
    </row>
    <row r="542" spans="1:6" ht="36.700000000000003" outlineLevel="5" x14ac:dyDescent="0.25">
      <c r="A542" s="423" t="s">
        <v>37</v>
      </c>
      <c r="B542" s="615" t="s">
        <v>490</v>
      </c>
      <c r="C542" s="615" t="s">
        <v>72</v>
      </c>
      <c r="D542" s="615" t="s">
        <v>794</v>
      </c>
      <c r="E542" s="615" t="s">
        <v>38</v>
      </c>
      <c r="F542" s="345">
        <f>F543</f>
        <v>14435550</v>
      </c>
    </row>
    <row r="543" spans="1:6" outlineLevel="5" x14ac:dyDescent="0.25">
      <c r="A543" s="423" t="s">
        <v>74</v>
      </c>
      <c r="B543" s="615" t="s">
        <v>490</v>
      </c>
      <c r="C543" s="615" t="s">
        <v>72</v>
      </c>
      <c r="D543" s="615" t="s">
        <v>794</v>
      </c>
      <c r="E543" s="615" t="s">
        <v>75</v>
      </c>
      <c r="F543" s="345">
        <f>'потребность 2024 проект весь'!M559</f>
        <v>14435550</v>
      </c>
    </row>
    <row r="544" spans="1:6" ht="36.700000000000003" outlineLevel="5" x14ac:dyDescent="0.25">
      <c r="A544" s="423" t="s">
        <v>204</v>
      </c>
      <c r="B544" s="615" t="s">
        <v>490</v>
      </c>
      <c r="C544" s="615" t="s">
        <v>72</v>
      </c>
      <c r="D544" s="615" t="s">
        <v>217</v>
      </c>
      <c r="E544" s="615" t="s">
        <v>6</v>
      </c>
      <c r="F544" s="345">
        <f>F557+F545+F548+F554+F551+F560</f>
        <v>221200</v>
      </c>
    </row>
    <row r="545" spans="1:8" outlineLevel="5" x14ac:dyDescent="0.25">
      <c r="A545" s="423" t="s">
        <v>262</v>
      </c>
      <c r="B545" s="615" t="s">
        <v>490</v>
      </c>
      <c r="C545" s="615" t="s">
        <v>72</v>
      </c>
      <c r="D545" s="615" t="s">
        <v>263</v>
      </c>
      <c r="E545" s="615" t="s">
        <v>6</v>
      </c>
      <c r="F545" s="345">
        <f>F546</f>
        <v>221200</v>
      </c>
    </row>
    <row r="546" spans="1:8" ht="36.700000000000003" outlineLevel="5" x14ac:dyDescent="0.25">
      <c r="A546" s="423" t="s">
        <v>37</v>
      </c>
      <c r="B546" s="615" t="s">
        <v>490</v>
      </c>
      <c r="C546" s="615" t="s">
        <v>72</v>
      </c>
      <c r="D546" s="615" t="s">
        <v>263</v>
      </c>
      <c r="E546" s="615" t="s">
        <v>38</v>
      </c>
      <c r="F546" s="345">
        <f>F547</f>
        <v>221200</v>
      </c>
    </row>
    <row r="547" spans="1:8" outlineLevel="5" x14ac:dyDescent="0.25">
      <c r="A547" s="423" t="s">
        <v>74</v>
      </c>
      <c r="B547" s="615" t="s">
        <v>490</v>
      </c>
      <c r="C547" s="615" t="s">
        <v>72</v>
      </c>
      <c r="D547" s="615" t="s">
        <v>263</v>
      </c>
      <c r="E547" s="615" t="s">
        <v>75</v>
      </c>
      <c r="F547" s="345">
        <f>'потребность 2024 проект весь'!M563</f>
        <v>221200</v>
      </c>
    </row>
    <row r="548" spans="1:8" ht="36.700000000000003" hidden="1" outlineLevel="5" x14ac:dyDescent="0.25">
      <c r="A548" s="423" t="s">
        <v>461</v>
      </c>
      <c r="B548" s="615" t="s">
        <v>490</v>
      </c>
      <c r="C548" s="615" t="s">
        <v>72</v>
      </c>
      <c r="D548" s="615" t="s">
        <v>301</v>
      </c>
      <c r="E548" s="615" t="s">
        <v>6</v>
      </c>
      <c r="F548" s="345">
        <f>F549</f>
        <v>0</v>
      </c>
    </row>
    <row r="549" spans="1:8" ht="36.700000000000003" hidden="1" outlineLevel="5" x14ac:dyDescent="0.25">
      <c r="A549" s="423" t="s">
        <v>37</v>
      </c>
      <c r="B549" s="615" t="s">
        <v>490</v>
      </c>
      <c r="C549" s="615" t="s">
        <v>72</v>
      </c>
      <c r="D549" s="615" t="s">
        <v>301</v>
      </c>
      <c r="E549" s="615" t="s">
        <v>38</v>
      </c>
      <c r="F549" s="345">
        <f>F550</f>
        <v>0</v>
      </c>
    </row>
    <row r="550" spans="1:8" hidden="1" outlineLevel="5" x14ac:dyDescent="0.25">
      <c r="A550" s="423" t="s">
        <v>74</v>
      </c>
      <c r="B550" s="615" t="s">
        <v>490</v>
      </c>
      <c r="C550" s="615" t="s">
        <v>72</v>
      </c>
      <c r="D550" s="615" t="s">
        <v>301</v>
      </c>
      <c r="E550" s="615" t="s">
        <v>75</v>
      </c>
      <c r="F550" s="345">
        <v>0</v>
      </c>
    </row>
    <row r="551" spans="1:8" ht="39.75" hidden="1" customHeight="1" outlineLevel="5" x14ac:dyDescent="0.25">
      <c r="A551" s="423" t="s">
        <v>415</v>
      </c>
      <c r="B551" s="615" t="s">
        <v>490</v>
      </c>
      <c r="C551" s="615" t="s">
        <v>72</v>
      </c>
      <c r="D551" s="615" t="s">
        <v>651</v>
      </c>
      <c r="E551" s="615" t="s">
        <v>6</v>
      </c>
      <c r="F551" s="345">
        <f>F552</f>
        <v>0</v>
      </c>
    </row>
    <row r="552" spans="1:8" ht="36.700000000000003" hidden="1" outlineLevel="5" x14ac:dyDescent="0.25">
      <c r="A552" s="423" t="s">
        <v>37</v>
      </c>
      <c r="B552" s="615" t="s">
        <v>490</v>
      </c>
      <c r="C552" s="615" t="s">
        <v>72</v>
      </c>
      <c r="D552" s="615" t="s">
        <v>651</v>
      </c>
      <c r="E552" s="615" t="s">
        <v>38</v>
      </c>
      <c r="F552" s="345">
        <f>F553</f>
        <v>0</v>
      </c>
    </row>
    <row r="553" spans="1:8" hidden="1" outlineLevel="5" x14ac:dyDescent="0.25">
      <c r="A553" s="423" t="s">
        <v>74</v>
      </c>
      <c r="B553" s="615" t="s">
        <v>490</v>
      </c>
      <c r="C553" s="615" t="s">
        <v>72</v>
      </c>
      <c r="D553" s="615" t="s">
        <v>651</v>
      </c>
      <c r="E553" s="615" t="s">
        <v>75</v>
      </c>
      <c r="F553" s="345">
        <v>0</v>
      </c>
    </row>
    <row r="554" spans="1:8" ht="36.700000000000003" hidden="1" outlineLevel="5" x14ac:dyDescent="0.25">
      <c r="A554" s="423" t="s">
        <v>950</v>
      </c>
      <c r="B554" s="615" t="s">
        <v>490</v>
      </c>
      <c r="C554" s="615" t="s">
        <v>72</v>
      </c>
      <c r="D554" s="615" t="s">
        <v>540</v>
      </c>
      <c r="E554" s="615" t="s">
        <v>6</v>
      </c>
      <c r="F554" s="345">
        <f>F555</f>
        <v>0</v>
      </c>
    </row>
    <row r="555" spans="1:8" s="76" customFormat="1" ht="36.700000000000003" hidden="1" outlineLevel="5" x14ac:dyDescent="0.25">
      <c r="A555" s="423" t="s">
        <v>37</v>
      </c>
      <c r="B555" s="615" t="s">
        <v>490</v>
      </c>
      <c r="C555" s="615" t="s">
        <v>72</v>
      </c>
      <c r="D555" s="615" t="s">
        <v>540</v>
      </c>
      <c r="E555" s="615" t="s">
        <v>38</v>
      </c>
      <c r="F555" s="345">
        <f>F556</f>
        <v>0</v>
      </c>
      <c r="G555" s="75"/>
      <c r="H555" s="75"/>
    </row>
    <row r="556" spans="1:8" ht="23.3" hidden="1" customHeight="1" outlineLevel="4" x14ac:dyDescent="0.25">
      <c r="A556" s="423" t="s">
        <v>74</v>
      </c>
      <c r="B556" s="615" t="s">
        <v>490</v>
      </c>
      <c r="C556" s="615" t="s">
        <v>72</v>
      </c>
      <c r="D556" s="615" t="s">
        <v>540</v>
      </c>
      <c r="E556" s="615" t="s">
        <v>75</v>
      </c>
      <c r="F556" s="345">
        <f>'потребность 2023 (5)'!K615</f>
        <v>0</v>
      </c>
    </row>
    <row r="557" spans="1:8" ht="36.700000000000003" hidden="1" outlineLevel="4" x14ac:dyDescent="0.25">
      <c r="A557" s="423" t="s">
        <v>1012</v>
      </c>
      <c r="B557" s="615" t="s">
        <v>490</v>
      </c>
      <c r="C557" s="615" t="s">
        <v>72</v>
      </c>
      <c r="D557" s="615" t="s">
        <v>408</v>
      </c>
      <c r="E557" s="615" t="s">
        <v>6</v>
      </c>
      <c r="F557" s="345">
        <f>F558</f>
        <v>0</v>
      </c>
    </row>
    <row r="558" spans="1:8" ht="36.700000000000003" hidden="1" outlineLevel="5" x14ac:dyDescent="0.25">
      <c r="A558" s="423" t="s">
        <v>37</v>
      </c>
      <c r="B558" s="615" t="s">
        <v>490</v>
      </c>
      <c r="C558" s="615" t="s">
        <v>72</v>
      </c>
      <c r="D558" s="615" t="s">
        <v>408</v>
      </c>
      <c r="E558" s="615" t="s">
        <v>38</v>
      </c>
      <c r="F558" s="345">
        <f>F559</f>
        <v>0</v>
      </c>
    </row>
    <row r="559" spans="1:8" ht="19.05" hidden="1" outlineLevel="6" thickBot="1" x14ac:dyDescent="0.3">
      <c r="A559" s="423" t="s">
        <v>74</v>
      </c>
      <c r="B559" s="615" t="s">
        <v>490</v>
      </c>
      <c r="C559" s="615" t="s">
        <v>72</v>
      </c>
      <c r="D559" s="615" t="s">
        <v>408</v>
      </c>
      <c r="E559" s="615" t="s">
        <v>75</v>
      </c>
      <c r="F559" s="345">
        <f>'потребность 2023 (5)'!K618-993779.52</f>
        <v>0</v>
      </c>
    </row>
    <row r="560" spans="1:8" ht="36.700000000000003" hidden="1" customHeight="1" outlineLevel="6" thickBot="1" x14ac:dyDescent="0.3">
      <c r="A560" s="395" t="s">
        <v>806</v>
      </c>
      <c r="B560" s="615" t="s">
        <v>490</v>
      </c>
      <c r="C560" s="615" t="s">
        <v>72</v>
      </c>
      <c r="D560" s="615" t="s">
        <v>807</v>
      </c>
      <c r="E560" s="615" t="s">
        <v>6</v>
      </c>
      <c r="F560" s="345">
        <f>F561</f>
        <v>0</v>
      </c>
    </row>
    <row r="561" spans="1:6" ht="36.700000000000003" hidden="1" outlineLevel="6" x14ac:dyDescent="0.25">
      <c r="A561" s="423" t="s">
        <v>37</v>
      </c>
      <c r="B561" s="615" t="s">
        <v>490</v>
      </c>
      <c r="C561" s="615" t="s">
        <v>72</v>
      </c>
      <c r="D561" s="615" t="s">
        <v>807</v>
      </c>
      <c r="E561" s="615" t="s">
        <v>38</v>
      </c>
      <c r="F561" s="345">
        <f>F562</f>
        <v>0</v>
      </c>
    </row>
    <row r="562" spans="1:6" hidden="1" outlineLevel="6" x14ac:dyDescent="0.25">
      <c r="A562" s="423" t="s">
        <v>74</v>
      </c>
      <c r="B562" s="615" t="s">
        <v>490</v>
      </c>
      <c r="C562" s="615" t="s">
        <v>72</v>
      </c>
      <c r="D562" s="615" t="s">
        <v>807</v>
      </c>
      <c r="E562" s="615" t="s">
        <v>75</v>
      </c>
      <c r="F562" s="345">
        <v>0</v>
      </c>
    </row>
    <row r="563" spans="1:6" ht="36.700000000000003" outlineLevel="7" x14ac:dyDescent="0.25">
      <c r="A563" s="423" t="s">
        <v>267</v>
      </c>
      <c r="B563" s="615" t="s">
        <v>490</v>
      </c>
      <c r="C563" s="615" t="s">
        <v>72</v>
      </c>
      <c r="D563" s="615" t="s">
        <v>220</v>
      </c>
      <c r="E563" s="615" t="s">
        <v>6</v>
      </c>
      <c r="F563" s="345">
        <f>F564+F567</f>
        <v>8647450</v>
      </c>
    </row>
    <row r="564" spans="1:6" ht="57.75" customHeight="1" outlineLevel="7" x14ac:dyDescent="0.25">
      <c r="A564" s="55" t="s">
        <v>942</v>
      </c>
      <c r="B564" s="615" t="s">
        <v>490</v>
      </c>
      <c r="C564" s="615" t="s">
        <v>72</v>
      </c>
      <c r="D564" s="615" t="s">
        <v>596</v>
      </c>
      <c r="E564" s="615" t="s">
        <v>6</v>
      </c>
      <c r="F564" s="345">
        <f>F565</f>
        <v>8225450</v>
      </c>
    </row>
    <row r="565" spans="1:6" ht="36.700000000000003" outlineLevel="7" x14ac:dyDescent="0.25">
      <c r="A565" s="423" t="s">
        <v>37</v>
      </c>
      <c r="B565" s="615" t="s">
        <v>490</v>
      </c>
      <c r="C565" s="615" t="s">
        <v>72</v>
      </c>
      <c r="D565" s="615" t="s">
        <v>596</v>
      </c>
      <c r="E565" s="615" t="s">
        <v>38</v>
      </c>
      <c r="F565" s="345">
        <f>F566</f>
        <v>8225450</v>
      </c>
    </row>
    <row r="566" spans="1:6" ht="22.75" customHeight="1" outlineLevel="7" x14ac:dyDescent="0.25">
      <c r="A566" s="423" t="s">
        <v>74</v>
      </c>
      <c r="B566" s="615" t="s">
        <v>490</v>
      </c>
      <c r="C566" s="615" t="s">
        <v>72</v>
      </c>
      <c r="D566" s="615" t="s">
        <v>596</v>
      </c>
      <c r="E566" s="615" t="s">
        <v>75</v>
      </c>
      <c r="F566" s="345">
        <f>'потребность 2024 проект весь'!M582</f>
        <v>8225450</v>
      </c>
    </row>
    <row r="567" spans="1:6" ht="59.1" customHeight="1" outlineLevel="7" x14ac:dyDescent="0.25">
      <c r="A567" s="415" t="s">
        <v>1057</v>
      </c>
      <c r="B567" s="615" t="s">
        <v>490</v>
      </c>
      <c r="C567" s="615" t="s">
        <v>72</v>
      </c>
      <c r="D567" s="615" t="s">
        <v>1058</v>
      </c>
      <c r="E567" s="615" t="s">
        <v>6</v>
      </c>
      <c r="F567" s="345">
        <f>F568</f>
        <v>422000</v>
      </c>
    </row>
    <row r="568" spans="1:6" ht="22.75" customHeight="1" outlineLevel="7" x14ac:dyDescent="0.25">
      <c r="A568" s="423" t="s">
        <v>37</v>
      </c>
      <c r="B568" s="615" t="s">
        <v>490</v>
      </c>
      <c r="C568" s="615" t="s">
        <v>72</v>
      </c>
      <c r="D568" s="615" t="s">
        <v>1058</v>
      </c>
      <c r="E568" s="615" t="s">
        <v>38</v>
      </c>
      <c r="F568" s="345">
        <f>F569</f>
        <v>422000</v>
      </c>
    </row>
    <row r="569" spans="1:6" ht="22.75" customHeight="1" outlineLevel="7" x14ac:dyDescent="0.25">
      <c r="A569" s="423" t="s">
        <v>74</v>
      </c>
      <c r="B569" s="615" t="s">
        <v>490</v>
      </c>
      <c r="C569" s="615" t="s">
        <v>72</v>
      </c>
      <c r="D569" s="615" t="s">
        <v>1058</v>
      </c>
      <c r="E569" s="615" t="s">
        <v>75</v>
      </c>
      <c r="F569" s="345">
        <f>'потребность 2024 проект весь'!M585</f>
        <v>422000</v>
      </c>
    </row>
    <row r="570" spans="1:6" ht="22.75" customHeight="1" outlineLevel="7" x14ac:dyDescent="0.25">
      <c r="A570" s="66" t="s">
        <v>880</v>
      </c>
      <c r="B570" s="615" t="s">
        <v>490</v>
      </c>
      <c r="C570" s="615" t="s">
        <v>72</v>
      </c>
      <c r="D570" s="615" t="s">
        <v>302</v>
      </c>
      <c r="E570" s="617" t="s">
        <v>6</v>
      </c>
      <c r="F570" s="345">
        <f>F571</f>
        <v>2992959.54</v>
      </c>
    </row>
    <row r="571" spans="1:6" ht="73.400000000000006" outlineLevel="7" x14ac:dyDescent="0.25">
      <c r="A571" s="7" t="s">
        <v>964</v>
      </c>
      <c r="B571" s="615" t="s">
        <v>490</v>
      </c>
      <c r="C571" s="615" t="s">
        <v>72</v>
      </c>
      <c r="D571" s="615" t="s">
        <v>969</v>
      </c>
      <c r="E571" s="617" t="s">
        <v>6</v>
      </c>
      <c r="F571" s="345">
        <f>F572</f>
        <v>2992959.54</v>
      </c>
    </row>
    <row r="572" spans="1:6" ht="36.700000000000003" outlineLevel="7" x14ac:dyDescent="0.25">
      <c r="A572" s="423" t="s">
        <v>37</v>
      </c>
      <c r="B572" s="615" t="s">
        <v>490</v>
      </c>
      <c r="C572" s="615" t="s">
        <v>72</v>
      </c>
      <c r="D572" s="615" t="s">
        <v>969</v>
      </c>
      <c r="E572" s="617" t="s">
        <v>38</v>
      </c>
      <c r="F572" s="345">
        <f>F573</f>
        <v>2992959.54</v>
      </c>
    </row>
    <row r="573" spans="1:6" outlineLevel="7" x14ac:dyDescent="0.25">
      <c r="A573" s="423" t="s">
        <v>74</v>
      </c>
      <c r="B573" s="615" t="s">
        <v>490</v>
      </c>
      <c r="C573" s="615" t="s">
        <v>72</v>
      </c>
      <c r="D573" s="615" t="s">
        <v>969</v>
      </c>
      <c r="E573" s="617" t="s">
        <v>75</v>
      </c>
      <c r="F573" s="345">
        <f>'потребность 2024 проект весь'!M589</f>
        <v>2992959.54</v>
      </c>
    </row>
    <row r="574" spans="1:6" ht="36.700000000000003" outlineLevel="7" x14ac:dyDescent="0.3">
      <c r="A574" s="10" t="s">
        <v>995</v>
      </c>
      <c r="B574" s="615" t="s">
        <v>490</v>
      </c>
      <c r="C574" s="615" t="s">
        <v>72</v>
      </c>
      <c r="D574" s="615" t="s">
        <v>998</v>
      </c>
      <c r="E574" s="615" t="s">
        <v>6</v>
      </c>
      <c r="F574" s="345">
        <f>F575</f>
        <v>4081377.3</v>
      </c>
    </row>
    <row r="575" spans="1:6" ht="73.400000000000006" outlineLevel="7" x14ac:dyDescent="0.3">
      <c r="A575" s="22" t="s">
        <v>996</v>
      </c>
      <c r="B575" s="615" t="s">
        <v>490</v>
      </c>
      <c r="C575" s="615" t="s">
        <v>72</v>
      </c>
      <c r="D575" s="615" t="s">
        <v>997</v>
      </c>
      <c r="E575" s="615" t="s">
        <v>6</v>
      </c>
      <c r="F575" s="345">
        <f>F576</f>
        <v>4081377.3</v>
      </c>
    </row>
    <row r="576" spans="1:6" ht="36.700000000000003" outlineLevel="7" x14ac:dyDescent="0.25">
      <c r="A576" s="423" t="s">
        <v>37</v>
      </c>
      <c r="B576" s="615" t="s">
        <v>490</v>
      </c>
      <c r="C576" s="615" t="s">
        <v>72</v>
      </c>
      <c r="D576" s="615" t="s">
        <v>997</v>
      </c>
      <c r="E576" s="615" t="s">
        <v>38</v>
      </c>
      <c r="F576" s="345">
        <f>F577</f>
        <v>4081377.3</v>
      </c>
    </row>
    <row r="577" spans="1:8" outlineLevel="7" x14ac:dyDescent="0.25">
      <c r="A577" s="423" t="s">
        <v>74</v>
      </c>
      <c r="B577" s="615" t="s">
        <v>490</v>
      </c>
      <c r="C577" s="615" t="s">
        <v>72</v>
      </c>
      <c r="D577" s="615" t="s">
        <v>997</v>
      </c>
      <c r="E577" s="615" t="s">
        <v>75</v>
      </c>
      <c r="F577" s="345">
        <f>'потребность 2024 проект весь'!M593</f>
        <v>4081377.3</v>
      </c>
    </row>
    <row r="578" spans="1:8" outlineLevel="5" x14ac:dyDescent="0.25">
      <c r="A578" s="423" t="s">
        <v>251</v>
      </c>
      <c r="B578" s="615" t="s">
        <v>490</v>
      </c>
      <c r="C578" s="615" t="s">
        <v>250</v>
      </c>
      <c r="D578" s="615" t="s">
        <v>126</v>
      </c>
      <c r="E578" s="615" t="s">
        <v>6</v>
      </c>
      <c r="F578" s="345">
        <f>F579</f>
        <v>28502775.140000001</v>
      </c>
    </row>
    <row r="579" spans="1:8" ht="36.700000000000003" outlineLevel="6" x14ac:dyDescent="0.25">
      <c r="A579" s="45" t="s">
        <v>1169</v>
      </c>
      <c r="B579" s="616" t="s">
        <v>490</v>
      </c>
      <c r="C579" s="616" t="s">
        <v>250</v>
      </c>
      <c r="D579" s="616" t="s">
        <v>138</v>
      </c>
      <c r="E579" s="616" t="s">
        <v>6</v>
      </c>
      <c r="F579" s="346">
        <f>F580</f>
        <v>28502775.140000001</v>
      </c>
    </row>
    <row r="580" spans="1:8" ht="49.75" customHeight="1" outlineLevel="7" x14ac:dyDescent="0.25">
      <c r="A580" s="423" t="s">
        <v>1018</v>
      </c>
      <c r="B580" s="615" t="s">
        <v>490</v>
      </c>
      <c r="C580" s="615" t="s">
        <v>250</v>
      </c>
      <c r="D580" s="615" t="s">
        <v>149</v>
      </c>
      <c r="E580" s="615" t="s">
        <v>6</v>
      </c>
      <c r="F580" s="402">
        <f>F581+F585+F595</f>
        <v>28502775.140000001</v>
      </c>
    </row>
    <row r="581" spans="1:8" ht="23.3" customHeight="1" outlineLevel="7" x14ac:dyDescent="0.25">
      <c r="A581" s="423" t="s">
        <v>205</v>
      </c>
      <c r="B581" s="615" t="s">
        <v>490</v>
      </c>
      <c r="C581" s="615" t="s">
        <v>250</v>
      </c>
      <c r="D581" s="615" t="s">
        <v>221</v>
      </c>
      <c r="E581" s="615" t="s">
        <v>6</v>
      </c>
      <c r="F581" s="402">
        <f>F582</f>
        <v>26734985.140000001</v>
      </c>
    </row>
    <row r="582" spans="1:8" ht="47.9" customHeight="1" outlineLevel="7" x14ac:dyDescent="0.25">
      <c r="A582" s="423" t="s">
        <v>115</v>
      </c>
      <c r="B582" s="615" t="s">
        <v>490</v>
      </c>
      <c r="C582" s="615" t="s">
        <v>250</v>
      </c>
      <c r="D582" s="615" t="s">
        <v>151</v>
      </c>
      <c r="E582" s="615" t="s">
        <v>6</v>
      </c>
      <c r="F582" s="402">
        <f>F583</f>
        <v>26734985.140000001</v>
      </c>
    </row>
    <row r="583" spans="1:8" ht="24.8" customHeight="1" outlineLevel="7" x14ac:dyDescent="0.25">
      <c r="A583" s="423" t="s">
        <v>37</v>
      </c>
      <c r="B583" s="615" t="s">
        <v>490</v>
      </c>
      <c r="C583" s="615" t="s">
        <v>250</v>
      </c>
      <c r="D583" s="615" t="s">
        <v>151</v>
      </c>
      <c r="E583" s="615" t="s">
        <v>38</v>
      </c>
      <c r="F583" s="402">
        <f>F584</f>
        <v>26734985.140000001</v>
      </c>
    </row>
    <row r="584" spans="1:8" ht="27" customHeight="1" outlineLevel="7" x14ac:dyDescent="0.25">
      <c r="A584" s="423" t="s">
        <v>74</v>
      </c>
      <c r="B584" s="615" t="s">
        <v>490</v>
      </c>
      <c r="C584" s="615" t="s">
        <v>250</v>
      </c>
      <c r="D584" s="615" t="s">
        <v>151</v>
      </c>
      <c r="E584" s="615" t="s">
        <v>75</v>
      </c>
      <c r="F584" s="345">
        <f>'потребность 2024 проект весь'!M600</f>
        <v>26734985.140000001</v>
      </c>
    </row>
    <row r="585" spans="1:8" ht="36.700000000000003" outlineLevel="7" x14ac:dyDescent="0.25">
      <c r="A585" s="423" t="s">
        <v>377</v>
      </c>
      <c r="B585" s="615" t="s">
        <v>490</v>
      </c>
      <c r="C585" s="615" t="s">
        <v>250</v>
      </c>
      <c r="D585" s="615" t="s">
        <v>222</v>
      </c>
      <c r="E585" s="615" t="s">
        <v>6</v>
      </c>
      <c r="F585" s="345">
        <f>F586+F589</f>
        <v>31600</v>
      </c>
    </row>
    <row r="586" spans="1:8" outlineLevel="7" x14ac:dyDescent="0.25">
      <c r="A586" s="423" t="s">
        <v>262</v>
      </c>
      <c r="B586" s="615" t="s">
        <v>490</v>
      </c>
      <c r="C586" s="615" t="s">
        <v>250</v>
      </c>
      <c r="D586" s="615" t="s">
        <v>280</v>
      </c>
      <c r="E586" s="615" t="s">
        <v>6</v>
      </c>
      <c r="F586" s="345">
        <f>F587</f>
        <v>31600</v>
      </c>
    </row>
    <row r="587" spans="1:8" ht="36.700000000000003" outlineLevel="7" x14ac:dyDescent="0.25">
      <c r="A587" s="423" t="s">
        <v>37</v>
      </c>
      <c r="B587" s="615" t="s">
        <v>490</v>
      </c>
      <c r="C587" s="615" t="s">
        <v>250</v>
      </c>
      <c r="D587" s="615" t="s">
        <v>280</v>
      </c>
      <c r="E587" s="615" t="s">
        <v>38</v>
      </c>
      <c r="F587" s="345">
        <f>F588</f>
        <v>31600</v>
      </c>
    </row>
    <row r="588" spans="1:8" outlineLevel="2" x14ac:dyDescent="0.25">
      <c r="A588" s="423" t="s">
        <v>74</v>
      </c>
      <c r="B588" s="615" t="s">
        <v>490</v>
      </c>
      <c r="C588" s="615" t="s">
        <v>250</v>
      </c>
      <c r="D588" s="615" t="s">
        <v>280</v>
      </c>
      <c r="E588" s="615" t="s">
        <v>75</v>
      </c>
      <c r="F588" s="345">
        <f>'потребность 2024 проект весь'!M604</f>
        <v>31600</v>
      </c>
    </row>
    <row r="589" spans="1:8" s="76" customFormat="1" ht="36.700000000000003" hidden="1" outlineLevel="3" x14ac:dyDescent="0.25">
      <c r="A589" s="423" t="s">
        <v>461</v>
      </c>
      <c r="B589" s="615" t="s">
        <v>490</v>
      </c>
      <c r="C589" s="615" t="s">
        <v>250</v>
      </c>
      <c r="D589" s="615" t="s">
        <v>666</v>
      </c>
      <c r="E589" s="615" t="s">
        <v>6</v>
      </c>
      <c r="F589" s="345">
        <f>F590</f>
        <v>0</v>
      </c>
      <c r="G589" s="75"/>
      <c r="H589" s="75"/>
    </row>
    <row r="590" spans="1:8" ht="36.700000000000003" hidden="1" outlineLevel="3" x14ac:dyDescent="0.25">
      <c r="A590" s="423" t="s">
        <v>37</v>
      </c>
      <c r="B590" s="615" t="s">
        <v>490</v>
      </c>
      <c r="C590" s="615" t="s">
        <v>250</v>
      </c>
      <c r="D590" s="615" t="s">
        <v>666</v>
      </c>
      <c r="E590" s="615" t="s">
        <v>38</v>
      </c>
      <c r="F590" s="345">
        <f>F591</f>
        <v>0</v>
      </c>
    </row>
    <row r="591" spans="1:8" ht="19.55" hidden="1" customHeight="1" outlineLevel="3" x14ac:dyDescent="0.25">
      <c r="A591" s="423" t="s">
        <v>74</v>
      </c>
      <c r="B591" s="615" t="s">
        <v>490</v>
      </c>
      <c r="C591" s="615" t="s">
        <v>250</v>
      </c>
      <c r="D591" s="615" t="s">
        <v>666</v>
      </c>
      <c r="E591" s="615" t="s">
        <v>75</v>
      </c>
      <c r="F591" s="345">
        <v>0</v>
      </c>
    </row>
    <row r="592" spans="1:8" ht="36.700000000000003" hidden="1" outlineLevel="3" x14ac:dyDescent="0.25">
      <c r="A592" s="423" t="s">
        <v>415</v>
      </c>
      <c r="B592" s="615" t="s">
        <v>490</v>
      </c>
      <c r="C592" s="615" t="s">
        <v>250</v>
      </c>
      <c r="D592" s="615" t="s">
        <v>658</v>
      </c>
      <c r="E592" s="615" t="s">
        <v>6</v>
      </c>
      <c r="F592" s="345">
        <f>F593</f>
        <v>0</v>
      </c>
    </row>
    <row r="593" spans="1:6" ht="40.75" hidden="1" customHeight="1" outlineLevel="3" x14ac:dyDescent="0.25">
      <c r="A593" s="423" t="s">
        <v>37</v>
      </c>
      <c r="B593" s="615" t="s">
        <v>490</v>
      </c>
      <c r="C593" s="615" t="s">
        <v>250</v>
      </c>
      <c r="D593" s="615" t="s">
        <v>658</v>
      </c>
      <c r="E593" s="615" t="s">
        <v>38</v>
      </c>
      <c r="F593" s="345">
        <f>F594</f>
        <v>0</v>
      </c>
    </row>
    <row r="594" spans="1:6" ht="33.450000000000003" hidden="1" customHeight="1" outlineLevel="3" x14ac:dyDescent="0.25">
      <c r="A594" s="423" t="s">
        <v>74</v>
      </c>
      <c r="B594" s="615" t="s">
        <v>490</v>
      </c>
      <c r="C594" s="615" t="s">
        <v>250</v>
      </c>
      <c r="D594" s="615" t="s">
        <v>658</v>
      </c>
      <c r="E594" s="615" t="s">
        <v>75</v>
      </c>
      <c r="F594" s="345">
        <f>'потребность 2023 (5)'!K655</f>
        <v>0</v>
      </c>
    </row>
    <row r="595" spans="1:6" ht="55.05" outlineLevel="3" x14ac:dyDescent="0.25">
      <c r="A595" s="423" t="s">
        <v>1087</v>
      </c>
      <c r="B595" s="615" t="s">
        <v>490</v>
      </c>
      <c r="C595" s="615" t="s">
        <v>250</v>
      </c>
      <c r="D595" s="615" t="s">
        <v>1088</v>
      </c>
      <c r="E595" s="615" t="s">
        <v>6</v>
      </c>
      <c r="F595" s="345">
        <f>F596</f>
        <v>1736190</v>
      </c>
    </row>
    <row r="596" spans="1:6" ht="55.05" outlineLevel="3" x14ac:dyDescent="0.25">
      <c r="A596" s="423" t="s">
        <v>1089</v>
      </c>
      <c r="B596" s="615" t="s">
        <v>490</v>
      </c>
      <c r="C596" s="615" t="s">
        <v>250</v>
      </c>
      <c r="D596" s="615" t="s">
        <v>1090</v>
      </c>
      <c r="E596" s="615" t="s">
        <v>6</v>
      </c>
      <c r="F596" s="345">
        <f>F597</f>
        <v>1736190</v>
      </c>
    </row>
    <row r="597" spans="1:6" ht="36.700000000000003" outlineLevel="3" x14ac:dyDescent="0.25">
      <c r="A597" s="423" t="s">
        <v>37</v>
      </c>
      <c r="B597" s="615" t="s">
        <v>490</v>
      </c>
      <c r="C597" s="615" t="s">
        <v>250</v>
      </c>
      <c r="D597" s="615" t="s">
        <v>1090</v>
      </c>
      <c r="E597" s="615" t="s">
        <v>38</v>
      </c>
      <c r="F597" s="345">
        <f>F598</f>
        <v>1736190</v>
      </c>
    </row>
    <row r="598" spans="1:6" outlineLevel="3" x14ac:dyDescent="0.25">
      <c r="A598" s="423" t="s">
        <v>74</v>
      </c>
      <c r="B598" s="615" t="s">
        <v>490</v>
      </c>
      <c r="C598" s="615" t="s">
        <v>250</v>
      </c>
      <c r="D598" s="615" t="s">
        <v>1090</v>
      </c>
      <c r="E598" s="615" t="s">
        <v>75</v>
      </c>
      <c r="F598" s="345">
        <f>'потребность 2024 проект весь'!M613</f>
        <v>1736190</v>
      </c>
    </row>
    <row r="599" spans="1:6" outlineLevel="3" x14ac:dyDescent="0.25">
      <c r="A599" s="423" t="s">
        <v>1072</v>
      </c>
      <c r="B599" s="615" t="s">
        <v>490</v>
      </c>
      <c r="C599" s="615" t="s">
        <v>77</v>
      </c>
      <c r="D599" s="615" t="s">
        <v>126</v>
      </c>
      <c r="E599" s="615" t="s">
        <v>6</v>
      </c>
      <c r="F599" s="402">
        <f>F600</f>
        <v>195000</v>
      </c>
    </row>
    <row r="600" spans="1:6" ht="36.700000000000003" outlineLevel="3" x14ac:dyDescent="0.25">
      <c r="A600" s="45" t="s">
        <v>1169</v>
      </c>
      <c r="B600" s="616" t="s">
        <v>490</v>
      </c>
      <c r="C600" s="616" t="s">
        <v>77</v>
      </c>
      <c r="D600" s="616" t="s">
        <v>138</v>
      </c>
      <c r="E600" s="616" t="s">
        <v>6</v>
      </c>
      <c r="F600" s="347">
        <f>F601+F607</f>
        <v>195000</v>
      </c>
    </row>
    <row r="601" spans="1:6" ht="36.700000000000003" outlineLevel="3" x14ac:dyDescent="0.25">
      <c r="A601" s="423" t="s">
        <v>1040</v>
      </c>
      <c r="B601" s="615" t="s">
        <v>490</v>
      </c>
      <c r="C601" s="615" t="s">
        <v>77</v>
      </c>
      <c r="D601" s="615" t="s">
        <v>146</v>
      </c>
      <c r="E601" s="615" t="s">
        <v>6</v>
      </c>
      <c r="F601" s="402">
        <f>F602</f>
        <v>70000</v>
      </c>
    </row>
    <row r="602" spans="1:6" ht="36.700000000000003" outlineLevel="7" x14ac:dyDescent="0.25">
      <c r="A602" s="423" t="s">
        <v>204</v>
      </c>
      <c r="B602" s="615" t="s">
        <v>490</v>
      </c>
      <c r="C602" s="615" t="s">
        <v>77</v>
      </c>
      <c r="D602" s="615" t="s">
        <v>217</v>
      </c>
      <c r="E602" s="615" t="s">
        <v>6</v>
      </c>
      <c r="F602" s="402">
        <f>F603</f>
        <v>70000</v>
      </c>
    </row>
    <row r="603" spans="1:6" outlineLevel="7" x14ac:dyDescent="0.25">
      <c r="A603" s="423" t="s">
        <v>395</v>
      </c>
      <c r="B603" s="615" t="s">
        <v>490</v>
      </c>
      <c r="C603" s="615" t="s">
        <v>77</v>
      </c>
      <c r="D603" s="615" t="s">
        <v>232</v>
      </c>
      <c r="E603" s="615" t="s">
        <v>6</v>
      </c>
      <c r="F603" s="402">
        <f>F604</f>
        <v>70000</v>
      </c>
    </row>
    <row r="604" spans="1:6" ht="23.3" customHeight="1" outlineLevel="7" x14ac:dyDescent="0.25">
      <c r="A604" s="423" t="s">
        <v>15</v>
      </c>
      <c r="B604" s="615" t="s">
        <v>490</v>
      </c>
      <c r="C604" s="615" t="s">
        <v>77</v>
      </c>
      <c r="D604" s="615" t="s">
        <v>232</v>
      </c>
      <c r="E604" s="615" t="s">
        <v>16</v>
      </c>
      <c r="F604" s="402">
        <f>F605</f>
        <v>70000</v>
      </c>
    </row>
    <row r="605" spans="1:6" ht="36.700000000000003" outlineLevel="2" x14ac:dyDescent="0.25">
      <c r="A605" s="423" t="s">
        <v>17</v>
      </c>
      <c r="B605" s="615" t="s">
        <v>490</v>
      </c>
      <c r="C605" s="615" t="s">
        <v>77</v>
      </c>
      <c r="D605" s="615" t="s">
        <v>232</v>
      </c>
      <c r="E605" s="615" t="s">
        <v>18</v>
      </c>
      <c r="F605" s="345">
        <f>'потребность 2023 (5)'!K665</f>
        <v>70000</v>
      </c>
    </row>
    <row r="606" spans="1:6" outlineLevel="7" x14ac:dyDescent="0.25">
      <c r="A606" s="423" t="s">
        <v>234</v>
      </c>
      <c r="B606" s="615" t="s">
        <v>490</v>
      </c>
      <c r="C606" s="615" t="s">
        <v>77</v>
      </c>
      <c r="D606" s="615" t="s">
        <v>233</v>
      </c>
      <c r="E606" s="615" t="s">
        <v>6</v>
      </c>
      <c r="F606" s="345">
        <f>F607</f>
        <v>125000</v>
      </c>
    </row>
    <row r="607" spans="1:6" outlineLevel="5" x14ac:dyDescent="0.25">
      <c r="A607" s="423" t="s">
        <v>78</v>
      </c>
      <c r="B607" s="615" t="s">
        <v>490</v>
      </c>
      <c r="C607" s="615" t="s">
        <v>77</v>
      </c>
      <c r="D607" s="615" t="s">
        <v>153</v>
      </c>
      <c r="E607" s="615" t="s">
        <v>6</v>
      </c>
      <c r="F607" s="402">
        <f>F608</f>
        <v>125000</v>
      </c>
    </row>
    <row r="608" spans="1:6" ht="36.700000000000003" outlineLevel="6" x14ac:dyDescent="0.25">
      <c r="A608" s="423" t="s">
        <v>15</v>
      </c>
      <c r="B608" s="615" t="s">
        <v>490</v>
      </c>
      <c r="C608" s="615" t="s">
        <v>77</v>
      </c>
      <c r="D608" s="615" t="s">
        <v>153</v>
      </c>
      <c r="E608" s="615" t="s">
        <v>16</v>
      </c>
      <c r="F608" s="402">
        <f>F609</f>
        <v>125000</v>
      </c>
    </row>
    <row r="609" spans="1:8" ht="36.700000000000003" outlineLevel="7" x14ac:dyDescent="0.25">
      <c r="A609" s="423" t="s">
        <v>17</v>
      </c>
      <c r="B609" s="615" t="s">
        <v>490</v>
      </c>
      <c r="C609" s="615" t="s">
        <v>77</v>
      </c>
      <c r="D609" s="615" t="s">
        <v>153</v>
      </c>
      <c r="E609" s="615" t="s">
        <v>18</v>
      </c>
      <c r="F609" s="345">
        <f>'потребность 2023 (5)'!K677</f>
        <v>125000</v>
      </c>
    </row>
    <row r="610" spans="1:8" outlineLevel="6" x14ac:dyDescent="0.25">
      <c r="A610" s="423" t="s">
        <v>116</v>
      </c>
      <c r="B610" s="615" t="s">
        <v>490</v>
      </c>
      <c r="C610" s="615" t="s">
        <v>117</v>
      </c>
      <c r="D610" s="615" t="s">
        <v>126</v>
      </c>
      <c r="E610" s="615" t="s">
        <v>6</v>
      </c>
      <c r="F610" s="402">
        <f>F611</f>
        <v>30670080</v>
      </c>
    </row>
    <row r="611" spans="1:8" ht="46.55" customHeight="1" outlineLevel="7" x14ac:dyDescent="0.25">
      <c r="A611" s="45" t="s">
        <v>1170</v>
      </c>
      <c r="B611" s="616" t="s">
        <v>490</v>
      </c>
      <c r="C611" s="616" t="s">
        <v>117</v>
      </c>
      <c r="D611" s="616" t="s">
        <v>138</v>
      </c>
      <c r="E611" s="616" t="s">
        <v>6</v>
      </c>
      <c r="F611" s="435">
        <f>F612+F630</f>
        <v>30670080</v>
      </c>
    </row>
    <row r="612" spans="1:8" ht="36.700000000000003" outlineLevel="6" x14ac:dyDescent="0.25">
      <c r="A612" s="423" t="s">
        <v>206</v>
      </c>
      <c r="B612" s="615" t="s">
        <v>490</v>
      </c>
      <c r="C612" s="615" t="s">
        <v>117</v>
      </c>
      <c r="D612" s="615" t="s">
        <v>223</v>
      </c>
      <c r="E612" s="615" t="s">
        <v>6</v>
      </c>
      <c r="F612" s="347">
        <f>F613+F620+F627</f>
        <v>26621706</v>
      </c>
    </row>
    <row r="613" spans="1:8" ht="39.75" customHeight="1" outlineLevel="7" x14ac:dyDescent="0.25">
      <c r="A613" s="423" t="s">
        <v>449</v>
      </c>
      <c r="B613" s="615" t="s">
        <v>490</v>
      </c>
      <c r="C613" s="615" t="s">
        <v>117</v>
      </c>
      <c r="D613" s="615" t="s">
        <v>489</v>
      </c>
      <c r="E613" s="615" t="s">
        <v>6</v>
      </c>
      <c r="F613" s="402">
        <f>F614+F616+F618</f>
        <v>6139000</v>
      </c>
    </row>
    <row r="614" spans="1:8" ht="73.400000000000006" outlineLevel="3" x14ac:dyDescent="0.25">
      <c r="A614" s="423" t="s">
        <v>11</v>
      </c>
      <c r="B614" s="615" t="s">
        <v>490</v>
      </c>
      <c r="C614" s="615" t="s">
        <v>117</v>
      </c>
      <c r="D614" s="615" t="s">
        <v>489</v>
      </c>
      <c r="E614" s="615" t="s">
        <v>12</v>
      </c>
      <c r="F614" s="402">
        <f>F615</f>
        <v>5859000</v>
      </c>
    </row>
    <row r="615" spans="1:8" ht="36.700000000000003" outlineLevel="3" x14ac:dyDescent="0.25">
      <c r="A615" s="423" t="s">
        <v>13</v>
      </c>
      <c r="B615" s="615" t="s">
        <v>490</v>
      </c>
      <c r="C615" s="615" t="s">
        <v>117</v>
      </c>
      <c r="D615" s="615" t="s">
        <v>489</v>
      </c>
      <c r="E615" s="615" t="s">
        <v>14</v>
      </c>
      <c r="F615" s="345">
        <f>'потребность 2024 проект весь'!M642</f>
        <v>5859000</v>
      </c>
    </row>
    <row r="616" spans="1:8" ht="36.700000000000003" outlineLevel="3" x14ac:dyDescent="0.25">
      <c r="A616" s="423" t="s">
        <v>15</v>
      </c>
      <c r="B616" s="615" t="s">
        <v>490</v>
      </c>
      <c r="C616" s="615" t="s">
        <v>117</v>
      </c>
      <c r="D616" s="615" t="s">
        <v>489</v>
      </c>
      <c r="E616" s="615" t="s">
        <v>16</v>
      </c>
      <c r="F616" s="402">
        <f>F617</f>
        <v>280000</v>
      </c>
    </row>
    <row r="617" spans="1:8" s="76" customFormat="1" ht="46.2" customHeight="1" outlineLevel="3" x14ac:dyDescent="0.25">
      <c r="A617" s="423" t="s">
        <v>17</v>
      </c>
      <c r="B617" s="615" t="s">
        <v>490</v>
      </c>
      <c r="C617" s="615" t="s">
        <v>117</v>
      </c>
      <c r="D617" s="615" t="s">
        <v>489</v>
      </c>
      <c r="E617" s="615" t="s">
        <v>18</v>
      </c>
      <c r="F617" s="345">
        <f>'потребность 2024 проект весь'!M644</f>
        <v>280000</v>
      </c>
      <c r="G617" s="75"/>
      <c r="H617" s="75"/>
    </row>
    <row r="618" spans="1:8" hidden="1" outlineLevel="3" x14ac:dyDescent="0.25">
      <c r="A618" s="423" t="s">
        <v>19</v>
      </c>
      <c r="B618" s="615" t="s">
        <v>490</v>
      </c>
      <c r="C618" s="615" t="s">
        <v>117</v>
      </c>
      <c r="D618" s="615" t="s">
        <v>489</v>
      </c>
      <c r="E618" s="615" t="s">
        <v>20</v>
      </c>
      <c r="F618" s="345">
        <f>F619</f>
        <v>0</v>
      </c>
    </row>
    <row r="619" spans="1:8" s="76" customFormat="1" hidden="1" outlineLevel="3" x14ac:dyDescent="0.25">
      <c r="A619" s="423" t="s">
        <v>21</v>
      </c>
      <c r="B619" s="615" t="s">
        <v>490</v>
      </c>
      <c r="C619" s="615" t="s">
        <v>117</v>
      </c>
      <c r="D619" s="615" t="s">
        <v>489</v>
      </c>
      <c r="E619" s="615" t="s">
        <v>22</v>
      </c>
      <c r="F619" s="345">
        <f>'потребность 2023 (5)'!K687</f>
        <v>0</v>
      </c>
      <c r="G619" s="75"/>
      <c r="H619" s="75"/>
    </row>
    <row r="620" spans="1:8" ht="36.700000000000003" outlineLevel="3" x14ac:dyDescent="0.25">
      <c r="A620" s="423" t="s">
        <v>33</v>
      </c>
      <c r="B620" s="615" t="s">
        <v>490</v>
      </c>
      <c r="C620" s="615" t="s">
        <v>117</v>
      </c>
      <c r="D620" s="615" t="s">
        <v>154</v>
      </c>
      <c r="E620" s="615" t="s">
        <v>6</v>
      </c>
      <c r="F620" s="402">
        <f>F621+F623+F625</f>
        <v>17608682</v>
      </c>
    </row>
    <row r="621" spans="1:8" ht="73.400000000000006" outlineLevel="3" x14ac:dyDescent="0.25">
      <c r="A621" s="423" t="s">
        <v>11</v>
      </c>
      <c r="B621" s="615" t="s">
        <v>490</v>
      </c>
      <c r="C621" s="615" t="s">
        <v>117</v>
      </c>
      <c r="D621" s="615" t="s">
        <v>154</v>
      </c>
      <c r="E621" s="615" t="s">
        <v>12</v>
      </c>
      <c r="F621" s="402">
        <f>F622</f>
        <v>14549508</v>
      </c>
    </row>
    <row r="622" spans="1:8" outlineLevel="3" x14ac:dyDescent="0.25">
      <c r="A622" s="423" t="s">
        <v>34</v>
      </c>
      <c r="B622" s="615" t="s">
        <v>490</v>
      </c>
      <c r="C622" s="615" t="s">
        <v>117</v>
      </c>
      <c r="D622" s="615" t="s">
        <v>154</v>
      </c>
      <c r="E622" s="615" t="s">
        <v>35</v>
      </c>
      <c r="F622" s="345">
        <f>'потребность 2024 проект весь'!M649</f>
        <v>14549508</v>
      </c>
    </row>
    <row r="623" spans="1:8" ht="36.700000000000003" outlineLevel="3" x14ac:dyDescent="0.25">
      <c r="A623" s="423" t="s">
        <v>15</v>
      </c>
      <c r="B623" s="615" t="s">
        <v>490</v>
      </c>
      <c r="C623" s="615" t="s">
        <v>117</v>
      </c>
      <c r="D623" s="615" t="s">
        <v>154</v>
      </c>
      <c r="E623" s="615" t="s">
        <v>16</v>
      </c>
      <c r="F623" s="402">
        <f>F624</f>
        <v>3027694</v>
      </c>
    </row>
    <row r="624" spans="1:8" ht="57.25" customHeight="1" outlineLevel="3" x14ac:dyDescent="0.25">
      <c r="A624" s="423" t="s">
        <v>17</v>
      </c>
      <c r="B624" s="615" t="s">
        <v>490</v>
      </c>
      <c r="C624" s="615" t="s">
        <v>117</v>
      </c>
      <c r="D624" s="615" t="s">
        <v>154</v>
      </c>
      <c r="E624" s="615" t="s">
        <v>18</v>
      </c>
      <c r="F624" s="345">
        <f>'потребность 2024 проект весь'!M651</f>
        <v>3027694</v>
      </c>
    </row>
    <row r="625" spans="1:8" s="76" customFormat="1" ht="40.75" customHeight="1" outlineLevel="3" x14ac:dyDescent="0.25">
      <c r="A625" s="423" t="s">
        <v>19</v>
      </c>
      <c r="B625" s="615" t="s">
        <v>490</v>
      </c>
      <c r="C625" s="615" t="s">
        <v>117</v>
      </c>
      <c r="D625" s="615" t="s">
        <v>154</v>
      </c>
      <c r="E625" s="615" t="s">
        <v>20</v>
      </c>
      <c r="F625" s="402">
        <f>F626</f>
        <v>31480</v>
      </c>
      <c r="G625" s="75"/>
      <c r="H625" s="75"/>
    </row>
    <row r="626" spans="1:8" ht="34" customHeight="1" outlineLevel="3" x14ac:dyDescent="0.25">
      <c r="A626" s="423" t="s">
        <v>21</v>
      </c>
      <c r="B626" s="615" t="s">
        <v>490</v>
      </c>
      <c r="C626" s="615" t="s">
        <v>117</v>
      </c>
      <c r="D626" s="615" t="s">
        <v>154</v>
      </c>
      <c r="E626" s="615" t="s">
        <v>22</v>
      </c>
      <c r="F626" s="345">
        <f>'потребность 2024 проект весь'!M653</f>
        <v>31480</v>
      </c>
    </row>
    <row r="627" spans="1:8" ht="48.9" customHeight="1" outlineLevel="3" x14ac:dyDescent="0.25">
      <c r="A627" s="423" t="s">
        <v>36</v>
      </c>
      <c r="B627" s="615" t="s">
        <v>490</v>
      </c>
      <c r="C627" s="615" t="s">
        <v>117</v>
      </c>
      <c r="D627" s="615" t="s">
        <v>155</v>
      </c>
      <c r="E627" s="615" t="s">
        <v>6</v>
      </c>
      <c r="F627" s="402">
        <f>F628</f>
        <v>2874024</v>
      </c>
    </row>
    <row r="628" spans="1:8" ht="45.7" customHeight="1" outlineLevel="3" x14ac:dyDescent="0.25">
      <c r="A628" s="423" t="s">
        <v>37</v>
      </c>
      <c r="B628" s="615" t="s">
        <v>490</v>
      </c>
      <c r="C628" s="615" t="s">
        <v>117</v>
      </c>
      <c r="D628" s="615" t="s">
        <v>155</v>
      </c>
      <c r="E628" s="615" t="s">
        <v>38</v>
      </c>
      <c r="F628" s="402">
        <f>F629</f>
        <v>2874024</v>
      </c>
    </row>
    <row r="629" spans="1:8" ht="22.75" customHeight="1" outlineLevel="3" x14ac:dyDescent="0.25">
      <c r="A629" s="423" t="s">
        <v>39</v>
      </c>
      <c r="B629" s="615" t="s">
        <v>490</v>
      </c>
      <c r="C629" s="615" t="s">
        <v>117</v>
      </c>
      <c r="D629" s="615" t="s">
        <v>155</v>
      </c>
      <c r="E629" s="615" t="s">
        <v>40</v>
      </c>
      <c r="F629" s="345">
        <f>'потребность 2024 проект весь'!M656</f>
        <v>2874024</v>
      </c>
    </row>
    <row r="630" spans="1:8" ht="52.3" customHeight="1" outlineLevel="3" x14ac:dyDescent="0.25">
      <c r="A630" s="423" t="s">
        <v>1040</v>
      </c>
      <c r="B630" s="615" t="s">
        <v>490</v>
      </c>
      <c r="C630" s="615" t="s">
        <v>117</v>
      </c>
      <c r="D630" s="615" t="s">
        <v>146</v>
      </c>
      <c r="E630" s="615" t="s">
        <v>6</v>
      </c>
      <c r="F630" s="345">
        <f>F631</f>
        <v>4048374</v>
      </c>
    </row>
    <row r="631" spans="1:8" ht="47.75" customHeight="1" outlineLevel="3" x14ac:dyDescent="0.25">
      <c r="A631" s="423" t="s">
        <v>267</v>
      </c>
      <c r="B631" s="615" t="s">
        <v>490</v>
      </c>
      <c r="C631" s="615" t="s">
        <v>117</v>
      </c>
      <c r="D631" s="615" t="s">
        <v>220</v>
      </c>
      <c r="E631" s="615" t="s">
        <v>6</v>
      </c>
      <c r="F631" s="345">
        <f>F632</f>
        <v>4048374</v>
      </c>
    </row>
    <row r="632" spans="1:8" ht="86.3" customHeight="1" outlineLevel="3" x14ac:dyDescent="0.25">
      <c r="A632" s="31" t="s">
        <v>937</v>
      </c>
      <c r="B632" s="615" t="s">
        <v>490</v>
      </c>
      <c r="C632" s="615" t="s">
        <v>117</v>
      </c>
      <c r="D632" s="615" t="s">
        <v>152</v>
      </c>
      <c r="E632" s="615" t="s">
        <v>6</v>
      </c>
      <c r="F632" s="345">
        <f>F633+F635+F637</f>
        <v>4048374</v>
      </c>
    </row>
    <row r="633" spans="1:8" ht="22.75" customHeight="1" outlineLevel="3" x14ac:dyDescent="0.25">
      <c r="A633" s="423" t="s">
        <v>15</v>
      </c>
      <c r="B633" s="615" t="s">
        <v>490</v>
      </c>
      <c r="C633" s="615" t="s">
        <v>117</v>
      </c>
      <c r="D633" s="615" t="s">
        <v>152</v>
      </c>
      <c r="E633" s="615" t="s">
        <v>16</v>
      </c>
      <c r="F633" s="345">
        <f>F634</f>
        <v>2000</v>
      </c>
    </row>
    <row r="634" spans="1:8" ht="22.75" customHeight="1" outlineLevel="3" x14ac:dyDescent="0.25">
      <c r="A634" s="423" t="s">
        <v>17</v>
      </c>
      <c r="B634" s="615" t="s">
        <v>490</v>
      </c>
      <c r="C634" s="615" t="s">
        <v>117</v>
      </c>
      <c r="D634" s="615" t="s">
        <v>152</v>
      </c>
      <c r="E634" s="615" t="s">
        <v>18</v>
      </c>
      <c r="F634" s="345">
        <v>2000</v>
      </c>
    </row>
    <row r="635" spans="1:8" ht="34" customHeight="1" outlineLevel="3" x14ac:dyDescent="0.25">
      <c r="A635" s="423" t="s">
        <v>90</v>
      </c>
      <c r="B635" s="615" t="s">
        <v>490</v>
      </c>
      <c r="C635" s="615" t="s">
        <v>117</v>
      </c>
      <c r="D635" s="615" t="s">
        <v>152</v>
      </c>
      <c r="E635" s="615" t="s">
        <v>91</v>
      </c>
      <c r="F635" s="345">
        <f>F636</f>
        <v>320000</v>
      </c>
    </row>
    <row r="636" spans="1:8" ht="22.75" customHeight="1" outlineLevel="3" x14ac:dyDescent="0.25">
      <c r="A636" s="423" t="s">
        <v>97</v>
      </c>
      <c r="B636" s="615" t="s">
        <v>490</v>
      </c>
      <c r="C636" s="615" t="s">
        <v>117</v>
      </c>
      <c r="D636" s="615" t="s">
        <v>152</v>
      </c>
      <c r="E636" s="615" t="s">
        <v>98</v>
      </c>
      <c r="F636" s="345">
        <v>320000</v>
      </c>
    </row>
    <row r="637" spans="1:8" ht="22.75" customHeight="1" outlineLevel="3" x14ac:dyDescent="0.25">
      <c r="A637" s="423" t="s">
        <v>37</v>
      </c>
      <c r="B637" s="615" t="s">
        <v>490</v>
      </c>
      <c r="C637" s="615" t="s">
        <v>117</v>
      </c>
      <c r="D637" s="615" t="s">
        <v>152</v>
      </c>
      <c r="E637" s="615" t="s">
        <v>38</v>
      </c>
      <c r="F637" s="345">
        <f>F638</f>
        <v>3726374</v>
      </c>
    </row>
    <row r="638" spans="1:8" ht="22.75" customHeight="1" outlineLevel="3" x14ac:dyDescent="0.25">
      <c r="A638" s="423" t="s">
        <v>74</v>
      </c>
      <c r="B638" s="615" t="s">
        <v>490</v>
      </c>
      <c r="C638" s="615" t="s">
        <v>117</v>
      </c>
      <c r="D638" s="615" t="s">
        <v>152</v>
      </c>
      <c r="E638" s="615" t="s">
        <v>75</v>
      </c>
      <c r="F638" s="345">
        <v>3726374</v>
      </c>
    </row>
    <row r="639" spans="1:8" ht="23.3" customHeight="1" outlineLevel="3" x14ac:dyDescent="0.25">
      <c r="A639" s="45" t="s">
        <v>85</v>
      </c>
      <c r="B639" s="616" t="s">
        <v>490</v>
      </c>
      <c r="C639" s="616" t="s">
        <v>86</v>
      </c>
      <c r="D639" s="616" t="s">
        <v>126</v>
      </c>
      <c r="E639" s="616" t="s">
        <v>6</v>
      </c>
      <c r="F639" s="347">
        <f>F640+F646</f>
        <v>5085411</v>
      </c>
    </row>
    <row r="640" spans="1:8" outlineLevel="3" x14ac:dyDescent="0.25">
      <c r="A640" s="423" t="s">
        <v>94</v>
      </c>
      <c r="B640" s="615" t="s">
        <v>490</v>
      </c>
      <c r="C640" s="615" t="s">
        <v>95</v>
      </c>
      <c r="D640" s="615" t="s">
        <v>126</v>
      </c>
      <c r="E640" s="615" t="s">
        <v>6</v>
      </c>
      <c r="F640" s="402">
        <f>F641</f>
        <v>1160000</v>
      </c>
    </row>
    <row r="641" spans="1:8" ht="36.700000000000003" outlineLevel="3" x14ac:dyDescent="0.25">
      <c r="A641" s="45" t="s">
        <v>1169</v>
      </c>
      <c r="B641" s="616" t="s">
        <v>490</v>
      </c>
      <c r="C641" s="616" t="s">
        <v>95</v>
      </c>
      <c r="D641" s="616" t="s">
        <v>138</v>
      </c>
      <c r="E641" s="616" t="s">
        <v>6</v>
      </c>
      <c r="F641" s="347">
        <f>F642</f>
        <v>1160000</v>
      </c>
    </row>
    <row r="642" spans="1:8" outlineLevel="3" x14ac:dyDescent="0.25">
      <c r="A642" s="423" t="s">
        <v>886</v>
      </c>
      <c r="B642" s="615" t="s">
        <v>490</v>
      </c>
      <c r="C642" s="615" t="s">
        <v>95</v>
      </c>
      <c r="D642" s="615" t="s">
        <v>667</v>
      </c>
      <c r="E642" s="615" t="s">
        <v>6</v>
      </c>
      <c r="F642" s="402">
        <f>F643</f>
        <v>1160000</v>
      </c>
    </row>
    <row r="643" spans="1:8" ht="62.15" customHeight="1" outlineLevel="3" x14ac:dyDescent="0.25">
      <c r="A643" s="31" t="s">
        <v>941</v>
      </c>
      <c r="B643" s="615" t="s">
        <v>490</v>
      </c>
      <c r="C643" s="615" t="s">
        <v>95</v>
      </c>
      <c r="D643" s="615" t="s">
        <v>668</v>
      </c>
      <c r="E643" s="615" t="s">
        <v>6</v>
      </c>
      <c r="F643" s="402">
        <f>F644</f>
        <v>1160000</v>
      </c>
    </row>
    <row r="644" spans="1:8" ht="23.3" customHeight="1" outlineLevel="3" x14ac:dyDescent="0.25">
      <c r="A644" s="423" t="s">
        <v>90</v>
      </c>
      <c r="B644" s="615" t="s">
        <v>490</v>
      </c>
      <c r="C644" s="615" t="s">
        <v>95</v>
      </c>
      <c r="D644" s="615" t="s">
        <v>668</v>
      </c>
      <c r="E644" s="615" t="s">
        <v>91</v>
      </c>
      <c r="F644" s="402">
        <f>F645</f>
        <v>1160000</v>
      </c>
    </row>
    <row r="645" spans="1:8" ht="36.700000000000003" outlineLevel="3" x14ac:dyDescent="0.25">
      <c r="A645" s="423" t="s">
        <v>97</v>
      </c>
      <c r="B645" s="615" t="s">
        <v>490</v>
      </c>
      <c r="C645" s="615" t="s">
        <v>95</v>
      </c>
      <c r="D645" s="615" t="s">
        <v>668</v>
      </c>
      <c r="E645" s="615" t="s">
        <v>98</v>
      </c>
      <c r="F645" s="345">
        <f>'потребность 2024 проект весь'!M672</f>
        <v>1160000</v>
      </c>
    </row>
    <row r="646" spans="1:8" outlineLevel="3" x14ac:dyDescent="0.25">
      <c r="A646" s="423" t="s">
        <v>123</v>
      </c>
      <c r="B646" s="615" t="s">
        <v>490</v>
      </c>
      <c r="C646" s="615" t="s">
        <v>124</v>
      </c>
      <c r="D646" s="615" t="s">
        <v>126</v>
      </c>
      <c r="E646" s="615" t="s">
        <v>6</v>
      </c>
      <c r="F646" s="402">
        <f>F647</f>
        <v>3925411</v>
      </c>
    </row>
    <row r="647" spans="1:8" ht="39.75" customHeight="1" outlineLevel="3" x14ac:dyDescent="0.25">
      <c r="A647" s="45" t="s">
        <v>1170</v>
      </c>
      <c r="B647" s="616" t="s">
        <v>490</v>
      </c>
      <c r="C647" s="616" t="s">
        <v>124</v>
      </c>
      <c r="D647" s="616" t="s">
        <v>138</v>
      </c>
      <c r="E647" s="616" t="s">
        <v>6</v>
      </c>
      <c r="F647" s="347">
        <f>F648</f>
        <v>3925411</v>
      </c>
    </row>
    <row r="648" spans="1:8" ht="36.700000000000003" outlineLevel="3" x14ac:dyDescent="0.25">
      <c r="A648" s="423" t="s">
        <v>1038</v>
      </c>
      <c r="B648" s="615" t="s">
        <v>490</v>
      </c>
      <c r="C648" s="615" t="s">
        <v>124</v>
      </c>
      <c r="D648" s="615" t="s">
        <v>139</v>
      </c>
      <c r="E648" s="615" t="s">
        <v>6</v>
      </c>
      <c r="F648" s="402">
        <f>F649</f>
        <v>3925411</v>
      </c>
    </row>
    <row r="649" spans="1:8" ht="24.8" customHeight="1" outlineLevel="3" x14ac:dyDescent="0.25">
      <c r="A649" s="423" t="s">
        <v>202</v>
      </c>
      <c r="B649" s="615" t="s">
        <v>490</v>
      </c>
      <c r="C649" s="615" t="s">
        <v>124</v>
      </c>
      <c r="D649" s="615" t="s">
        <v>231</v>
      </c>
      <c r="E649" s="615" t="s">
        <v>6</v>
      </c>
      <c r="F649" s="402">
        <f>F650</f>
        <v>3925411</v>
      </c>
    </row>
    <row r="650" spans="1:8" s="2" customFormat="1" ht="79.5" customHeight="1" x14ac:dyDescent="0.25">
      <c r="A650" s="31" t="s">
        <v>938</v>
      </c>
      <c r="B650" s="615" t="s">
        <v>490</v>
      </c>
      <c r="C650" s="615" t="s">
        <v>124</v>
      </c>
      <c r="D650" s="615" t="s">
        <v>156</v>
      </c>
      <c r="E650" s="615" t="s">
        <v>6</v>
      </c>
      <c r="F650" s="402">
        <f>F653+F651</f>
        <v>3925411</v>
      </c>
      <c r="G650" s="143"/>
      <c r="H650" s="143"/>
    </row>
    <row r="651" spans="1:8" s="2" customFormat="1" ht="36.700000000000003" x14ac:dyDescent="0.25">
      <c r="A651" s="423" t="s">
        <v>15</v>
      </c>
      <c r="B651" s="615" t="s">
        <v>490</v>
      </c>
      <c r="C651" s="615" t="s">
        <v>124</v>
      </c>
      <c r="D651" s="615" t="s">
        <v>156</v>
      </c>
      <c r="E651" s="615" t="s">
        <v>16</v>
      </c>
      <c r="F651" s="402">
        <f>F652</f>
        <v>30000</v>
      </c>
      <c r="G651" s="143"/>
      <c r="H651" s="143"/>
    </row>
    <row r="652" spans="1:8" s="2" customFormat="1" ht="36.700000000000003" x14ac:dyDescent="0.25">
      <c r="A652" s="423" t="s">
        <v>17</v>
      </c>
      <c r="B652" s="615" t="s">
        <v>490</v>
      </c>
      <c r="C652" s="615" t="s">
        <v>124</v>
      </c>
      <c r="D652" s="615" t="s">
        <v>156</v>
      </c>
      <c r="E652" s="615" t="s">
        <v>18</v>
      </c>
      <c r="F652" s="402">
        <v>30000</v>
      </c>
      <c r="G652" s="143"/>
      <c r="H652" s="143"/>
    </row>
    <row r="653" spans="1:8" s="2" customFormat="1" x14ac:dyDescent="0.25">
      <c r="A653" s="423" t="s">
        <v>90</v>
      </c>
      <c r="B653" s="615" t="s">
        <v>490</v>
      </c>
      <c r="C653" s="615" t="s">
        <v>124</v>
      </c>
      <c r="D653" s="615" t="s">
        <v>156</v>
      </c>
      <c r="E653" s="615" t="s">
        <v>91</v>
      </c>
      <c r="F653" s="402">
        <f>F654</f>
        <v>3895411</v>
      </c>
      <c r="G653" s="143"/>
      <c r="H653" s="143"/>
    </row>
    <row r="654" spans="1:8" s="2" customFormat="1" ht="25.15" customHeight="1" x14ac:dyDescent="0.25">
      <c r="A654" s="423" t="s">
        <v>92</v>
      </c>
      <c r="B654" s="615" t="s">
        <v>490</v>
      </c>
      <c r="C654" s="615" t="s">
        <v>124</v>
      </c>
      <c r="D654" s="615" t="s">
        <v>156</v>
      </c>
      <c r="E654" s="615" t="s">
        <v>93</v>
      </c>
      <c r="F654" s="345">
        <v>3895411</v>
      </c>
      <c r="G654" s="143"/>
      <c r="H654" s="143"/>
    </row>
    <row r="655" spans="1:8" s="2" customFormat="1" x14ac:dyDescent="0.25">
      <c r="A655" s="45" t="s">
        <v>100</v>
      </c>
      <c r="B655" s="615" t="s">
        <v>490</v>
      </c>
      <c r="C655" s="615" t="s">
        <v>101</v>
      </c>
      <c r="D655" s="616" t="s">
        <v>126</v>
      </c>
      <c r="E655" s="615" t="s">
        <v>6</v>
      </c>
      <c r="F655" s="345">
        <f t="shared" ref="F655:F657" si="4">F656</f>
        <v>1900000</v>
      </c>
      <c r="G655" s="143"/>
      <c r="H655" s="143"/>
    </row>
    <row r="656" spans="1:8" x14ac:dyDescent="0.25">
      <c r="A656" s="423" t="s">
        <v>291</v>
      </c>
      <c r="B656" s="615" t="s">
        <v>490</v>
      </c>
      <c r="C656" s="615" t="s">
        <v>290</v>
      </c>
      <c r="D656" s="616" t="s">
        <v>126</v>
      </c>
      <c r="E656" s="615" t="s">
        <v>6</v>
      </c>
      <c r="F656" s="345">
        <f t="shared" si="4"/>
        <v>1900000</v>
      </c>
    </row>
    <row r="657" spans="1:6" ht="44.5" customHeight="1" x14ac:dyDescent="0.25">
      <c r="A657" s="45" t="s">
        <v>1171</v>
      </c>
      <c r="B657" s="615" t="s">
        <v>490</v>
      </c>
      <c r="C657" s="615" t="s">
        <v>290</v>
      </c>
      <c r="D657" s="616" t="s">
        <v>198</v>
      </c>
      <c r="E657" s="615" t="s">
        <v>6</v>
      </c>
      <c r="F657" s="345">
        <f t="shared" si="4"/>
        <v>1900000</v>
      </c>
    </row>
    <row r="658" spans="1:6" ht="36.700000000000003" x14ac:dyDescent="0.25">
      <c r="A658" s="423" t="s">
        <v>1014</v>
      </c>
      <c r="B658" s="615" t="s">
        <v>490</v>
      </c>
      <c r="C658" s="615" t="s">
        <v>290</v>
      </c>
      <c r="D658" s="615" t="s">
        <v>227</v>
      </c>
      <c r="E658" s="615" t="s">
        <v>6</v>
      </c>
      <c r="F658" s="345">
        <f>F659+F662+F665</f>
        <v>1900000</v>
      </c>
    </row>
    <row r="659" spans="1:6" ht="36.700000000000003" x14ac:dyDescent="0.25">
      <c r="A659" s="423" t="s">
        <v>797</v>
      </c>
      <c r="B659" s="615" t="s">
        <v>490</v>
      </c>
      <c r="C659" s="615" t="s">
        <v>290</v>
      </c>
      <c r="D659" s="615" t="s">
        <v>798</v>
      </c>
      <c r="E659" s="615" t="s">
        <v>6</v>
      </c>
      <c r="F659" s="345">
        <f>F660</f>
        <v>1900000</v>
      </c>
    </row>
    <row r="660" spans="1:6" ht="36.700000000000003" x14ac:dyDescent="0.25">
      <c r="A660" s="423" t="s">
        <v>37</v>
      </c>
      <c r="B660" s="615" t="s">
        <v>490</v>
      </c>
      <c r="C660" s="615" t="s">
        <v>290</v>
      </c>
      <c r="D660" s="615" t="s">
        <v>798</v>
      </c>
      <c r="E660" s="615" t="s">
        <v>38</v>
      </c>
      <c r="F660" s="345">
        <f>F661</f>
        <v>1900000</v>
      </c>
    </row>
    <row r="661" spans="1:6" x14ac:dyDescent="0.25">
      <c r="A661" s="423" t="s">
        <v>74</v>
      </c>
      <c r="B661" s="615" t="s">
        <v>490</v>
      </c>
      <c r="C661" s="615" t="s">
        <v>290</v>
      </c>
      <c r="D661" s="615" t="s">
        <v>798</v>
      </c>
      <c r="E661" s="615" t="s">
        <v>75</v>
      </c>
      <c r="F661" s="345">
        <f>'потребность 2024 проект весь'!M688</f>
        <v>1900000</v>
      </c>
    </row>
    <row r="662" spans="1:6" ht="36.700000000000003" hidden="1" x14ac:dyDescent="0.25">
      <c r="A662" s="423" t="s">
        <v>848</v>
      </c>
      <c r="B662" s="615" t="s">
        <v>490</v>
      </c>
      <c r="C662" s="615" t="s">
        <v>290</v>
      </c>
      <c r="D662" s="615" t="s">
        <v>867</v>
      </c>
      <c r="E662" s="615" t="s">
        <v>6</v>
      </c>
      <c r="F662" s="345">
        <f>F664</f>
        <v>0</v>
      </c>
    </row>
    <row r="663" spans="1:6" ht="36.700000000000003" hidden="1" x14ac:dyDescent="0.25">
      <c r="A663" s="423" t="s">
        <v>37</v>
      </c>
      <c r="B663" s="615" t="s">
        <v>490</v>
      </c>
      <c r="C663" s="615" t="s">
        <v>290</v>
      </c>
      <c r="D663" s="615" t="s">
        <v>867</v>
      </c>
      <c r="E663" s="615" t="s">
        <v>38</v>
      </c>
      <c r="F663" s="345">
        <f>F664</f>
        <v>0</v>
      </c>
    </row>
    <row r="664" spans="1:6" hidden="1" x14ac:dyDescent="0.25">
      <c r="A664" s="423" t="s">
        <v>74</v>
      </c>
      <c r="B664" s="615" t="s">
        <v>490</v>
      </c>
      <c r="C664" s="615" t="s">
        <v>290</v>
      </c>
      <c r="D664" s="615" t="s">
        <v>867</v>
      </c>
      <c r="E664" s="615" t="s">
        <v>75</v>
      </c>
      <c r="F664" s="345"/>
    </row>
    <row r="665" spans="1:6" ht="55.05" hidden="1" x14ac:dyDescent="0.25">
      <c r="A665" s="423" t="s">
        <v>787</v>
      </c>
      <c r="B665" s="615" t="s">
        <v>490</v>
      </c>
      <c r="C665" s="615" t="s">
        <v>290</v>
      </c>
      <c r="D665" s="615" t="s">
        <v>868</v>
      </c>
      <c r="E665" s="615" t="s">
        <v>6</v>
      </c>
      <c r="F665" s="345">
        <f>F666</f>
        <v>0</v>
      </c>
    </row>
    <row r="666" spans="1:6" ht="36.700000000000003" hidden="1" x14ac:dyDescent="0.25">
      <c r="A666" s="423" t="s">
        <v>37</v>
      </c>
      <c r="B666" s="615" t="s">
        <v>490</v>
      </c>
      <c r="C666" s="615" t="s">
        <v>290</v>
      </c>
      <c r="D666" s="615" t="s">
        <v>868</v>
      </c>
      <c r="E666" s="615" t="s">
        <v>38</v>
      </c>
      <c r="F666" s="345">
        <f>F667</f>
        <v>0</v>
      </c>
    </row>
    <row r="667" spans="1:6" hidden="1" x14ac:dyDescent="0.25">
      <c r="A667" s="423" t="s">
        <v>74</v>
      </c>
      <c r="B667" s="615" t="s">
        <v>490</v>
      </c>
      <c r="C667" s="615" t="s">
        <v>290</v>
      </c>
      <c r="D667" s="615" t="s">
        <v>868</v>
      </c>
      <c r="E667" s="615" t="s">
        <v>75</v>
      </c>
      <c r="F667" s="345"/>
    </row>
    <row r="668" spans="1:6" ht="36.700000000000003" x14ac:dyDescent="0.25">
      <c r="A668" s="78" t="s">
        <v>671</v>
      </c>
      <c r="B668" s="622">
        <v>959</v>
      </c>
      <c r="C668" s="396" t="s">
        <v>5</v>
      </c>
      <c r="D668" s="396" t="s">
        <v>126</v>
      </c>
      <c r="E668" s="396" t="s">
        <v>6</v>
      </c>
      <c r="F668" s="348">
        <f>F669</f>
        <v>2226836.5799999996</v>
      </c>
    </row>
    <row r="669" spans="1:6" x14ac:dyDescent="0.25">
      <c r="A669" s="423" t="s">
        <v>7</v>
      </c>
      <c r="B669" s="615" t="s">
        <v>672</v>
      </c>
      <c r="C669" s="615" t="s">
        <v>8</v>
      </c>
      <c r="D669" s="615" t="s">
        <v>126</v>
      </c>
      <c r="E669" s="615" t="s">
        <v>6</v>
      </c>
      <c r="F669" s="345">
        <f>F670+F682</f>
        <v>2226836.5799999996</v>
      </c>
    </row>
    <row r="670" spans="1:6" ht="36.700000000000003" x14ac:dyDescent="0.25">
      <c r="A670" s="423" t="s">
        <v>9</v>
      </c>
      <c r="B670" s="615" t="s">
        <v>672</v>
      </c>
      <c r="C670" s="615" t="s">
        <v>10</v>
      </c>
      <c r="D670" s="615" t="s">
        <v>126</v>
      </c>
      <c r="E670" s="615" t="s">
        <v>6</v>
      </c>
      <c r="F670" s="402">
        <f>F671</f>
        <v>2207836.5799999996</v>
      </c>
    </row>
    <row r="671" spans="1:6" ht="36.700000000000003" x14ac:dyDescent="0.25">
      <c r="A671" s="423" t="s">
        <v>132</v>
      </c>
      <c r="B671" s="615" t="s">
        <v>672</v>
      </c>
      <c r="C671" s="615" t="s">
        <v>10</v>
      </c>
      <c r="D671" s="615" t="s">
        <v>127</v>
      </c>
      <c r="E671" s="615" t="s">
        <v>6</v>
      </c>
      <c r="F671" s="402">
        <f>F672+F675</f>
        <v>2207836.5799999996</v>
      </c>
    </row>
    <row r="672" spans="1:6" x14ac:dyDescent="0.25">
      <c r="A672" s="423" t="s">
        <v>673</v>
      </c>
      <c r="B672" s="615" t="s">
        <v>672</v>
      </c>
      <c r="C672" s="615" t="s">
        <v>10</v>
      </c>
      <c r="D672" s="615" t="s">
        <v>143</v>
      </c>
      <c r="E672" s="615" t="s">
        <v>6</v>
      </c>
      <c r="F672" s="402">
        <f>F673</f>
        <v>1887875.2599999998</v>
      </c>
    </row>
    <row r="673" spans="1:6" ht="73.400000000000006" x14ac:dyDescent="0.25">
      <c r="A673" s="423" t="s">
        <v>11</v>
      </c>
      <c r="B673" s="615" t="s">
        <v>672</v>
      </c>
      <c r="C673" s="615" t="s">
        <v>10</v>
      </c>
      <c r="D673" s="615" t="s">
        <v>143</v>
      </c>
      <c r="E673" s="615" t="s">
        <v>12</v>
      </c>
      <c r="F673" s="402">
        <f>F674</f>
        <v>1887875.2599999998</v>
      </c>
    </row>
    <row r="674" spans="1:6" ht="36.700000000000003" x14ac:dyDescent="0.25">
      <c r="A674" s="423" t="s">
        <v>13</v>
      </c>
      <c r="B674" s="615" t="s">
        <v>672</v>
      </c>
      <c r="C674" s="615" t="s">
        <v>10</v>
      </c>
      <c r="D674" s="615" t="s">
        <v>143</v>
      </c>
      <c r="E674" s="615" t="s">
        <v>14</v>
      </c>
      <c r="F674" s="345">
        <f>'потребность 2024 проект весь'!M704+276621.1</f>
        <v>1887875.2599999998</v>
      </c>
    </row>
    <row r="675" spans="1:6" ht="45.7" customHeight="1" x14ac:dyDescent="0.25">
      <c r="A675" s="423" t="s">
        <v>449</v>
      </c>
      <c r="B675" s="615" t="s">
        <v>672</v>
      </c>
      <c r="C675" s="615" t="s">
        <v>10</v>
      </c>
      <c r="D675" s="615" t="s">
        <v>450</v>
      </c>
      <c r="E675" s="615" t="s">
        <v>6</v>
      </c>
      <c r="F675" s="345">
        <f>F676+F678+F680</f>
        <v>319961.32</v>
      </c>
    </row>
    <row r="676" spans="1:6" ht="73.400000000000006" x14ac:dyDescent="0.25">
      <c r="A676" s="423" t="s">
        <v>11</v>
      </c>
      <c r="B676" s="615" t="s">
        <v>672</v>
      </c>
      <c r="C676" s="615" t="s">
        <v>10</v>
      </c>
      <c r="D676" s="615" t="s">
        <v>450</v>
      </c>
      <c r="E676" s="615" t="s">
        <v>12</v>
      </c>
      <c r="F676" s="345">
        <f>F677</f>
        <v>258461.32</v>
      </c>
    </row>
    <row r="677" spans="1:6" ht="36.700000000000003" x14ac:dyDescent="0.25">
      <c r="A677" s="423" t="s">
        <v>13</v>
      </c>
      <c r="B677" s="615" t="s">
        <v>672</v>
      </c>
      <c r="C677" s="615" t="s">
        <v>10</v>
      </c>
      <c r="D677" s="615" t="s">
        <v>450</v>
      </c>
      <c r="E677" s="615" t="s">
        <v>14</v>
      </c>
      <c r="F677" s="345">
        <f>'потребность 2024 проект весь'!M707+37841.16</f>
        <v>258461.32</v>
      </c>
    </row>
    <row r="678" spans="1:6" ht="36.700000000000003" x14ac:dyDescent="0.25">
      <c r="A678" s="423" t="s">
        <v>15</v>
      </c>
      <c r="B678" s="615" t="s">
        <v>672</v>
      </c>
      <c r="C678" s="615" t="s">
        <v>10</v>
      </c>
      <c r="D678" s="615" t="s">
        <v>450</v>
      </c>
      <c r="E678" s="615" t="s">
        <v>16</v>
      </c>
      <c r="F678" s="345">
        <f>F679</f>
        <v>61000</v>
      </c>
    </row>
    <row r="679" spans="1:6" ht="36.700000000000003" x14ac:dyDescent="0.25">
      <c r="A679" s="423" t="s">
        <v>17</v>
      </c>
      <c r="B679" s="615" t="s">
        <v>672</v>
      </c>
      <c r="C679" s="615" t="s">
        <v>10</v>
      </c>
      <c r="D679" s="615" t="s">
        <v>450</v>
      </c>
      <c r="E679" s="615" t="s">
        <v>18</v>
      </c>
      <c r="F679" s="345">
        <f>'потребность 2024 проект весь'!M709</f>
        <v>61000</v>
      </c>
    </row>
    <row r="680" spans="1:6" x14ac:dyDescent="0.25">
      <c r="A680" s="423" t="s">
        <v>19</v>
      </c>
      <c r="B680" s="618" t="s">
        <v>672</v>
      </c>
      <c r="C680" s="618" t="s">
        <v>10</v>
      </c>
      <c r="D680" s="618" t="s">
        <v>450</v>
      </c>
      <c r="E680" s="618" t="s">
        <v>20</v>
      </c>
      <c r="F680" s="345">
        <f>F681</f>
        <v>500</v>
      </c>
    </row>
    <row r="681" spans="1:6" x14ac:dyDescent="0.25">
      <c r="A681" s="423" t="s">
        <v>21</v>
      </c>
      <c r="B681" s="618" t="s">
        <v>672</v>
      </c>
      <c r="C681" s="618" t="s">
        <v>10</v>
      </c>
      <c r="D681" s="618" t="s">
        <v>450</v>
      </c>
      <c r="E681" s="618" t="s">
        <v>22</v>
      </c>
      <c r="F681" s="345">
        <f>'потребность 2024 проект весь'!M711</f>
        <v>500</v>
      </c>
    </row>
    <row r="682" spans="1:6" x14ac:dyDescent="0.25">
      <c r="A682" s="423" t="s">
        <v>23</v>
      </c>
      <c r="B682" s="618" t="s">
        <v>672</v>
      </c>
      <c r="C682" s="618" t="s">
        <v>24</v>
      </c>
      <c r="D682" s="618" t="s">
        <v>126</v>
      </c>
      <c r="E682" s="618" t="s">
        <v>6</v>
      </c>
      <c r="F682" s="345">
        <f>F683+F688</f>
        <v>19000</v>
      </c>
    </row>
    <row r="683" spans="1:6" ht="36.700000000000003" x14ac:dyDescent="0.25">
      <c r="A683" s="45" t="s">
        <v>1149</v>
      </c>
      <c r="B683" s="620" t="s">
        <v>672</v>
      </c>
      <c r="C683" s="620" t="s">
        <v>24</v>
      </c>
      <c r="D683" s="620" t="s">
        <v>128</v>
      </c>
      <c r="E683" s="620" t="s">
        <v>6</v>
      </c>
      <c r="F683" s="345">
        <f>F684</f>
        <v>10000</v>
      </c>
    </row>
    <row r="684" spans="1:6" ht="36.700000000000003" x14ac:dyDescent="0.25">
      <c r="A684" s="423" t="s">
        <v>729</v>
      </c>
      <c r="B684" s="618" t="s">
        <v>672</v>
      </c>
      <c r="C684" s="618" t="s">
        <v>24</v>
      </c>
      <c r="D684" s="618" t="s">
        <v>303</v>
      </c>
      <c r="E684" s="618" t="s">
        <v>6</v>
      </c>
      <c r="F684" s="345">
        <f>F685</f>
        <v>10000</v>
      </c>
    </row>
    <row r="685" spans="1:6" x14ac:dyDescent="0.25">
      <c r="A685" s="423" t="s">
        <v>309</v>
      </c>
      <c r="B685" s="618" t="s">
        <v>672</v>
      </c>
      <c r="C685" s="618" t="s">
        <v>24</v>
      </c>
      <c r="D685" s="618" t="s">
        <v>304</v>
      </c>
      <c r="E685" s="618" t="s">
        <v>6</v>
      </c>
      <c r="F685" s="345">
        <f>F686</f>
        <v>10000</v>
      </c>
    </row>
    <row r="686" spans="1:6" ht="36.700000000000003" x14ac:dyDescent="0.25">
      <c r="A686" s="423" t="s">
        <v>15</v>
      </c>
      <c r="B686" s="618" t="s">
        <v>672</v>
      </c>
      <c r="C686" s="618" t="s">
        <v>24</v>
      </c>
      <c r="D686" s="618" t="s">
        <v>304</v>
      </c>
      <c r="E686" s="618" t="s">
        <v>16</v>
      </c>
      <c r="F686" s="345">
        <f>F687</f>
        <v>10000</v>
      </c>
    </row>
    <row r="687" spans="1:6" ht="36.700000000000003" x14ac:dyDescent="0.25">
      <c r="A687" s="423" t="s">
        <v>17</v>
      </c>
      <c r="B687" s="618" t="s">
        <v>672</v>
      </c>
      <c r="C687" s="618" t="s">
        <v>24</v>
      </c>
      <c r="D687" s="618" t="s">
        <v>304</v>
      </c>
      <c r="E687" s="618" t="s">
        <v>18</v>
      </c>
      <c r="F687" s="345">
        <f>'потребность 2024 проект весь'!M717</f>
        <v>10000</v>
      </c>
    </row>
    <row r="688" spans="1:6" ht="55.05" x14ac:dyDescent="0.25">
      <c r="A688" s="45" t="s">
        <v>1150</v>
      </c>
      <c r="B688" s="620" t="s">
        <v>672</v>
      </c>
      <c r="C688" s="618" t="s">
        <v>24</v>
      </c>
      <c r="D688" s="620" t="s">
        <v>305</v>
      </c>
      <c r="E688" s="620" t="s">
        <v>6</v>
      </c>
      <c r="F688" s="345">
        <f>F689</f>
        <v>9000</v>
      </c>
    </row>
    <row r="689" spans="1:6" ht="36.700000000000003" x14ac:dyDescent="0.25">
      <c r="A689" s="423" t="s">
        <v>245</v>
      </c>
      <c r="B689" s="618" t="s">
        <v>672</v>
      </c>
      <c r="C689" s="618" t="s">
        <v>24</v>
      </c>
      <c r="D689" s="618" t="s">
        <v>306</v>
      </c>
      <c r="E689" s="618" t="s">
        <v>6</v>
      </c>
      <c r="F689" s="345">
        <f>F690</f>
        <v>9000</v>
      </c>
    </row>
    <row r="690" spans="1:6" ht="45" customHeight="1" x14ac:dyDescent="0.25">
      <c r="A690" s="423" t="s">
        <v>25</v>
      </c>
      <c r="B690" s="618" t="s">
        <v>672</v>
      </c>
      <c r="C690" s="618" t="s">
        <v>24</v>
      </c>
      <c r="D690" s="618" t="s">
        <v>317</v>
      </c>
      <c r="E690" s="618" t="s">
        <v>6</v>
      </c>
      <c r="F690" s="345">
        <f>F691</f>
        <v>9000</v>
      </c>
    </row>
    <row r="691" spans="1:6" ht="36.700000000000003" x14ac:dyDescent="0.25">
      <c r="A691" s="423" t="s">
        <v>15</v>
      </c>
      <c r="B691" s="618" t="s">
        <v>672</v>
      </c>
      <c r="C691" s="618" t="s">
        <v>24</v>
      </c>
      <c r="D691" s="618" t="s">
        <v>317</v>
      </c>
      <c r="E691" s="618" t="s">
        <v>16</v>
      </c>
      <c r="F691" s="345">
        <f>F692</f>
        <v>9000</v>
      </c>
    </row>
    <row r="692" spans="1:6" ht="36.700000000000003" x14ac:dyDescent="0.25">
      <c r="A692" s="423" t="s">
        <v>17</v>
      </c>
      <c r="B692" s="618" t="s">
        <v>672</v>
      </c>
      <c r="C692" s="618" t="s">
        <v>24</v>
      </c>
      <c r="D692" s="618" t="s">
        <v>317</v>
      </c>
      <c r="E692" s="618" t="s">
        <v>18</v>
      </c>
      <c r="F692" s="345">
        <f>'потребность 2024 проект весь'!M722</f>
        <v>9000</v>
      </c>
    </row>
    <row r="693" spans="1:6" x14ac:dyDescent="0.25">
      <c r="A693" s="79" t="s">
        <v>685</v>
      </c>
      <c r="B693" s="619"/>
      <c r="C693" s="619"/>
      <c r="D693" s="623"/>
      <c r="E693" s="619"/>
      <c r="F693" s="400">
        <f>F10+F32+F461+F488+F668</f>
        <v>1153434529.2499998</v>
      </c>
    </row>
    <row r="694" spans="1:6" x14ac:dyDescent="0.25">
      <c r="D694" s="624"/>
    </row>
    <row r="695" spans="1:6" x14ac:dyDescent="0.25">
      <c r="D695" s="625" t="s">
        <v>756</v>
      </c>
      <c r="F695" s="609">
        <f>'прил 3 '!C9+'прил 3 '!C39</f>
        <v>1153434529.25</v>
      </c>
    </row>
    <row r="696" spans="1:6" x14ac:dyDescent="0.25">
      <c r="D696" s="624"/>
      <c r="F696" s="612">
        <f>F695-F693</f>
        <v>0</v>
      </c>
    </row>
    <row r="697" spans="1:6" x14ac:dyDescent="0.25">
      <c r="D697" s="624"/>
      <c r="F697" s="612">
        <f>'прил 3 '!C78-'прил 7 '!F693</f>
        <v>0</v>
      </c>
    </row>
    <row r="698" spans="1:6" x14ac:dyDescent="0.25">
      <c r="C698" s="623" t="s">
        <v>8</v>
      </c>
      <c r="D698" s="624"/>
      <c r="F698" s="609">
        <f>F11+F33++F462+F669</f>
        <v>152254511.57000002</v>
      </c>
    </row>
    <row r="699" spans="1:6" x14ac:dyDescent="0.25">
      <c r="C699" s="623" t="s">
        <v>26</v>
      </c>
      <c r="D699" s="624"/>
      <c r="F699" s="609">
        <f>F162</f>
        <v>2074512</v>
      </c>
    </row>
    <row r="700" spans="1:6" x14ac:dyDescent="0.25">
      <c r="C700" s="623" t="s">
        <v>42</v>
      </c>
      <c r="D700" s="624"/>
      <c r="F700" s="609">
        <f>F172</f>
        <v>2612945</v>
      </c>
    </row>
    <row r="701" spans="1:6" x14ac:dyDescent="0.25">
      <c r="C701" s="623" t="s">
        <v>46</v>
      </c>
      <c r="D701" s="624"/>
      <c r="F701" s="609">
        <f>F183</f>
        <v>22716765.300000001</v>
      </c>
    </row>
    <row r="702" spans="1:6" x14ac:dyDescent="0.25">
      <c r="C702" s="623" t="s">
        <v>55</v>
      </c>
      <c r="D702" s="624"/>
      <c r="F702" s="609">
        <f>F234</f>
        <v>52055680.980000004</v>
      </c>
    </row>
    <row r="703" spans="1:6" x14ac:dyDescent="0.25">
      <c r="C703" s="623" t="s">
        <v>65</v>
      </c>
      <c r="D703" s="624"/>
      <c r="F703" s="609">
        <f>F327</f>
        <v>755000</v>
      </c>
    </row>
    <row r="704" spans="1:6" x14ac:dyDescent="0.25">
      <c r="C704" s="623" t="s">
        <v>70</v>
      </c>
      <c r="D704" s="624"/>
      <c r="F704" s="609">
        <f>F343+F489</f>
        <v>819160057.02999985</v>
      </c>
    </row>
    <row r="705" spans="1:8" x14ac:dyDescent="0.25">
      <c r="C705" s="623" t="s">
        <v>80</v>
      </c>
      <c r="D705" s="624"/>
      <c r="F705" s="609">
        <f>F350</f>
        <v>39611430.129999995</v>
      </c>
    </row>
    <row r="706" spans="1:8" x14ac:dyDescent="0.25">
      <c r="C706" s="623" t="s">
        <v>86</v>
      </c>
      <c r="D706" s="624"/>
      <c r="F706" s="609">
        <f>F380+F639</f>
        <v>54751350.669999994</v>
      </c>
    </row>
    <row r="707" spans="1:8" x14ac:dyDescent="0.25">
      <c r="C707" s="623" t="s">
        <v>101</v>
      </c>
      <c r="D707" s="624"/>
      <c r="F707" s="609">
        <f>F428+F655</f>
        <v>3477021.75</v>
      </c>
    </row>
    <row r="708" spans="1:8" x14ac:dyDescent="0.25">
      <c r="C708" s="623" t="s">
        <v>104</v>
      </c>
      <c r="F708" s="609">
        <f>F454</f>
        <v>3965254.82</v>
      </c>
    </row>
    <row r="709" spans="1:8" x14ac:dyDescent="0.25">
      <c r="A709" s="161"/>
      <c r="F709" s="613">
        <f>SUBTOTAL(9,F698:F708)</f>
        <v>1153434529.2499998</v>
      </c>
    </row>
    <row r="711" spans="1:8" x14ac:dyDescent="0.3">
      <c r="D711" s="623" t="s">
        <v>757</v>
      </c>
      <c r="F711" s="609">
        <f>F491+F529+F579+F600+F611+F641+F647</f>
        <v>800868800.99999988</v>
      </c>
      <c r="H711" s="96"/>
    </row>
    <row r="712" spans="1:8" x14ac:dyDescent="0.3">
      <c r="D712" s="623" t="s">
        <v>758</v>
      </c>
      <c r="F712" s="614">
        <f>F345+F352+F417</f>
        <v>63102097.159999996</v>
      </c>
      <c r="G712" s="83"/>
      <c r="H712" s="96"/>
    </row>
    <row r="713" spans="1:8" x14ac:dyDescent="0.3">
      <c r="D713" s="623" t="s">
        <v>759</v>
      </c>
      <c r="F713" s="614">
        <f>F329</f>
        <v>470000</v>
      </c>
      <c r="G713" s="83"/>
      <c r="H713" s="96"/>
    </row>
    <row r="714" spans="1:8" x14ac:dyDescent="0.3">
      <c r="D714" s="623" t="s">
        <v>760</v>
      </c>
      <c r="F714" s="609">
        <f>F430+F657</f>
        <v>3427021.75</v>
      </c>
      <c r="H714" s="96"/>
    </row>
    <row r="715" spans="1:8" x14ac:dyDescent="0.3">
      <c r="D715" s="623" t="s">
        <v>761</v>
      </c>
      <c r="F715" s="609">
        <f>F387</f>
        <v>150000</v>
      </c>
      <c r="H715" s="96"/>
    </row>
    <row r="716" spans="1:8" x14ac:dyDescent="0.3">
      <c r="D716" s="623" t="s">
        <v>762</v>
      </c>
      <c r="F716" s="609">
        <f>F22+F63+F479+F683</f>
        <v>29939801</v>
      </c>
      <c r="H716" s="96"/>
    </row>
    <row r="717" spans="1:8" x14ac:dyDescent="0.3">
      <c r="D717" s="623" t="s">
        <v>763</v>
      </c>
      <c r="F717" s="609">
        <f>F242+F264+F319</f>
        <v>12194106.800000001</v>
      </c>
      <c r="H717" s="96"/>
    </row>
    <row r="718" spans="1:8" x14ac:dyDescent="0.3">
      <c r="D718" s="623" t="s">
        <v>764</v>
      </c>
      <c r="F718" s="609">
        <f>F88</f>
        <v>50000</v>
      </c>
      <c r="H718" s="96"/>
    </row>
    <row r="719" spans="1:8" x14ac:dyDescent="0.3">
      <c r="D719" s="623" t="s">
        <v>765</v>
      </c>
      <c r="F719" s="609">
        <f>F220</f>
        <v>100000</v>
      </c>
      <c r="H719" s="96"/>
    </row>
    <row r="720" spans="1:8" x14ac:dyDescent="0.3">
      <c r="D720" s="623" t="s">
        <v>766</v>
      </c>
      <c r="F720" s="609">
        <f>F392</f>
        <v>872101.61</v>
      </c>
      <c r="H720" s="96"/>
    </row>
    <row r="721" spans="1:8" x14ac:dyDescent="0.3">
      <c r="D721" s="623" t="s">
        <v>767</v>
      </c>
      <c r="F721" s="609">
        <f>F27+F93+F456+F688</f>
        <v>6551334.8200000003</v>
      </c>
      <c r="H721" s="96"/>
    </row>
    <row r="722" spans="1:8" x14ac:dyDescent="0.3">
      <c r="D722" s="623" t="s">
        <v>768</v>
      </c>
      <c r="F722" s="609">
        <f>F208</f>
        <v>15908000</v>
      </c>
      <c r="H722" s="96"/>
    </row>
    <row r="723" spans="1:8" x14ac:dyDescent="0.3">
      <c r="D723" s="623" t="s">
        <v>769</v>
      </c>
      <c r="F723" s="609">
        <f>F338</f>
        <v>285000</v>
      </c>
      <c r="H723" s="96"/>
    </row>
    <row r="724" spans="1:8" x14ac:dyDescent="0.3">
      <c r="D724" s="623" t="s">
        <v>770</v>
      </c>
      <c r="F724" s="609">
        <f>F225</f>
        <v>1125000</v>
      </c>
      <c r="H724" s="96"/>
    </row>
    <row r="725" spans="1:8" x14ac:dyDescent="0.3">
      <c r="D725" s="623" t="s">
        <v>771</v>
      </c>
      <c r="F725" s="609">
        <f>F101+F236</f>
        <v>9076050.5800000001</v>
      </c>
      <c r="H725" s="96"/>
    </row>
    <row r="726" spans="1:8" x14ac:dyDescent="0.3">
      <c r="D726" s="623" t="s">
        <v>776</v>
      </c>
      <c r="F726" s="609">
        <f>F196</f>
        <v>4457631.37</v>
      </c>
      <c r="H726" s="96"/>
    </row>
    <row r="727" spans="1:8" x14ac:dyDescent="0.3">
      <c r="D727" s="623" t="s">
        <v>772</v>
      </c>
      <c r="F727" s="609">
        <f>F449</f>
        <v>50000</v>
      </c>
      <c r="H727" s="96"/>
    </row>
    <row r="728" spans="1:8" x14ac:dyDescent="0.3">
      <c r="D728" s="623" t="s">
        <v>773</v>
      </c>
      <c r="F728" s="609">
        <f>F278</f>
        <v>25358307.810000002</v>
      </c>
      <c r="H728" s="96"/>
    </row>
    <row r="729" spans="1:8" x14ac:dyDescent="0.3">
      <c r="D729" s="623" t="s">
        <v>774</v>
      </c>
      <c r="F729" s="609">
        <f>F298</f>
        <v>11465716.370000001</v>
      </c>
      <c r="H729" s="96"/>
    </row>
    <row r="730" spans="1:8" x14ac:dyDescent="0.3">
      <c r="D730" s="623" t="s">
        <v>929</v>
      </c>
      <c r="F730" s="609">
        <f>F110</f>
        <v>100000</v>
      </c>
      <c r="H730" s="96"/>
    </row>
    <row r="731" spans="1:8" x14ac:dyDescent="0.3">
      <c r="D731" s="623" t="s">
        <v>775</v>
      </c>
      <c r="F731" s="609">
        <f>F13+F35+F40+F47+F53+F58+F115+F164+F174+F179+F185+F191+F382+F397+F405+F464+F484+F671</f>
        <v>167883558.98000002</v>
      </c>
      <c r="H731" s="96"/>
    </row>
    <row r="732" spans="1:8" x14ac:dyDescent="0.3">
      <c r="F732" s="613">
        <f>SUBTOTAL(9,F711:F731)</f>
        <v>1153434529.25</v>
      </c>
      <c r="H732" s="96"/>
    </row>
    <row r="733" spans="1:8" x14ac:dyDescent="0.25">
      <c r="B733" s="4" t="s">
        <v>777</v>
      </c>
      <c r="F733" s="613">
        <f>F385+F411+F654</f>
        <v>25295711.609999999</v>
      </c>
    </row>
    <row r="735" spans="1:8" x14ac:dyDescent="0.25">
      <c r="B735" s="4" t="s">
        <v>689</v>
      </c>
      <c r="F735" s="609">
        <f>F14+F36+F41+F54+F116+F465+F468+F475+F613+F672+F675</f>
        <v>108418002.23</v>
      </c>
    </row>
    <row r="736" spans="1:8" x14ac:dyDescent="0.25">
      <c r="A736" s="161" t="s">
        <v>690</v>
      </c>
      <c r="C736" s="626">
        <v>26.35</v>
      </c>
      <c r="F736" s="609">
        <f>('прил 3 '!C9+'прил 3 '!C42)*0.2635</f>
        <v>130381398.391</v>
      </c>
    </row>
  </sheetData>
  <mergeCells count="3">
    <mergeCell ref="A5:F5"/>
    <mergeCell ref="A6:F6"/>
    <mergeCell ref="A7:F7"/>
  </mergeCells>
  <pageMargins left="1.1811023622047243" right="0.39370078740157483" top="0.39370078740157483" bottom="0.39370078740157483" header="0.31496062992125984" footer="0.31496062992125984"/>
  <pageSetup paperSize="9" scale="61" fitToHeight="0" orientation="portrait" r:id="rId1"/>
  <rowBreaks count="2" manualBreakCount="2">
    <brk id="116" max="5" man="1"/>
    <brk id="436" max="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705"/>
  <sheetViews>
    <sheetView topLeftCell="A166" zoomScaleNormal="100" zoomScaleSheetLayoutView="100" workbookViewId="0">
      <selection activeCell="F146" sqref="F146"/>
    </sheetView>
  </sheetViews>
  <sheetFormatPr defaultRowHeight="18.350000000000001" outlineLevelRow="7" x14ac:dyDescent="0.3"/>
  <cols>
    <col min="1" max="1" width="62.375" style="66" customWidth="1"/>
    <col min="2" max="2" width="6.375" style="3" customWidth="1"/>
    <col min="3" max="3" width="6.625" style="3" customWidth="1"/>
    <col min="4" max="4" width="15.875" style="3" customWidth="1"/>
    <col min="5" max="5" width="6.875" style="3" customWidth="1"/>
    <col min="6" max="6" width="19.125" style="84" customWidth="1"/>
    <col min="7" max="7" width="19.375" style="67" customWidth="1"/>
    <col min="8" max="8" width="9.125" style="67"/>
    <col min="9" max="10" width="9.125" style="1"/>
    <col min="11" max="11" width="18.375" style="1" bestFit="1" customWidth="1"/>
    <col min="12" max="12" width="16.125" style="1" customWidth="1"/>
    <col min="13" max="238" width="9.125" style="1"/>
    <col min="239" max="239" width="75.875" style="1" customWidth="1"/>
    <col min="240" max="241" width="7.625" style="1" customWidth="1"/>
    <col min="242" max="242" width="9.625" style="1" customWidth="1"/>
    <col min="243" max="243" width="7.625" style="1" customWidth="1"/>
    <col min="244" max="247" width="0" style="1" hidden="1" customWidth="1"/>
    <col min="248" max="248" width="14.375" style="1" customWidth="1"/>
    <col min="249" max="254" width="0" style="1" hidden="1" customWidth="1"/>
    <col min="255" max="255" width="10.125" style="1" bestFit="1" customWidth="1"/>
    <col min="256" max="494" width="9.125" style="1"/>
    <col min="495" max="495" width="75.875" style="1" customWidth="1"/>
    <col min="496" max="497" width="7.625" style="1" customWidth="1"/>
    <col min="498" max="498" width="9.625" style="1" customWidth="1"/>
    <col min="499" max="499" width="7.625" style="1" customWidth="1"/>
    <col min="500" max="503" width="0" style="1" hidden="1" customWidth="1"/>
    <col min="504" max="504" width="14.375" style="1" customWidth="1"/>
    <col min="505" max="510" width="0" style="1" hidden="1" customWidth="1"/>
    <col min="511" max="511" width="10.125" style="1" bestFit="1" customWidth="1"/>
    <col min="512" max="750" width="9.125" style="1"/>
    <col min="751" max="751" width="75.875" style="1" customWidth="1"/>
    <col min="752" max="753" width="7.625" style="1" customWidth="1"/>
    <col min="754" max="754" width="9.625" style="1" customWidth="1"/>
    <col min="755" max="755" width="7.625" style="1" customWidth="1"/>
    <col min="756" max="759" width="0" style="1" hidden="1" customWidth="1"/>
    <col min="760" max="760" width="14.375" style="1" customWidth="1"/>
    <col min="761" max="766" width="0" style="1" hidden="1" customWidth="1"/>
    <col min="767" max="767" width="10.125" style="1" bestFit="1" customWidth="1"/>
    <col min="768" max="1006" width="9.125" style="1"/>
    <col min="1007" max="1007" width="75.875" style="1" customWidth="1"/>
    <col min="1008" max="1009" width="7.625" style="1" customWidth="1"/>
    <col min="1010" max="1010" width="9.625" style="1" customWidth="1"/>
    <col min="1011" max="1011" width="7.625" style="1" customWidth="1"/>
    <col min="1012" max="1015" width="0" style="1" hidden="1" customWidth="1"/>
    <col min="1016" max="1016" width="14.375" style="1" customWidth="1"/>
    <col min="1017" max="1022" width="0" style="1" hidden="1" customWidth="1"/>
    <col min="1023" max="1023" width="10.125" style="1" bestFit="1" customWidth="1"/>
    <col min="1024" max="1262" width="9.125" style="1"/>
    <col min="1263" max="1263" width="75.875" style="1" customWidth="1"/>
    <col min="1264" max="1265" width="7.625" style="1" customWidth="1"/>
    <col min="1266" max="1266" width="9.625" style="1" customWidth="1"/>
    <col min="1267" max="1267" width="7.625" style="1" customWidth="1"/>
    <col min="1268" max="1271" width="0" style="1" hidden="1" customWidth="1"/>
    <col min="1272" max="1272" width="14.375" style="1" customWidth="1"/>
    <col min="1273" max="1278" width="0" style="1" hidden="1" customWidth="1"/>
    <col min="1279" max="1279" width="10.125" style="1" bestFit="1" customWidth="1"/>
    <col min="1280" max="1518" width="9.125" style="1"/>
    <col min="1519" max="1519" width="75.875" style="1" customWidth="1"/>
    <col min="1520" max="1521" width="7.625" style="1" customWidth="1"/>
    <col min="1522" max="1522" width="9.625" style="1" customWidth="1"/>
    <col min="1523" max="1523" width="7.625" style="1" customWidth="1"/>
    <col min="1524" max="1527" width="0" style="1" hidden="1" customWidth="1"/>
    <col min="1528" max="1528" width="14.375" style="1" customWidth="1"/>
    <col min="1529" max="1534" width="0" style="1" hidden="1" customWidth="1"/>
    <col min="1535" max="1535" width="10.125" style="1" bestFit="1" customWidth="1"/>
    <col min="1536" max="1774" width="9.125" style="1"/>
    <col min="1775" max="1775" width="75.875" style="1" customWidth="1"/>
    <col min="1776" max="1777" width="7.625" style="1" customWidth="1"/>
    <col min="1778" max="1778" width="9.625" style="1" customWidth="1"/>
    <col min="1779" max="1779" width="7.625" style="1" customWidth="1"/>
    <col min="1780" max="1783" width="0" style="1" hidden="1" customWidth="1"/>
    <col min="1784" max="1784" width="14.375" style="1" customWidth="1"/>
    <col min="1785" max="1790" width="0" style="1" hidden="1" customWidth="1"/>
    <col min="1791" max="1791" width="10.125" style="1" bestFit="1" customWidth="1"/>
    <col min="1792" max="2030" width="9.125" style="1"/>
    <col min="2031" max="2031" width="75.875" style="1" customWidth="1"/>
    <col min="2032" max="2033" width="7.625" style="1" customWidth="1"/>
    <col min="2034" max="2034" width="9.625" style="1" customWidth="1"/>
    <col min="2035" max="2035" width="7.625" style="1" customWidth="1"/>
    <col min="2036" max="2039" width="0" style="1" hidden="1" customWidth="1"/>
    <col min="2040" max="2040" width="14.375" style="1" customWidth="1"/>
    <col min="2041" max="2046" width="0" style="1" hidden="1" customWidth="1"/>
    <col min="2047" max="2047" width="10.125" style="1" bestFit="1" customWidth="1"/>
    <col min="2048" max="2286" width="9.125" style="1"/>
    <col min="2287" max="2287" width="75.875" style="1" customWidth="1"/>
    <col min="2288" max="2289" width="7.625" style="1" customWidth="1"/>
    <col min="2290" max="2290" width="9.625" style="1" customWidth="1"/>
    <col min="2291" max="2291" width="7.625" style="1" customWidth="1"/>
    <col min="2292" max="2295" width="0" style="1" hidden="1" customWidth="1"/>
    <col min="2296" max="2296" width="14.375" style="1" customWidth="1"/>
    <col min="2297" max="2302" width="0" style="1" hidden="1" customWidth="1"/>
    <col min="2303" max="2303" width="10.125" style="1" bestFit="1" customWidth="1"/>
    <col min="2304" max="2542" width="9.125" style="1"/>
    <col min="2543" max="2543" width="75.875" style="1" customWidth="1"/>
    <col min="2544" max="2545" width="7.625" style="1" customWidth="1"/>
    <col min="2546" max="2546" width="9.625" style="1" customWidth="1"/>
    <col min="2547" max="2547" width="7.625" style="1" customWidth="1"/>
    <col min="2548" max="2551" width="0" style="1" hidden="1" customWidth="1"/>
    <col min="2552" max="2552" width="14.375" style="1" customWidth="1"/>
    <col min="2553" max="2558" width="0" style="1" hidden="1" customWidth="1"/>
    <col min="2559" max="2559" width="10.125" style="1" bestFit="1" customWidth="1"/>
    <col min="2560" max="2798" width="9.125" style="1"/>
    <col min="2799" max="2799" width="75.875" style="1" customWidth="1"/>
    <col min="2800" max="2801" width="7.625" style="1" customWidth="1"/>
    <col min="2802" max="2802" width="9.625" style="1" customWidth="1"/>
    <col min="2803" max="2803" width="7.625" style="1" customWidth="1"/>
    <col min="2804" max="2807" width="0" style="1" hidden="1" customWidth="1"/>
    <col min="2808" max="2808" width="14.375" style="1" customWidth="1"/>
    <col min="2809" max="2814" width="0" style="1" hidden="1" customWidth="1"/>
    <col min="2815" max="2815" width="10.125" style="1" bestFit="1" customWidth="1"/>
    <col min="2816" max="3054" width="9.125" style="1"/>
    <col min="3055" max="3055" width="75.875" style="1" customWidth="1"/>
    <col min="3056" max="3057" width="7.625" style="1" customWidth="1"/>
    <col min="3058" max="3058" width="9.625" style="1" customWidth="1"/>
    <col min="3059" max="3059" width="7.625" style="1" customWidth="1"/>
    <col min="3060" max="3063" width="0" style="1" hidden="1" customWidth="1"/>
    <col min="3064" max="3064" width="14.375" style="1" customWidth="1"/>
    <col min="3065" max="3070" width="0" style="1" hidden="1" customWidth="1"/>
    <col min="3071" max="3071" width="10.125" style="1" bestFit="1" customWidth="1"/>
    <col min="3072" max="3310" width="9.125" style="1"/>
    <col min="3311" max="3311" width="75.875" style="1" customWidth="1"/>
    <col min="3312" max="3313" width="7.625" style="1" customWidth="1"/>
    <col min="3314" max="3314" width="9.625" style="1" customWidth="1"/>
    <col min="3315" max="3315" width="7.625" style="1" customWidth="1"/>
    <col min="3316" max="3319" width="0" style="1" hidden="1" customWidth="1"/>
    <col min="3320" max="3320" width="14.375" style="1" customWidth="1"/>
    <col min="3321" max="3326" width="0" style="1" hidden="1" customWidth="1"/>
    <col min="3327" max="3327" width="10.125" style="1" bestFit="1" customWidth="1"/>
    <col min="3328" max="3566" width="9.125" style="1"/>
    <col min="3567" max="3567" width="75.875" style="1" customWidth="1"/>
    <col min="3568" max="3569" width="7.625" style="1" customWidth="1"/>
    <col min="3570" max="3570" width="9.625" style="1" customWidth="1"/>
    <col min="3571" max="3571" width="7.625" style="1" customWidth="1"/>
    <col min="3572" max="3575" width="0" style="1" hidden="1" customWidth="1"/>
    <col min="3576" max="3576" width="14.375" style="1" customWidth="1"/>
    <col min="3577" max="3582" width="0" style="1" hidden="1" customWidth="1"/>
    <col min="3583" max="3583" width="10.125" style="1" bestFit="1" customWidth="1"/>
    <col min="3584" max="3822" width="9.125" style="1"/>
    <col min="3823" max="3823" width="75.875" style="1" customWidth="1"/>
    <col min="3824" max="3825" width="7.625" style="1" customWidth="1"/>
    <col min="3826" max="3826" width="9.625" style="1" customWidth="1"/>
    <col min="3827" max="3827" width="7.625" style="1" customWidth="1"/>
    <col min="3828" max="3831" width="0" style="1" hidden="1" customWidth="1"/>
    <col min="3832" max="3832" width="14.375" style="1" customWidth="1"/>
    <col min="3833" max="3838" width="0" style="1" hidden="1" customWidth="1"/>
    <col min="3839" max="3839" width="10.125" style="1" bestFit="1" customWidth="1"/>
    <col min="3840" max="4078" width="9.125" style="1"/>
    <col min="4079" max="4079" width="75.875" style="1" customWidth="1"/>
    <col min="4080" max="4081" width="7.625" style="1" customWidth="1"/>
    <col min="4082" max="4082" width="9.625" style="1" customWidth="1"/>
    <col min="4083" max="4083" width="7.625" style="1" customWidth="1"/>
    <col min="4084" max="4087" width="0" style="1" hidden="1" customWidth="1"/>
    <col min="4088" max="4088" width="14.375" style="1" customWidth="1"/>
    <col min="4089" max="4094" width="0" style="1" hidden="1" customWidth="1"/>
    <col min="4095" max="4095" width="10.125" style="1" bestFit="1" customWidth="1"/>
    <col min="4096" max="4334" width="9.125" style="1"/>
    <col min="4335" max="4335" width="75.875" style="1" customWidth="1"/>
    <col min="4336" max="4337" width="7.625" style="1" customWidth="1"/>
    <col min="4338" max="4338" width="9.625" style="1" customWidth="1"/>
    <col min="4339" max="4339" width="7.625" style="1" customWidth="1"/>
    <col min="4340" max="4343" width="0" style="1" hidden="1" customWidth="1"/>
    <col min="4344" max="4344" width="14.375" style="1" customWidth="1"/>
    <col min="4345" max="4350" width="0" style="1" hidden="1" customWidth="1"/>
    <col min="4351" max="4351" width="10.125" style="1" bestFit="1" customWidth="1"/>
    <col min="4352" max="4590" width="9.125" style="1"/>
    <col min="4591" max="4591" width="75.875" style="1" customWidth="1"/>
    <col min="4592" max="4593" width="7.625" style="1" customWidth="1"/>
    <col min="4594" max="4594" width="9.625" style="1" customWidth="1"/>
    <col min="4595" max="4595" width="7.625" style="1" customWidth="1"/>
    <col min="4596" max="4599" width="0" style="1" hidden="1" customWidth="1"/>
    <col min="4600" max="4600" width="14.375" style="1" customWidth="1"/>
    <col min="4601" max="4606" width="0" style="1" hidden="1" customWidth="1"/>
    <col min="4607" max="4607" width="10.125" style="1" bestFit="1" customWidth="1"/>
    <col min="4608" max="4846" width="9.125" style="1"/>
    <col min="4847" max="4847" width="75.875" style="1" customWidth="1"/>
    <col min="4848" max="4849" width="7.625" style="1" customWidth="1"/>
    <col min="4850" max="4850" width="9.625" style="1" customWidth="1"/>
    <col min="4851" max="4851" width="7.625" style="1" customWidth="1"/>
    <col min="4852" max="4855" width="0" style="1" hidden="1" customWidth="1"/>
    <col min="4856" max="4856" width="14.375" style="1" customWidth="1"/>
    <col min="4857" max="4862" width="0" style="1" hidden="1" customWidth="1"/>
    <col min="4863" max="4863" width="10.125" style="1" bestFit="1" customWidth="1"/>
    <col min="4864" max="5102" width="9.125" style="1"/>
    <col min="5103" max="5103" width="75.875" style="1" customWidth="1"/>
    <col min="5104" max="5105" width="7.625" style="1" customWidth="1"/>
    <col min="5106" max="5106" width="9.625" style="1" customWidth="1"/>
    <col min="5107" max="5107" width="7.625" style="1" customWidth="1"/>
    <col min="5108" max="5111" width="0" style="1" hidden="1" customWidth="1"/>
    <col min="5112" max="5112" width="14.375" style="1" customWidth="1"/>
    <col min="5113" max="5118" width="0" style="1" hidden="1" customWidth="1"/>
    <col min="5119" max="5119" width="10.125" style="1" bestFit="1" customWidth="1"/>
    <col min="5120" max="5358" width="9.125" style="1"/>
    <col min="5359" max="5359" width="75.875" style="1" customWidth="1"/>
    <col min="5360" max="5361" width="7.625" style="1" customWidth="1"/>
    <col min="5362" max="5362" width="9.625" style="1" customWidth="1"/>
    <col min="5363" max="5363" width="7.625" style="1" customWidth="1"/>
    <col min="5364" max="5367" width="0" style="1" hidden="1" customWidth="1"/>
    <col min="5368" max="5368" width="14.375" style="1" customWidth="1"/>
    <col min="5369" max="5374" width="0" style="1" hidden="1" customWidth="1"/>
    <col min="5375" max="5375" width="10.125" style="1" bestFit="1" customWidth="1"/>
    <col min="5376" max="5614" width="9.125" style="1"/>
    <col min="5615" max="5615" width="75.875" style="1" customWidth="1"/>
    <col min="5616" max="5617" width="7.625" style="1" customWidth="1"/>
    <col min="5618" max="5618" width="9.625" style="1" customWidth="1"/>
    <col min="5619" max="5619" width="7.625" style="1" customWidth="1"/>
    <col min="5620" max="5623" width="0" style="1" hidden="1" customWidth="1"/>
    <col min="5624" max="5624" width="14.375" style="1" customWidth="1"/>
    <col min="5625" max="5630" width="0" style="1" hidden="1" customWidth="1"/>
    <col min="5631" max="5631" width="10.125" style="1" bestFit="1" customWidth="1"/>
    <col min="5632" max="5870" width="9.125" style="1"/>
    <col min="5871" max="5871" width="75.875" style="1" customWidth="1"/>
    <col min="5872" max="5873" width="7.625" style="1" customWidth="1"/>
    <col min="5874" max="5874" width="9.625" style="1" customWidth="1"/>
    <col min="5875" max="5875" width="7.625" style="1" customWidth="1"/>
    <col min="5876" max="5879" width="0" style="1" hidden="1" customWidth="1"/>
    <col min="5880" max="5880" width="14.375" style="1" customWidth="1"/>
    <col min="5881" max="5886" width="0" style="1" hidden="1" customWidth="1"/>
    <col min="5887" max="5887" width="10.125" style="1" bestFit="1" customWidth="1"/>
    <col min="5888" max="6126" width="9.125" style="1"/>
    <col min="6127" max="6127" width="75.875" style="1" customWidth="1"/>
    <col min="6128" max="6129" width="7.625" style="1" customWidth="1"/>
    <col min="6130" max="6130" width="9.625" style="1" customWidth="1"/>
    <col min="6131" max="6131" width="7.625" style="1" customWidth="1"/>
    <col min="6132" max="6135" width="0" style="1" hidden="1" customWidth="1"/>
    <col min="6136" max="6136" width="14.375" style="1" customWidth="1"/>
    <col min="6137" max="6142" width="0" style="1" hidden="1" customWidth="1"/>
    <col min="6143" max="6143" width="10.125" style="1" bestFit="1" customWidth="1"/>
    <col min="6144" max="6382" width="9.125" style="1"/>
    <col min="6383" max="6383" width="75.875" style="1" customWidth="1"/>
    <col min="6384" max="6385" width="7.625" style="1" customWidth="1"/>
    <col min="6386" max="6386" width="9.625" style="1" customWidth="1"/>
    <col min="6387" max="6387" width="7.625" style="1" customWidth="1"/>
    <col min="6388" max="6391" width="0" style="1" hidden="1" customWidth="1"/>
    <col min="6392" max="6392" width="14.375" style="1" customWidth="1"/>
    <col min="6393" max="6398" width="0" style="1" hidden="1" customWidth="1"/>
    <col min="6399" max="6399" width="10.125" style="1" bestFit="1" customWidth="1"/>
    <col min="6400" max="6638" width="9.125" style="1"/>
    <col min="6639" max="6639" width="75.875" style="1" customWidth="1"/>
    <col min="6640" max="6641" width="7.625" style="1" customWidth="1"/>
    <col min="6642" max="6642" width="9.625" style="1" customWidth="1"/>
    <col min="6643" max="6643" width="7.625" style="1" customWidth="1"/>
    <col min="6644" max="6647" width="0" style="1" hidden="1" customWidth="1"/>
    <col min="6648" max="6648" width="14.375" style="1" customWidth="1"/>
    <col min="6649" max="6654" width="0" style="1" hidden="1" customWidth="1"/>
    <col min="6655" max="6655" width="10.125" style="1" bestFit="1" customWidth="1"/>
    <col min="6656" max="6894" width="9.125" style="1"/>
    <col min="6895" max="6895" width="75.875" style="1" customWidth="1"/>
    <col min="6896" max="6897" width="7.625" style="1" customWidth="1"/>
    <col min="6898" max="6898" width="9.625" style="1" customWidth="1"/>
    <col min="6899" max="6899" width="7.625" style="1" customWidth="1"/>
    <col min="6900" max="6903" width="0" style="1" hidden="1" customWidth="1"/>
    <col min="6904" max="6904" width="14.375" style="1" customWidth="1"/>
    <col min="6905" max="6910" width="0" style="1" hidden="1" customWidth="1"/>
    <col min="6911" max="6911" width="10.125" style="1" bestFit="1" customWidth="1"/>
    <col min="6912" max="7150" width="9.125" style="1"/>
    <col min="7151" max="7151" width="75.875" style="1" customWidth="1"/>
    <col min="7152" max="7153" width="7.625" style="1" customWidth="1"/>
    <col min="7154" max="7154" width="9.625" style="1" customWidth="1"/>
    <col min="7155" max="7155" width="7.625" style="1" customWidth="1"/>
    <col min="7156" max="7159" width="0" style="1" hidden="1" customWidth="1"/>
    <col min="7160" max="7160" width="14.375" style="1" customWidth="1"/>
    <col min="7161" max="7166" width="0" style="1" hidden="1" customWidth="1"/>
    <col min="7167" max="7167" width="10.125" style="1" bestFit="1" customWidth="1"/>
    <col min="7168" max="7406" width="9.125" style="1"/>
    <col min="7407" max="7407" width="75.875" style="1" customWidth="1"/>
    <col min="7408" max="7409" width="7.625" style="1" customWidth="1"/>
    <col min="7410" max="7410" width="9.625" style="1" customWidth="1"/>
    <col min="7411" max="7411" width="7.625" style="1" customWidth="1"/>
    <col min="7412" max="7415" width="0" style="1" hidden="1" customWidth="1"/>
    <col min="7416" max="7416" width="14.375" style="1" customWidth="1"/>
    <col min="7417" max="7422" width="0" style="1" hidden="1" customWidth="1"/>
    <col min="7423" max="7423" width="10.125" style="1" bestFit="1" customWidth="1"/>
    <col min="7424" max="7662" width="9.125" style="1"/>
    <col min="7663" max="7663" width="75.875" style="1" customWidth="1"/>
    <col min="7664" max="7665" width="7.625" style="1" customWidth="1"/>
    <col min="7666" max="7666" width="9.625" style="1" customWidth="1"/>
    <col min="7667" max="7667" width="7.625" style="1" customWidth="1"/>
    <col min="7668" max="7671" width="0" style="1" hidden="1" customWidth="1"/>
    <col min="7672" max="7672" width="14.375" style="1" customWidth="1"/>
    <col min="7673" max="7678" width="0" style="1" hidden="1" customWidth="1"/>
    <col min="7679" max="7679" width="10.125" style="1" bestFit="1" customWidth="1"/>
    <col min="7680" max="7918" width="9.125" style="1"/>
    <col min="7919" max="7919" width="75.875" style="1" customWidth="1"/>
    <col min="7920" max="7921" width="7.625" style="1" customWidth="1"/>
    <col min="7922" max="7922" width="9.625" style="1" customWidth="1"/>
    <col min="7923" max="7923" width="7.625" style="1" customWidth="1"/>
    <col min="7924" max="7927" width="0" style="1" hidden="1" customWidth="1"/>
    <col min="7928" max="7928" width="14.375" style="1" customWidth="1"/>
    <col min="7929" max="7934" width="0" style="1" hidden="1" customWidth="1"/>
    <col min="7935" max="7935" width="10.125" style="1" bestFit="1" customWidth="1"/>
    <col min="7936" max="8174" width="9.125" style="1"/>
    <col min="8175" max="8175" width="75.875" style="1" customWidth="1"/>
    <col min="8176" max="8177" width="7.625" style="1" customWidth="1"/>
    <col min="8178" max="8178" width="9.625" style="1" customWidth="1"/>
    <col min="8179" max="8179" width="7.625" style="1" customWidth="1"/>
    <col min="8180" max="8183" width="0" style="1" hidden="1" customWidth="1"/>
    <col min="8184" max="8184" width="14.375" style="1" customWidth="1"/>
    <col min="8185" max="8190" width="0" style="1" hidden="1" customWidth="1"/>
    <col min="8191" max="8191" width="10.125" style="1" bestFit="1" customWidth="1"/>
    <col min="8192" max="8430" width="9.125" style="1"/>
    <col min="8431" max="8431" width="75.875" style="1" customWidth="1"/>
    <col min="8432" max="8433" width="7.625" style="1" customWidth="1"/>
    <col min="8434" max="8434" width="9.625" style="1" customWidth="1"/>
    <col min="8435" max="8435" width="7.625" style="1" customWidth="1"/>
    <col min="8436" max="8439" width="0" style="1" hidden="1" customWidth="1"/>
    <col min="8440" max="8440" width="14.375" style="1" customWidth="1"/>
    <col min="8441" max="8446" width="0" style="1" hidden="1" customWidth="1"/>
    <col min="8447" max="8447" width="10.125" style="1" bestFit="1" customWidth="1"/>
    <col min="8448" max="8686" width="9.125" style="1"/>
    <col min="8687" max="8687" width="75.875" style="1" customWidth="1"/>
    <col min="8688" max="8689" width="7.625" style="1" customWidth="1"/>
    <col min="8690" max="8690" width="9.625" style="1" customWidth="1"/>
    <col min="8691" max="8691" width="7.625" style="1" customWidth="1"/>
    <col min="8692" max="8695" width="0" style="1" hidden="1" customWidth="1"/>
    <col min="8696" max="8696" width="14.375" style="1" customWidth="1"/>
    <col min="8697" max="8702" width="0" style="1" hidden="1" customWidth="1"/>
    <col min="8703" max="8703" width="10.125" style="1" bestFit="1" customWidth="1"/>
    <col min="8704" max="8942" width="9.125" style="1"/>
    <col min="8943" max="8943" width="75.875" style="1" customWidth="1"/>
    <col min="8944" max="8945" width="7.625" style="1" customWidth="1"/>
    <col min="8946" max="8946" width="9.625" style="1" customWidth="1"/>
    <col min="8947" max="8947" width="7.625" style="1" customWidth="1"/>
    <col min="8948" max="8951" width="0" style="1" hidden="1" customWidth="1"/>
    <col min="8952" max="8952" width="14.375" style="1" customWidth="1"/>
    <col min="8953" max="8958" width="0" style="1" hidden="1" customWidth="1"/>
    <col min="8959" max="8959" width="10.125" style="1" bestFit="1" customWidth="1"/>
    <col min="8960" max="9198" width="9.125" style="1"/>
    <col min="9199" max="9199" width="75.875" style="1" customWidth="1"/>
    <col min="9200" max="9201" width="7.625" style="1" customWidth="1"/>
    <col min="9202" max="9202" width="9.625" style="1" customWidth="1"/>
    <col min="9203" max="9203" width="7.625" style="1" customWidth="1"/>
    <col min="9204" max="9207" width="0" style="1" hidden="1" customWidth="1"/>
    <col min="9208" max="9208" width="14.375" style="1" customWidth="1"/>
    <col min="9209" max="9214" width="0" style="1" hidden="1" customWidth="1"/>
    <col min="9215" max="9215" width="10.125" style="1" bestFit="1" customWidth="1"/>
    <col min="9216" max="9454" width="9.125" style="1"/>
    <col min="9455" max="9455" width="75.875" style="1" customWidth="1"/>
    <col min="9456" max="9457" width="7.625" style="1" customWidth="1"/>
    <col min="9458" max="9458" width="9.625" style="1" customWidth="1"/>
    <col min="9459" max="9459" width="7.625" style="1" customWidth="1"/>
    <col min="9460" max="9463" width="0" style="1" hidden="1" customWidth="1"/>
    <col min="9464" max="9464" width="14.375" style="1" customWidth="1"/>
    <col min="9465" max="9470" width="0" style="1" hidden="1" customWidth="1"/>
    <col min="9471" max="9471" width="10.125" style="1" bestFit="1" customWidth="1"/>
    <col min="9472" max="9710" width="9.125" style="1"/>
    <col min="9711" max="9711" width="75.875" style="1" customWidth="1"/>
    <col min="9712" max="9713" width="7.625" style="1" customWidth="1"/>
    <col min="9714" max="9714" width="9.625" style="1" customWidth="1"/>
    <col min="9715" max="9715" width="7.625" style="1" customWidth="1"/>
    <col min="9716" max="9719" width="0" style="1" hidden="1" customWidth="1"/>
    <col min="9720" max="9720" width="14.375" style="1" customWidth="1"/>
    <col min="9721" max="9726" width="0" style="1" hidden="1" customWidth="1"/>
    <col min="9727" max="9727" width="10.125" style="1" bestFit="1" customWidth="1"/>
    <col min="9728" max="9966" width="9.125" style="1"/>
    <col min="9967" max="9967" width="75.875" style="1" customWidth="1"/>
    <col min="9968" max="9969" width="7.625" style="1" customWidth="1"/>
    <col min="9970" max="9970" width="9.625" style="1" customWidth="1"/>
    <col min="9971" max="9971" width="7.625" style="1" customWidth="1"/>
    <col min="9972" max="9975" width="0" style="1" hidden="1" customWidth="1"/>
    <col min="9976" max="9976" width="14.375" style="1" customWidth="1"/>
    <col min="9977" max="9982" width="0" style="1" hidden="1" customWidth="1"/>
    <col min="9983" max="9983" width="10.125" style="1" bestFit="1" customWidth="1"/>
    <col min="9984" max="10222" width="9.125" style="1"/>
    <col min="10223" max="10223" width="75.875" style="1" customWidth="1"/>
    <col min="10224" max="10225" width="7.625" style="1" customWidth="1"/>
    <col min="10226" max="10226" width="9.625" style="1" customWidth="1"/>
    <col min="10227" max="10227" width="7.625" style="1" customWidth="1"/>
    <col min="10228" max="10231" width="0" style="1" hidden="1" customWidth="1"/>
    <col min="10232" max="10232" width="14.375" style="1" customWidth="1"/>
    <col min="10233" max="10238" width="0" style="1" hidden="1" customWidth="1"/>
    <col min="10239" max="10239" width="10.125" style="1" bestFit="1" customWidth="1"/>
    <col min="10240" max="10478" width="9.125" style="1"/>
    <col min="10479" max="10479" width="75.875" style="1" customWidth="1"/>
    <col min="10480" max="10481" width="7.625" style="1" customWidth="1"/>
    <col min="10482" max="10482" width="9.625" style="1" customWidth="1"/>
    <col min="10483" max="10483" width="7.625" style="1" customWidth="1"/>
    <col min="10484" max="10487" width="0" style="1" hidden="1" customWidth="1"/>
    <col min="10488" max="10488" width="14.375" style="1" customWidth="1"/>
    <col min="10489" max="10494" width="0" style="1" hidden="1" customWidth="1"/>
    <col min="10495" max="10495" width="10.125" style="1" bestFit="1" customWidth="1"/>
    <col min="10496" max="10734" width="9.125" style="1"/>
    <col min="10735" max="10735" width="75.875" style="1" customWidth="1"/>
    <col min="10736" max="10737" width="7.625" style="1" customWidth="1"/>
    <col min="10738" max="10738" width="9.625" style="1" customWidth="1"/>
    <col min="10739" max="10739" width="7.625" style="1" customWidth="1"/>
    <col min="10740" max="10743" width="0" style="1" hidden="1" customWidth="1"/>
    <col min="10744" max="10744" width="14.375" style="1" customWidth="1"/>
    <col min="10745" max="10750" width="0" style="1" hidden="1" customWidth="1"/>
    <col min="10751" max="10751" width="10.125" style="1" bestFit="1" customWidth="1"/>
    <col min="10752" max="10990" width="9.125" style="1"/>
    <col min="10991" max="10991" width="75.875" style="1" customWidth="1"/>
    <col min="10992" max="10993" width="7.625" style="1" customWidth="1"/>
    <col min="10994" max="10994" width="9.625" style="1" customWidth="1"/>
    <col min="10995" max="10995" width="7.625" style="1" customWidth="1"/>
    <col min="10996" max="10999" width="0" style="1" hidden="1" customWidth="1"/>
    <col min="11000" max="11000" width="14.375" style="1" customWidth="1"/>
    <col min="11001" max="11006" width="0" style="1" hidden="1" customWidth="1"/>
    <col min="11007" max="11007" width="10.125" style="1" bestFit="1" customWidth="1"/>
    <col min="11008" max="11246" width="9.125" style="1"/>
    <col min="11247" max="11247" width="75.875" style="1" customWidth="1"/>
    <col min="11248" max="11249" width="7.625" style="1" customWidth="1"/>
    <col min="11250" max="11250" width="9.625" style="1" customWidth="1"/>
    <col min="11251" max="11251" width="7.625" style="1" customWidth="1"/>
    <col min="11252" max="11255" width="0" style="1" hidden="1" customWidth="1"/>
    <col min="11256" max="11256" width="14.375" style="1" customWidth="1"/>
    <col min="11257" max="11262" width="0" style="1" hidden="1" customWidth="1"/>
    <col min="11263" max="11263" width="10.125" style="1" bestFit="1" customWidth="1"/>
    <col min="11264" max="11502" width="9.125" style="1"/>
    <col min="11503" max="11503" width="75.875" style="1" customWidth="1"/>
    <col min="11504" max="11505" width="7.625" style="1" customWidth="1"/>
    <col min="11506" max="11506" width="9.625" style="1" customWidth="1"/>
    <col min="11507" max="11507" width="7.625" style="1" customWidth="1"/>
    <col min="11508" max="11511" width="0" style="1" hidden="1" customWidth="1"/>
    <col min="11512" max="11512" width="14.375" style="1" customWidth="1"/>
    <col min="11513" max="11518" width="0" style="1" hidden="1" customWidth="1"/>
    <col min="11519" max="11519" width="10.125" style="1" bestFit="1" customWidth="1"/>
    <col min="11520" max="11758" width="9.125" style="1"/>
    <col min="11759" max="11759" width="75.875" style="1" customWidth="1"/>
    <col min="11760" max="11761" width="7.625" style="1" customWidth="1"/>
    <col min="11762" max="11762" width="9.625" style="1" customWidth="1"/>
    <col min="11763" max="11763" width="7.625" style="1" customWidth="1"/>
    <col min="11764" max="11767" width="0" style="1" hidden="1" customWidth="1"/>
    <col min="11768" max="11768" width="14.375" style="1" customWidth="1"/>
    <col min="11769" max="11774" width="0" style="1" hidden="1" customWidth="1"/>
    <col min="11775" max="11775" width="10.125" style="1" bestFit="1" customWidth="1"/>
    <col min="11776" max="12014" width="9.125" style="1"/>
    <col min="12015" max="12015" width="75.875" style="1" customWidth="1"/>
    <col min="12016" max="12017" width="7.625" style="1" customWidth="1"/>
    <col min="12018" max="12018" width="9.625" style="1" customWidth="1"/>
    <col min="12019" max="12019" width="7.625" style="1" customWidth="1"/>
    <col min="12020" max="12023" width="0" style="1" hidden="1" customWidth="1"/>
    <col min="12024" max="12024" width="14.375" style="1" customWidth="1"/>
    <col min="12025" max="12030" width="0" style="1" hidden="1" customWidth="1"/>
    <col min="12031" max="12031" width="10.125" style="1" bestFit="1" customWidth="1"/>
    <col min="12032" max="12270" width="9.125" style="1"/>
    <col min="12271" max="12271" width="75.875" style="1" customWidth="1"/>
    <col min="12272" max="12273" width="7.625" style="1" customWidth="1"/>
    <col min="12274" max="12274" width="9.625" style="1" customWidth="1"/>
    <col min="12275" max="12275" width="7.625" style="1" customWidth="1"/>
    <col min="12276" max="12279" width="0" style="1" hidden="1" customWidth="1"/>
    <col min="12280" max="12280" width="14.375" style="1" customWidth="1"/>
    <col min="12281" max="12286" width="0" style="1" hidden="1" customWidth="1"/>
    <col min="12287" max="12287" width="10.125" style="1" bestFit="1" customWidth="1"/>
    <col min="12288" max="12526" width="9.125" style="1"/>
    <col min="12527" max="12527" width="75.875" style="1" customWidth="1"/>
    <col min="12528" max="12529" width="7.625" style="1" customWidth="1"/>
    <col min="12530" max="12530" width="9.625" style="1" customWidth="1"/>
    <col min="12531" max="12531" width="7.625" style="1" customWidth="1"/>
    <col min="12532" max="12535" width="0" style="1" hidden="1" customWidth="1"/>
    <col min="12536" max="12536" width="14.375" style="1" customWidth="1"/>
    <col min="12537" max="12542" width="0" style="1" hidden="1" customWidth="1"/>
    <col min="12543" max="12543" width="10.125" style="1" bestFit="1" customWidth="1"/>
    <col min="12544" max="12782" width="9.125" style="1"/>
    <col min="12783" max="12783" width="75.875" style="1" customWidth="1"/>
    <col min="12784" max="12785" width="7.625" style="1" customWidth="1"/>
    <col min="12786" max="12786" width="9.625" style="1" customWidth="1"/>
    <col min="12787" max="12787" width="7.625" style="1" customWidth="1"/>
    <col min="12788" max="12791" width="0" style="1" hidden="1" customWidth="1"/>
    <col min="12792" max="12792" width="14.375" style="1" customWidth="1"/>
    <col min="12793" max="12798" width="0" style="1" hidden="1" customWidth="1"/>
    <col min="12799" max="12799" width="10.125" style="1" bestFit="1" customWidth="1"/>
    <col min="12800" max="13038" width="9.125" style="1"/>
    <col min="13039" max="13039" width="75.875" style="1" customWidth="1"/>
    <col min="13040" max="13041" width="7.625" style="1" customWidth="1"/>
    <col min="13042" max="13042" width="9.625" style="1" customWidth="1"/>
    <col min="13043" max="13043" width="7.625" style="1" customWidth="1"/>
    <col min="13044" max="13047" width="0" style="1" hidden="1" customWidth="1"/>
    <col min="13048" max="13048" width="14.375" style="1" customWidth="1"/>
    <col min="13049" max="13054" width="0" style="1" hidden="1" customWidth="1"/>
    <col min="13055" max="13055" width="10.125" style="1" bestFit="1" customWidth="1"/>
    <col min="13056" max="13294" width="9.125" style="1"/>
    <col min="13295" max="13295" width="75.875" style="1" customWidth="1"/>
    <col min="13296" max="13297" width="7.625" style="1" customWidth="1"/>
    <col min="13298" max="13298" width="9.625" style="1" customWidth="1"/>
    <col min="13299" max="13299" width="7.625" style="1" customWidth="1"/>
    <col min="13300" max="13303" width="0" style="1" hidden="1" customWidth="1"/>
    <col min="13304" max="13304" width="14.375" style="1" customWidth="1"/>
    <col min="13305" max="13310" width="0" style="1" hidden="1" customWidth="1"/>
    <col min="13311" max="13311" width="10.125" style="1" bestFit="1" customWidth="1"/>
    <col min="13312" max="13550" width="9.125" style="1"/>
    <col min="13551" max="13551" width="75.875" style="1" customWidth="1"/>
    <col min="13552" max="13553" width="7.625" style="1" customWidth="1"/>
    <col min="13554" max="13554" width="9.625" style="1" customWidth="1"/>
    <col min="13555" max="13555" width="7.625" style="1" customWidth="1"/>
    <col min="13556" max="13559" width="0" style="1" hidden="1" customWidth="1"/>
    <col min="13560" max="13560" width="14.375" style="1" customWidth="1"/>
    <col min="13561" max="13566" width="0" style="1" hidden="1" customWidth="1"/>
    <col min="13567" max="13567" width="10.125" style="1" bestFit="1" customWidth="1"/>
    <col min="13568" max="13806" width="9.125" style="1"/>
    <col min="13807" max="13807" width="75.875" style="1" customWidth="1"/>
    <col min="13808" max="13809" width="7.625" style="1" customWidth="1"/>
    <col min="13810" max="13810" width="9.625" style="1" customWidth="1"/>
    <col min="13811" max="13811" width="7.625" style="1" customWidth="1"/>
    <col min="13812" max="13815" width="0" style="1" hidden="1" customWidth="1"/>
    <col min="13816" max="13816" width="14.375" style="1" customWidth="1"/>
    <col min="13817" max="13822" width="0" style="1" hidden="1" customWidth="1"/>
    <col min="13823" max="13823" width="10.125" style="1" bestFit="1" customWidth="1"/>
    <col min="13824" max="14062" width="9.125" style="1"/>
    <col min="14063" max="14063" width="75.875" style="1" customWidth="1"/>
    <col min="14064" max="14065" width="7.625" style="1" customWidth="1"/>
    <col min="14066" max="14066" width="9.625" style="1" customWidth="1"/>
    <col min="14067" max="14067" width="7.625" style="1" customWidth="1"/>
    <col min="14068" max="14071" width="0" style="1" hidden="1" customWidth="1"/>
    <col min="14072" max="14072" width="14.375" style="1" customWidth="1"/>
    <col min="14073" max="14078" width="0" style="1" hidden="1" customWidth="1"/>
    <col min="14079" max="14079" width="10.125" style="1" bestFit="1" customWidth="1"/>
    <col min="14080" max="14318" width="9.125" style="1"/>
    <col min="14319" max="14319" width="75.875" style="1" customWidth="1"/>
    <col min="14320" max="14321" width="7.625" style="1" customWidth="1"/>
    <col min="14322" max="14322" width="9.625" style="1" customWidth="1"/>
    <col min="14323" max="14323" width="7.625" style="1" customWidth="1"/>
    <col min="14324" max="14327" width="0" style="1" hidden="1" customWidth="1"/>
    <col min="14328" max="14328" width="14.375" style="1" customWidth="1"/>
    <col min="14329" max="14334" width="0" style="1" hidden="1" customWidth="1"/>
    <col min="14335" max="14335" width="10.125" style="1" bestFit="1" customWidth="1"/>
    <col min="14336" max="14574" width="9.125" style="1"/>
    <col min="14575" max="14575" width="75.875" style="1" customWidth="1"/>
    <col min="14576" max="14577" width="7.625" style="1" customWidth="1"/>
    <col min="14578" max="14578" width="9.625" style="1" customWidth="1"/>
    <col min="14579" max="14579" width="7.625" style="1" customWidth="1"/>
    <col min="14580" max="14583" width="0" style="1" hidden="1" customWidth="1"/>
    <col min="14584" max="14584" width="14.375" style="1" customWidth="1"/>
    <col min="14585" max="14590" width="0" style="1" hidden="1" customWidth="1"/>
    <col min="14591" max="14591" width="10.125" style="1" bestFit="1" customWidth="1"/>
    <col min="14592" max="14830" width="9.125" style="1"/>
    <col min="14831" max="14831" width="75.875" style="1" customWidth="1"/>
    <col min="14832" max="14833" width="7.625" style="1" customWidth="1"/>
    <col min="14834" max="14834" width="9.625" style="1" customWidth="1"/>
    <col min="14835" max="14835" width="7.625" style="1" customWidth="1"/>
    <col min="14836" max="14839" width="0" style="1" hidden="1" customWidth="1"/>
    <col min="14840" max="14840" width="14.375" style="1" customWidth="1"/>
    <col min="14841" max="14846" width="0" style="1" hidden="1" customWidth="1"/>
    <col min="14847" max="14847" width="10.125" style="1" bestFit="1" customWidth="1"/>
    <col min="14848" max="15086" width="9.125" style="1"/>
    <col min="15087" max="15087" width="75.875" style="1" customWidth="1"/>
    <col min="15088" max="15089" width="7.625" style="1" customWidth="1"/>
    <col min="15090" max="15090" width="9.625" style="1" customWidth="1"/>
    <col min="15091" max="15091" width="7.625" style="1" customWidth="1"/>
    <col min="15092" max="15095" width="0" style="1" hidden="1" customWidth="1"/>
    <col min="15096" max="15096" width="14.375" style="1" customWidth="1"/>
    <col min="15097" max="15102" width="0" style="1" hidden="1" customWidth="1"/>
    <col min="15103" max="15103" width="10.125" style="1" bestFit="1" customWidth="1"/>
    <col min="15104" max="15342" width="9.125" style="1"/>
    <col min="15343" max="15343" width="75.875" style="1" customWidth="1"/>
    <col min="15344" max="15345" width="7.625" style="1" customWidth="1"/>
    <col min="15346" max="15346" width="9.625" style="1" customWidth="1"/>
    <col min="15347" max="15347" width="7.625" style="1" customWidth="1"/>
    <col min="15348" max="15351" width="0" style="1" hidden="1" customWidth="1"/>
    <col min="15352" max="15352" width="14.375" style="1" customWidth="1"/>
    <col min="15353" max="15358" width="0" style="1" hidden="1" customWidth="1"/>
    <col min="15359" max="15359" width="10.125" style="1" bestFit="1" customWidth="1"/>
    <col min="15360" max="15598" width="9.125" style="1"/>
    <col min="15599" max="15599" width="75.875" style="1" customWidth="1"/>
    <col min="15600" max="15601" width="7.625" style="1" customWidth="1"/>
    <col min="15602" max="15602" width="9.625" style="1" customWidth="1"/>
    <col min="15603" max="15603" width="7.625" style="1" customWidth="1"/>
    <col min="15604" max="15607" width="0" style="1" hidden="1" customWidth="1"/>
    <col min="15608" max="15608" width="14.375" style="1" customWidth="1"/>
    <col min="15609" max="15614" width="0" style="1" hidden="1" customWidth="1"/>
    <col min="15615" max="15615" width="10.125" style="1" bestFit="1" customWidth="1"/>
    <col min="15616" max="15854" width="9.125" style="1"/>
    <col min="15855" max="15855" width="75.875" style="1" customWidth="1"/>
    <col min="15856" max="15857" width="7.625" style="1" customWidth="1"/>
    <col min="15858" max="15858" width="9.625" style="1" customWidth="1"/>
    <col min="15859" max="15859" width="7.625" style="1" customWidth="1"/>
    <col min="15860" max="15863" width="0" style="1" hidden="1" customWidth="1"/>
    <col min="15864" max="15864" width="14.375" style="1" customWidth="1"/>
    <col min="15865" max="15870" width="0" style="1" hidden="1" customWidth="1"/>
    <col min="15871" max="15871" width="10.125" style="1" bestFit="1" customWidth="1"/>
    <col min="15872" max="16110" width="9.125" style="1"/>
    <col min="16111" max="16111" width="75.875" style="1" customWidth="1"/>
    <col min="16112" max="16113" width="7.625" style="1" customWidth="1"/>
    <col min="16114" max="16114" width="9.625" style="1" customWidth="1"/>
    <col min="16115" max="16115" width="7.625" style="1" customWidth="1"/>
    <col min="16116" max="16119" width="0" style="1" hidden="1" customWidth="1"/>
    <col min="16120" max="16120" width="14.375" style="1" customWidth="1"/>
    <col min="16121" max="16126" width="0" style="1" hidden="1" customWidth="1"/>
    <col min="16127" max="16127" width="10.125" style="1" bestFit="1" customWidth="1"/>
    <col min="16128" max="16384" width="9.125" style="1"/>
  </cols>
  <sheetData>
    <row r="1" spans="1:8" x14ac:dyDescent="0.3">
      <c r="F1" s="3"/>
      <c r="G1" s="3" t="s">
        <v>824</v>
      </c>
    </row>
    <row r="2" spans="1:8" x14ac:dyDescent="0.3">
      <c r="E2" s="655" t="s">
        <v>799</v>
      </c>
      <c r="F2" s="655"/>
      <c r="G2" s="655"/>
    </row>
    <row r="3" spans="1:8" x14ac:dyDescent="0.3">
      <c r="F3" s="655" t="s">
        <v>784</v>
      </c>
      <c r="G3" s="655"/>
    </row>
    <row r="4" spans="1:8" x14ac:dyDescent="0.3">
      <c r="F4" s="655" t="s">
        <v>825</v>
      </c>
      <c r="G4" s="655"/>
    </row>
    <row r="5" spans="1:8" x14ac:dyDescent="0.3">
      <c r="F5" s="655" t="s">
        <v>715</v>
      </c>
      <c r="G5" s="655"/>
    </row>
    <row r="6" spans="1:8" x14ac:dyDescent="0.3">
      <c r="E6" s="655" t="s">
        <v>780</v>
      </c>
      <c r="F6" s="655"/>
      <c r="G6" s="655"/>
    </row>
    <row r="7" spans="1:8" x14ac:dyDescent="0.3">
      <c r="F7" s="655" t="s">
        <v>591</v>
      </c>
      <c r="G7" s="655"/>
    </row>
    <row r="8" spans="1:8" x14ac:dyDescent="0.3">
      <c r="F8" s="152"/>
      <c r="G8" s="67" t="s">
        <v>781</v>
      </c>
    </row>
    <row r="9" spans="1:8" s="69" customFormat="1" x14ac:dyDescent="0.3">
      <c r="A9" s="657" t="s">
        <v>236</v>
      </c>
      <c r="B9" s="657"/>
      <c r="C9" s="657"/>
      <c r="D9" s="657"/>
      <c r="E9" s="657"/>
      <c r="F9" s="657"/>
      <c r="G9" s="68"/>
      <c r="H9" s="68"/>
    </row>
    <row r="10" spans="1:8" s="69" customFormat="1" x14ac:dyDescent="0.3">
      <c r="A10" s="651" t="s">
        <v>778</v>
      </c>
      <c r="B10" s="651"/>
      <c r="C10" s="651"/>
      <c r="D10" s="651"/>
      <c r="E10" s="651"/>
      <c r="F10" s="651"/>
      <c r="G10" s="68"/>
      <c r="H10" s="68"/>
    </row>
    <row r="11" spans="1:8" s="69" customFormat="1" x14ac:dyDescent="0.3">
      <c r="A11" s="651" t="s">
        <v>779</v>
      </c>
      <c r="B11" s="651"/>
      <c r="C11" s="651"/>
      <c r="D11" s="651"/>
      <c r="E11" s="651"/>
      <c r="F11" s="651"/>
      <c r="G11" s="68"/>
      <c r="H11" s="68"/>
    </row>
    <row r="12" spans="1:8" s="69" customFormat="1" x14ac:dyDescent="0.3">
      <c r="A12" s="70"/>
      <c r="B12" s="153"/>
      <c r="C12" s="153"/>
      <c r="D12" s="153"/>
      <c r="E12" s="153"/>
      <c r="F12" s="71"/>
      <c r="G12" s="71" t="s">
        <v>382</v>
      </c>
      <c r="H12" s="68"/>
    </row>
    <row r="13" spans="1:8" ht="36.700000000000003" x14ac:dyDescent="0.25">
      <c r="A13" s="72" t="s">
        <v>0</v>
      </c>
      <c r="B13" s="72" t="s">
        <v>1</v>
      </c>
      <c r="C13" s="72" t="s">
        <v>2</v>
      </c>
      <c r="D13" s="72" t="s">
        <v>3</v>
      </c>
      <c r="E13" s="72" t="s">
        <v>4</v>
      </c>
      <c r="F13" s="29" t="s">
        <v>697</v>
      </c>
      <c r="G13" s="29" t="s">
        <v>698</v>
      </c>
    </row>
    <row r="14" spans="1:8" s="74" customFormat="1" ht="55.05" x14ac:dyDescent="0.25">
      <c r="A14" s="34" t="s">
        <v>448</v>
      </c>
      <c r="B14" s="35" t="s">
        <v>454</v>
      </c>
      <c r="C14" s="35" t="s">
        <v>5</v>
      </c>
      <c r="D14" s="35" t="s">
        <v>126</v>
      </c>
      <c r="E14" s="36" t="s">
        <v>6</v>
      </c>
      <c r="F14" s="50">
        <f>F15</f>
        <v>8050477.2300000004</v>
      </c>
      <c r="G14" s="50">
        <f>G15</f>
        <v>8341070.0800000001</v>
      </c>
      <c r="H14" s="73"/>
    </row>
    <row r="15" spans="1:8" outlineLevel="1" x14ac:dyDescent="0.25">
      <c r="A15" s="24" t="s">
        <v>7</v>
      </c>
      <c r="B15" s="23" t="s">
        <v>454</v>
      </c>
      <c r="C15" s="23" t="s">
        <v>8</v>
      </c>
      <c r="D15" s="23" t="s">
        <v>126</v>
      </c>
      <c r="E15" s="26" t="s">
        <v>6</v>
      </c>
      <c r="F15" s="25">
        <f>F16+F25</f>
        <v>8050477.2300000004</v>
      </c>
      <c r="G15" s="25">
        <f>G16+G25</f>
        <v>8341070.0800000001</v>
      </c>
    </row>
    <row r="16" spans="1:8" ht="39.25" customHeight="1" outlineLevel="2" x14ac:dyDescent="0.25">
      <c r="A16" s="24" t="s">
        <v>9</v>
      </c>
      <c r="B16" s="23" t="s">
        <v>454</v>
      </c>
      <c r="C16" s="23" t="s">
        <v>10</v>
      </c>
      <c r="D16" s="23" t="s">
        <v>126</v>
      </c>
      <c r="E16" s="26" t="s">
        <v>6</v>
      </c>
      <c r="F16" s="25">
        <f>F17</f>
        <v>7515021.2300000004</v>
      </c>
      <c r="G16" s="25">
        <f>G17</f>
        <v>7805614.0800000001</v>
      </c>
    </row>
    <row r="17" spans="1:8" ht="36.700000000000003" outlineLevel="4" x14ac:dyDescent="0.25">
      <c r="A17" s="24" t="s">
        <v>132</v>
      </c>
      <c r="B17" s="23" t="s">
        <v>454</v>
      </c>
      <c r="C17" s="23" t="s">
        <v>10</v>
      </c>
      <c r="D17" s="23" t="s">
        <v>127</v>
      </c>
      <c r="E17" s="26" t="s">
        <v>6</v>
      </c>
      <c r="F17" s="25">
        <f>F18</f>
        <v>7515021.2300000004</v>
      </c>
      <c r="G17" s="25">
        <f>G18</f>
        <v>7805614.0800000001</v>
      </c>
    </row>
    <row r="18" spans="1:8" ht="55.05" outlineLevel="5" x14ac:dyDescent="0.25">
      <c r="A18" s="24" t="s">
        <v>449</v>
      </c>
      <c r="B18" s="23" t="s">
        <v>454</v>
      </c>
      <c r="C18" s="23" t="s">
        <v>10</v>
      </c>
      <c r="D18" s="23" t="s">
        <v>450</v>
      </c>
      <c r="E18" s="26" t="s">
        <v>6</v>
      </c>
      <c r="F18" s="25">
        <f>F19+F21+F23</f>
        <v>7515021.2300000004</v>
      </c>
      <c r="G18" s="25">
        <f>G19+G21+G23</f>
        <v>7805614.0800000001</v>
      </c>
    </row>
    <row r="19" spans="1:8" ht="76.75" customHeight="1" outlineLevel="6" x14ac:dyDescent="0.25">
      <c r="A19" s="24" t="s">
        <v>11</v>
      </c>
      <c r="B19" s="23" t="s">
        <v>454</v>
      </c>
      <c r="C19" s="23" t="s">
        <v>10</v>
      </c>
      <c r="D19" s="23" t="s">
        <v>450</v>
      </c>
      <c r="E19" s="26" t="s">
        <v>12</v>
      </c>
      <c r="F19" s="25">
        <f>F20</f>
        <v>7264821.2300000004</v>
      </c>
      <c r="G19" s="25">
        <f>G20</f>
        <v>7555414.0800000001</v>
      </c>
    </row>
    <row r="20" spans="1:8" ht="36.700000000000003" outlineLevel="7" x14ac:dyDescent="0.25">
      <c r="A20" s="24" t="s">
        <v>13</v>
      </c>
      <c r="B20" s="23" t="s">
        <v>454</v>
      </c>
      <c r="C20" s="23" t="s">
        <v>10</v>
      </c>
      <c r="D20" s="23" t="s">
        <v>450</v>
      </c>
      <c r="E20" s="26" t="s">
        <v>14</v>
      </c>
      <c r="F20" s="30">
        <v>7264821.2300000004</v>
      </c>
      <c r="G20" s="30">
        <v>7555414.0800000001</v>
      </c>
    </row>
    <row r="21" spans="1:8" ht="36.700000000000003" outlineLevel="6" x14ac:dyDescent="0.25">
      <c r="A21" s="24" t="s">
        <v>15</v>
      </c>
      <c r="B21" s="23" t="s">
        <v>454</v>
      </c>
      <c r="C21" s="23" t="s">
        <v>10</v>
      </c>
      <c r="D21" s="23" t="s">
        <v>450</v>
      </c>
      <c r="E21" s="26" t="s">
        <v>16</v>
      </c>
      <c r="F21" s="25">
        <f>F22</f>
        <v>250200</v>
      </c>
      <c r="G21" s="25">
        <f>G22</f>
        <v>250200</v>
      </c>
    </row>
    <row r="22" spans="1:8" ht="18.7" customHeight="1" outlineLevel="7" x14ac:dyDescent="0.25">
      <c r="A22" s="24" t="s">
        <v>17</v>
      </c>
      <c r="B22" s="23" t="s">
        <v>454</v>
      </c>
      <c r="C22" s="23" t="s">
        <v>10</v>
      </c>
      <c r="D22" s="23" t="s">
        <v>450</v>
      </c>
      <c r="E22" s="26" t="s">
        <v>18</v>
      </c>
      <c r="F22" s="30">
        <v>250200</v>
      </c>
      <c r="G22" s="30">
        <v>250200</v>
      </c>
    </row>
    <row r="23" spans="1:8" outlineLevel="6" x14ac:dyDescent="0.25">
      <c r="A23" s="24" t="s">
        <v>19</v>
      </c>
      <c r="B23" s="23" t="s">
        <v>454</v>
      </c>
      <c r="C23" s="23" t="s">
        <v>10</v>
      </c>
      <c r="D23" s="23" t="s">
        <v>450</v>
      </c>
      <c r="E23" s="26" t="s">
        <v>20</v>
      </c>
      <c r="F23" s="25">
        <f>F24</f>
        <v>0</v>
      </c>
      <c r="G23" s="25">
        <f>G24</f>
        <v>0</v>
      </c>
    </row>
    <row r="24" spans="1:8" outlineLevel="7" x14ac:dyDescent="0.25">
      <c r="A24" s="24" t="s">
        <v>21</v>
      </c>
      <c r="B24" s="23" t="s">
        <v>454</v>
      </c>
      <c r="C24" s="23" t="s">
        <v>10</v>
      </c>
      <c r="D24" s="23" t="s">
        <v>450</v>
      </c>
      <c r="E24" s="26" t="s">
        <v>22</v>
      </c>
      <c r="F24" s="30">
        <v>0</v>
      </c>
      <c r="G24" s="30">
        <v>0</v>
      </c>
    </row>
    <row r="25" spans="1:8" outlineLevel="2" x14ac:dyDescent="0.25">
      <c r="A25" s="24" t="s">
        <v>23</v>
      </c>
      <c r="B25" s="23" t="s">
        <v>454</v>
      </c>
      <c r="C25" s="23" t="s">
        <v>24</v>
      </c>
      <c r="D25" s="23" t="s">
        <v>126</v>
      </c>
      <c r="E25" s="26" t="s">
        <v>6</v>
      </c>
      <c r="F25" s="25">
        <f>F26+F31</f>
        <v>535456</v>
      </c>
      <c r="G25" s="25">
        <f>G26+G31</f>
        <v>535456</v>
      </c>
    </row>
    <row r="26" spans="1:8" s="76" customFormat="1" ht="57.75" customHeight="1" outlineLevel="3" x14ac:dyDescent="0.25">
      <c r="A26" s="37" t="s">
        <v>724</v>
      </c>
      <c r="B26" s="38" t="s">
        <v>454</v>
      </c>
      <c r="C26" s="38" t="s">
        <v>24</v>
      </c>
      <c r="D26" s="38" t="s">
        <v>128</v>
      </c>
      <c r="E26" s="39" t="s">
        <v>6</v>
      </c>
      <c r="F26" s="28">
        <f t="shared" ref="F26:G29" si="0">F27</f>
        <v>58240</v>
      </c>
      <c r="G26" s="28">
        <f t="shared" si="0"/>
        <v>58240</v>
      </c>
      <c r="H26" s="75"/>
    </row>
    <row r="27" spans="1:8" ht="61.5" customHeight="1" outlineLevel="4" x14ac:dyDescent="0.25">
      <c r="A27" s="24" t="s">
        <v>748</v>
      </c>
      <c r="B27" s="23" t="s">
        <v>454</v>
      </c>
      <c r="C27" s="23" t="s">
        <v>24</v>
      </c>
      <c r="D27" s="23" t="s">
        <v>303</v>
      </c>
      <c r="E27" s="26" t="s">
        <v>6</v>
      </c>
      <c r="F27" s="25">
        <f t="shared" si="0"/>
        <v>58240</v>
      </c>
      <c r="G27" s="25">
        <f t="shared" si="0"/>
        <v>58240</v>
      </c>
    </row>
    <row r="28" spans="1:8" outlineLevel="5" x14ac:dyDescent="0.25">
      <c r="A28" s="40" t="s">
        <v>309</v>
      </c>
      <c r="B28" s="23" t="s">
        <v>454</v>
      </c>
      <c r="C28" s="23" t="s">
        <v>24</v>
      </c>
      <c r="D28" s="23" t="s">
        <v>304</v>
      </c>
      <c r="E28" s="26" t="s">
        <v>6</v>
      </c>
      <c r="F28" s="25">
        <f t="shared" si="0"/>
        <v>58240</v>
      </c>
      <c r="G28" s="25">
        <f t="shared" si="0"/>
        <v>58240</v>
      </c>
    </row>
    <row r="29" spans="1:8" ht="36.700000000000003" outlineLevel="6" x14ac:dyDescent="0.25">
      <c r="A29" s="24" t="s">
        <v>15</v>
      </c>
      <c r="B29" s="23" t="s">
        <v>454</v>
      </c>
      <c r="C29" s="23" t="s">
        <v>24</v>
      </c>
      <c r="D29" s="23" t="s">
        <v>304</v>
      </c>
      <c r="E29" s="26" t="s">
        <v>16</v>
      </c>
      <c r="F29" s="25">
        <f t="shared" si="0"/>
        <v>58240</v>
      </c>
      <c r="G29" s="25">
        <f t="shared" si="0"/>
        <v>58240</v>
      </c>
    </row>
    <row r="30" spans="1:8" ht="19.55" customHeight="1" outlineLevel="7" x14ac:dyDescent="0.25">
      <c r="A30" s="24" t="s">
        <v>17</v>
      </c>
      <c r="B30" s="23" t="s">
        <v>454</v>
      </c>
      <c r="C30" s="23" t="s">
        <v>24</v>
      </c>
      <c r="D30" s="23" t="s">
        <v>304</v>
      </c>
      <c r="E30" s="26" t="s">
        <v>18</v>
      </c>
      <c r="F30" s="30">
        <v>58240</v>
      </c>
      <c r="G30" s="30">
        <v>58240</v>
      </c>
    </row>
    <row r="31" spans="1:8" s="76" customFormat="1" ht="62.5" customHeight="1" outlineLevel="7" x14ac:dyDescent="0.25">
      <c r="A31" s="41" t="s">
        <v>723</v>
      </c>
      <c r="B31" s="38" t="s">
        <v>454</v>
      </c>
      <c r="C31" s="23" t="s">
        <v>24</v>
      </c>
      <c r="D31" s="38" t="s">
        <v>305</v>
      </c>
      <c r="E31" s="39" t="s">
        <v>6</v>
      </c>
      <c r="F31" s="46">
        <f t="shared" ref="F31:G34" si="1">F32</f>
        <v>477216</v>
      </c>
      <c r="G31" s="46">
        <f t="shared" si="1"/>
        <v>477216</v>
      </c>
      <c r="H31" s="75"/>
    </row>
    <row r="32" spans="1:8" ht="42.8" customHeight="1" outlineLevel="7" x14ac:dyDescent="0.25">
      <c r="A32" s="42" t="s">
        <v>245</v>
      </c>
      <c r="B32" s="23" t="s">
        <v>454</v>
      </c>
      <c r="C32" s="23" t="s">
        <v>24</v>
      </c>
      <c r="D32" s="23" t="s">
        <v>306</v>
      </c>
      <c r="E32" s="26" t="s">
        <v>6</v>
      </c>
      <c r="F32" s="30">
        <f t="shared" si="1"/>
        <v>477216</v>
      </c>
      <c r="G32" s="30">
        <f t="shared" si="1"/>
        <v>477216</v>
      </c>
    </row>
    <row r="33" spans="1:8" ht="39.75" customHeight="1" outlineLevel="5" x14ac:dyDescent="0.25">
      <c r="A33" s="24" t="s">
        <v>25</v>
      </c>
      <c r="B33" s="23" t="s">
        <v>454</v>
      </c>
      <c r="C33" s="23" t="s">
        <v>24</v>
      </c>
      <c r="D33" s="23" t="s">
        <v>317</v>
      </c>
      <c r="E33" s="26" t="s">
        <v>6</v>
      </c>
      <c r="F33" s="25">
        <f t="shared" si="1"/>
        <v>477216</v>
      </c>
      <c r="G33" s="25">
        <f t="shared" si="1"/>
        <v>477216</v>
      </c>
    </row>
    <row r="34" spans="1:8" ht="36.700000000000003" outlineLevel="6" x14ac:dyDescent="0.25">
      <c r="A34" s="24" t="s">
        <v>15</v>
      </c>
      <c r="B34" s="23" t="s">
        <v>454</v>
      </c>
      <c r="C34" s="23" t="s">
        <v>24</v>
      </c>
      <c r="D34" s="23" t="s">
        <v>317</v>
      </c>
      <c r="E34" s="26" t="s">
        <v>16</v>
      </c>
      <c r="F34" s="25">
        <f t="shared" si="1"/>
        <v>477216</v>
      </c>
      <c r="G34" s="25">
        <f t="shared" si="1"/>
        <v>477216</v>
      </c>
    </row>
    <row r="35" spans="1:8" ht="21.25" customHeight="1" outlineLevel="7" x14ac:dyDescent="0.25">
      <c r="A35" s="24" t="s">
        <v>17</v>
      </c>
      <c r="B35" s="23" t="s">
        <v>454</v>
      </c>
      <c r="C35" s="23" t="s">
        <v>24</v>
      </c>
      <c r="D35" s="23" t="s">
        <v>317</v>
      </c>
      <c r="E35" s="26" t="s">
        <v>18</v>
      </c>
      <c r="F35" s="25">
        <v>477216</v>
      </c>
      <c r="G35" s="25">
        <v>477216</v>
      </c>
    </row>
    <row r="36" spans="1:8" s="74" customFormat="1" ht="36.700000000000003" x14ac:dyDescent="0.25">
      <c r="A36" s="34" t="s">
        <v>27</v>
      </c>
      <c r="B36" s="35" t="s">
        <v>455</v>
      </c>
      <c r="C36" s="35" t="s">
        <v>5</v>
      </c>
      <c r="D36" s="35" t="s">
        <v>126</v>
      </c>
      <c r="E36" s="36" t="s">
        <v>6</v>
      </c>
      <c r="F36" s="50" t="e">
        <f>F37+F157+F167+F223+F325+F341+F355+F394+F463+F436+F178</f>
        <v>#REF!</v>
      </c>
      <c r="G36" s="50" t="e">
        <f>G37+G157+G167+G223+G325+G341+G355+G394+G463+G436+G178</f>
        <v>#REF!</v>
      </c>
      <c r="H36" s="77"/>
    </row>
    <row r="37" spans="1:8" s="76" customFormat="1" outlineLevel="1" x14ac:dyDescent="0.25">
      <c r="A37" s="37" t="s">
        <v>7</v>
      </c>
      <c r="B37" s="38" t="s">
        <v>455</v>
      </c>
      <c r="C37" s="38" t="s">
        <v>8</v>
      </c>
      <c r="D37" s="38" t="s">
        <v>126</v>
      </c>
      <c r="E37" s="39" t="s">
        <v>6</v>
      </c>
      <c r="F37" s="28">
        <f>F38+F43+F50+F56+F66+F61</f>
        <v>98730538.969999999</v>
      </c>
      <c r="G37" s="28">
        <f>G38+G43+G50+G56+G66+G61</f>
        <v>101350040.06999999</v>
      </c>
      <c r="H37" s="75"/>
    </row>
    <row r="38" spans="1:8" ht="55.05" outlineLevel="2" x14ac:dyDescent="0.25">
      <c r="A38" s="24" t="s">
        <v>28</v>
      </c>
      <c r="B38" s="23" t="s">
        <v>455</v>
      </c>
      <c r="C38" s="23" t="s">
        <v>29</v>
      </c>
      <c r="D38" s="23" t="s">
        <v>126</v>
      </c>
      <c r="E38" s="26" t="s">
        <v>6</v>
      </c>
      <c r="F38" s="25">
        <f t="shared" ref="F38:G41" si="2">F39</f>
        <v>2846266</v>
      </c>
      <c r="G38" s="25">
        <f t="shared" si="2"/>
        <v>2846266</v>
      </c>
    </row>
    <row r="39" spans="1:8" ht="36.700000000000003" outlineLevel="3" x14ac:dyDescent="0.25">
      <c r="A39" s="24" t="s">
        <v>132</v>
      </c>
      <c r="B39" s="23" t="s">
        <v>455</v>
      </c>
      <c r="C39" s="23" t="s">
        <v>29</v>
      </c>
      <c r="D39" s="23" t="s">
        <v>127</v>
      </c>
      <c r="E39" s="26" t="s">
        <v>6</v>
      </c>
      <c r="F39" s="25">
        <f t="shared" si="2"/>
        <v>2846266</v>
      </c>
      <c r="G39" s="25">
        <f t="shared" si="2"/>
        <v>2846266</v>
      </c>
    </row>
    <row r="40" spans="1:8" outlineLevel="5" x14ac:dyDescent="0.25">
      <c r="A40" s="24" t="s">
        <v>451</v>
      </c>
      <c r="B40" s="23" t="s">
        <v>455</v>
      </c>
      <c r="C40" s="23" t="s">
        <v>29</v>
      </c>
      <c r="D40" s="23" t="s">
        <v>452</v>
      </c>
      <c r="E40" s="26" t="s">
        <v>6</v>
      </c>
      <c r="F40" s="155">
        <f t="shared" si="2"/>
        <v>2846266</v>
      </c>
      <c r="G40" s="25">
        <f t="shared" si="2"/>
        <v>2846266</v>
      </c>
    </row>
    <row r="41" spans="1:8" ht="91.7" outlineLevel="6" x14ac:dyDescent="0.25">
      <c r="A41" s="24" t="s">
        <v>11</v>
      </c>
      <c r="B41" s="23" t="s">
        <v>455</v>
      </c>
      <c r="C41" s="23" t="s">
        <v>29</v>
      </c>
      <c r="D41" s="23" t="s">
        <v>452</v>
      </c>
      <c r="E41" s="26" t="s">
        <v>12</v>
      </c>
      <c r="F41" s="25">
        <f t="shared" si="2"/>
        <v>2846266</v>
      </c>
      <c r="G41" s="25">
        <f t="shared" si="2"/>
        <v>2846266</v>
      </c>
    </row>
    <row r="42" spans="1:8" ht="36.700000000000003" outlineLevel="7" x14ac:dyDescent="0.25">
      <c r="A42" s="24" t="s">
        <v>13</v>
      </c>
      <c r="B42" s="23" t="s">
        <v>455</v>
      </c>
      <c r="C42" s="23" t="s">
        <v>29</v>
      </c>
      <c r="D42" s="23" t="s">
        <v>452</v>
      </c>
      <c r="E42" s="26" t="s">
        <v>14</v>
      </c>
      <c r="F42" s="25">
        <v>2846266</v>
      </c>
      <c r="G42" s="25">
        <v>2846266</v>
      </c>
    </row>
    <row r="43" spans="1:8" ht="37.549999999999997" customHeight="1" outlineLevel="2" x14ac:dyDescent="0.25">
      <c r="A43" s="24" t="s">
        <v>30</v>
      </c>
      <c r="B43" s="23" t="s">
        <v>455</v>
      </c>
      <c r="C43" s="23" t="s">
        <v>31</v>
      </c>
      <c r="D43" s="23" t="s">
        <v>126</v>
      </c>
      <c r="E43" s="26" t="s">
        <v>6</v>
      </c>
      <c r="F43" s="25">
        <f>F44</f>
        <v>22524109.440000001</v>
      </c>
      <c r="G43" s="25">
        <f>G44</f>
        <v>23421393.82</v>
      </c>
    </row>
    <row r="44" spans="1:8" ht="36.700000000000003" outlineLevel="3" x14ac:dyDescent="0.25">
      <c r="A44" s="24" t="s">
        <v>132</v>
      </c>
      <c r="B44" s="23" t="s">
        <v>455</v>
      </c>
      <c r="C44" s="23" t="s">
        <v>31</v>
      </c>
      <c r="D44" s="23" t="s">
        <v>127</v>
      </c>
      <c r="E44" s="26" t="s">
        <v>6</v>
      </c>
      <c r="F44" s="25">
        <f>F45</f>
        <v>22524109.440000001</v>
      </c>
      <c r="G44" s="25">
        <f>G45</f>
        <v>23421393.82</v>
      </c>
    </row>
    <row r="45" spans="1:8" ht="55.05" outlineLevel="5" x14ac:dyDescent="0.25">
      <c r="A45" s="24" t="s">
        <v>449</v>
      </c>
      <c r="B45" s="23" t="s">
        <v>455</v>
      </c>
      <c r="C45" s="23" t="s">
        <v>31</v>
      </c>
      <c r="D45" s="23" t="s">
        <v>450</v>
      </c>
      <c r="E45" s="26" t="s">
        <v>6</v>
      </c>
      <c r="F45" s="25">
        <f>F46+F48</f>
        <v>22524109.440000001</v>
      </c>
      <c r="G45" s="25">
        <f>G46+G48</f>
        <v>23421393.82</v>
      </c>
    </row>
    <row r="46" spans="1:8" ht="91.7" outlineLevel="6" x14ac:dyDescent="0.25">
      <c r="A46" s="24" t="s">
        <v>11</v>
      </c>
      <c r="B46" s="23" t="s">
        <v>455</v>
      </c>
      <c r="C46" s="23" t="s">
        <v>31</v>
      </c>
      <c r="D46" s="23" t="s">
        <v>450</v>
      </c>
      <c r="E46" s="26" t="s">
        <v>12</v>
      </c>
      <c r="F46" s="25">
        <f>F47</f>
        <v>22432109.440000001</v>
      </c>
      <c r="G46" s="25">
        <f>G47</f>
        <v>23329393.82</v>
      </c>
    </row>
    <row r="47" spans="1:8" ht="36.700000000000003" outlineLevel="7" x14ac:dyDescent="0.25">
      <c r="A47" s="24" t="s">
        <v>13</v>
      </c>
      <c r="B47" s="23" t="s">
        <v>455</v>
      </c>
      <c r="C47" s="23" t="s">
        <v>31</v>
      </c>
      <c r="D47" s="23" t="s">
        <v>450</v>
      </c>
      <c r="E47" s="26" t="s">
        <v>14</v>
      </c>
      <c r="F47" s="51">
        <v>22432109.440000001</v>
      </c>
      <c r="G47" s="51">
        <v>23329393.82</v>
      </c>
    </row>
    <row r="48" spans="1:8" ht="36.700000000000003" outlineLevel="6" x14ac:dyDescent="0.25">
      <c r="A48" s="24" t="s">
        <v>15</v>
      </c>
      <c r="B48" s="23" t="s">
        <v>455</v>
      </c>
      <c r="C48" s="23" t="s">
        <v>31</v>
      </c>
      <c r="D48" s="23" t="s">
        <v>450</v>
      </c>
      <c r="E48" s="26" t="s">
        <v>16</v>
      </c>
      <c r="F48" s="25">
        <f>F49</f>
        <v>92000</v>
      </c>
      <c r="G48" s="25">
        <f>G49</f>
        <v>92000</v>
      </c>
    </row>
    <row r="49" spans="1:7" ht="21.25" customHeight="1" outlineLevel="7" x14ac:dyDescent="0.25">
      <c r="A49" s="24" t="s">
        <v>17</v>
      </c>
      <c r="B49" s="23" t="s">
        <v>455</v>
      </c>
      <c r="C49" s="23" t="s">
        <v>31</v>
      </c>
      <c r="D49" s="23" t="s">
        <v>450</v>
      </c>
      <c r="E49" s="26" t="s">
        <v>18</v>
      </c>
      <c r="F49" s="51">
        <v>92000</v>
      </c>
      <c r="G49" s="51">
        <v>92000</v>
      </c>
    </row>
    <row r="50" spans="1:7" outlineLevel="7" x14ac:dyDescent="0.25">
      <c r="A50" s="24" t="s">
        <v>254</v>
      </c>
      <c r="B50" s="23" t="s">
        <v>455</v>
      </c>
      <c r="C50" s="23" t="s">
        <v>255</v>
      </c>
      <c r="D50" s="23" t="s">
        <v>126</v>
      </c>
      <c r="E50" s="26" t="s">
        <v>6</v>
      </c>
      <c r="F50" s="30">
        <f>F51</f>
        <v>13010</v>
      </c>
      <c r="G50" s="30">
        <f>G51</f>
        <v>11564</v>
      </c>
    </row>
    <row r="51" spans="1:7" ht="36.700000000000003" outlineLevel="7" x14ac:dyDescent="0.25">
      <c r="A51" s="24" t="s">
        <v>132</v>
      </c>
      <c r="B51" s="23" t="s">
        <v>455</v>
      </c>
      <c r="C51" s="23" t="s">
        <v>255</v>
      </c>
      <c r="D51" s="23" t="s">
        <v>127</v>
      </c>
      <c r="E51" s="26" t="s">
        <v>6</v>
      </c>
      <c r="F51" s="30">
        <f>F53</f>
        <v>13010</v>
      </c>
      <c r="G51" s="30">
        <f>G53</f>
        <v>11564</v>
      </c>
    </row>
    <row r="52" spans="1:7" outlineLevel="7" x14ac:dyDescent="0.25">
      <c r="A52" s="24" t="s">
        <v>269</v>
      </c>
      <c r="B52" s="23" t="s">
        <v>455</v>
      </c>
      <c r="C52" s="23" t="s">
        <v>255</v>
      </c>
      <c r="D52" s="23" t="s">
        <v>268</v>
      </c>
      <c r="E52" s="26" t="s">
        <v>6</v>
      </c>
      <c r="F52" s="30">
        <f t="shared" ref="F52:G54" si="3">F53</f>
        <v>13010</v>
      </c>
      <c r="G52" s="30">
        <f t="shared" si="3"/>
        <v>11564</v>
      </c>
    </row>
    <row r="53" spans="1:7" ht="95.3" customHeight="1" outlineLevel="7" x14ac:dyDescent="0.25">
      <c r="A53" s="24" t="s">
        <v>384</v>
      </c>
      <c r="B53" s="23" t="s">
        <v>455</v>
      </c>
      <c r="C53" s="23" t="s">
        <v>255</v>
      </c>
      <c r="D53" s="23" t="s">
        <v>277</v>
      </c>
      <c r="E53" s="26" t="s">
        <v>6</v>
      </c>
      <c r="F53" s="30">
        <f t="shared" si="3"/>
        <v>13010</v>
      </c>
      <c r="G53" s="30">
        <f t="shared" si="3"/>
        <v>11564</v>
      </c>
    </row>
    <row r="54" spans="1:7" ht="36.700000000000003" outlineLevel="7" x14ac:dyDescent="0.25">
      <c r="A54" s="24" t="s">
        <v>15</v>
      </c>
      <c r="B54" s="23" t="s">
        <v>455</v>
      </c>
      <c r="C54" s="23" t="s">
        <v>255</v>
      </c>
      <c r="D54" s="23" t="s">
        <v>277</v>
      </c>
      <c r="E54" s="26" t="s">
        <v>16</v>
      </c>
      <c r="F54" s="30">
        <f t="shared" si="3"/>
        <v>13010</v>
      </c>
      <c r="G54" s="30">
        <f t="shared" si="3"/>
        <v>11564</v>
      </c>
    </row>
    <row r="55" spans="1:7" ht="19.55" customHeight="1" outlineLevel="7" x14ac:dyDescent="0.25">
      <c r="A55" s="24" t="s">
        <v>17</v>
      </c>
      <c r="B55" s="23" t="s">
        <v>455</v>
      </c>
      <c r="C55" s="23" t="s">
        <v>255</v>
      </c>
      <c r="D55" s="23" t="s">
        <v>277</v>
      </c>
      <c r="E55" s="26" t="s">
        <v>18</v>
      </c>
      <c r="F55" s="25">
        <v>13010</v>
      </c>
      <c r="G55" s="25">
        <v>11564</v>
      </c>
    </row>
    <row r="56" spans="1:7" ht="36.700000000000003" customHeight="1" outlineLevel="2" x14ac:dyDescent="0.25">
      <c r="A56" s="24" t="s">
        <v>9</v>
      </c>
      <c r="B56" s="23" t="s">
        <v>455</v>
      </c>
      <c r="C56" s="23" t="s">
        <v>10</v>
      </c>
      <c r="D56" s="23" t="s">
        <v>126</v>
      </c>
      <c r="E56" s="26" t="s">
        <v>6</v>
      </c>
      <c r="F56" s="25">
        <f t="shared" ref="F56:G59" si="4">F57</f>
        <v>825175</v>
      </c>
      <c r="G56" s="25">
        <f t="shared" si="4"/>
        <v>858182</v>
      </c>
    </row>
    <row r="57" spans="1:7" ht="36.700000000000003" outlineLevel="4" x14ac:dyDescent="0.25">
      <c r="A57" s="24" t="s">
        <v>132</v>
      </c>
      <c r="B57" s="23" t="s">
        <v>455</v>
      </c>
      <c r="C57" s="23" t="s">
        <v>10</v>
      </c>
      <c r="D57" s="23" t="s">
        <v>127</v>
      </c>
      <c r="E57" s="26" t="s">
        <v>6</v>
      </c>
      <c r="F57" s="25">
        <f t="shared" si="4"/>
        <v>825175</v>
      </c>
      <c r="G57" s="25">
        <f t="shared" si="4"/>
        <v>858182</v>
      </c>
    </row>
    <row r="58" spans="1:7" ht="36.700000000000003" outlineLevel="5" x14ac:dyDescent="0.25">
      <c r="A58" s="24" t="s">
        <v>453</v>
      </c>
      <c r="B58" s="23" t="s">
        <v>455</v>
      </c>
      <c r="C58" s="23" t="s">
        <v>10</v>
      </c>
      <c r="D58" s="23" t="s">
        <v>491</v>
      </c>
      <c r="E58" s="26" t="s">
        <v>6</v>
      </c>
      <c r="F58" s="25">
        <f t="shared" si="4"/>
        <v>825175</v>
      </c>
      <c r="G58" s="25">
        <f t="shared" si="4"/>
        <v>858182</v>
      </c>
    </row>
    <row r="59" spans="1:7" ht="91.7" outlineLevel="6" x14ac:dyDescent="0.25">
      <c r="A59" s="24" t="s">
        <v>11</v>
      </c>
      <c r="B59" s="23" t="s">
        <v>455</v>
      </c>
      <c r="C59" s="23" t="s">
        <v>10</v>
      </c>
      <c r="D59" s="23" t="s">
        <v>491</v>
      </c>
      <c r="E59" s="26" t="s">
        <v>12</v>
      </c>
      <c r="F59" s="25">
        <f t="shared" si="4"/>
        <v>825175</v>
      </c>
      <c r="G59" s="25">
        <f t="shared" si="4"/>
        <v>858182</v>
      </c>
    </row>
    <row r="60" spans="1:7" ht="31.75" customHeight="1" outlineLevel="7" x14ac:dyDescent="0.25">
      <c r="A60" s="24" t="s">
        <v>13</v>
      </c>
      <c r="B60" s="23" t="s">
        <v>455</v>
      </c>
      <c r="C60" s="23" t="s">
        <v>10</v>
      </c>
      <c r="D60" s="23" t="s">
        <v>491</v>
      </c>
      <c r="E60" s="26" t="s">
        <v>14</v>
      </c>
      <c r="F60" s="25">
        <v>825175</v>
      </c>
      <c r="G60" s="25">
        <v>858182</v>
      </c>
    </row>
    <row r="61" spans="1:7" outlineLevel="7" x14ac:dyDescent="0.25">
      <c r="A61" s="24" t="s">
        <v>630</v>
      </c>
      <c r="B61" s="23" t="s">
        <v>455</v>
      </c>
      <c r="C61" s="23" t="s">
        <v>627</v>
      </c>
      <c r="D61" s="23" t="s">
        <v>126</v>
      </c>
      <c r="E61" s="23" t="s">
        <v>6</v>
      </c>
      <c r="F61" s="25">
        <f t="shared" ref="F61:G64" si="5">F62</f>
        <v>0</v>
      </c>
      <c r="G61" s="25">
        <f t="shared" si="5"/>
        <v>0</v>
      </c>
    </row>
    <row r="62" spans="1:7" ht="36.700000000000003" outlineLevel="7" x14ac:dyDescent="0.25">
      <c r="A62" s="24" t="s">
        <v>132</v>
      </c>
      <c r="B62" s="23" t="s">
        <v>455</v>
      </c>
      <c r="C62" s="23" t="s">
        <v>627</v>
      </c>
      <c r="D62" s="23" t="s">
        <v>127</v>
      </c>
      <c r="E62" s="23" t="s">
        <v>6</v>
      </c>
      <c r="F62" s="25">
        <f t="shared" si="5"/>
        <v>0</v>
      </c>
      <c r="G62" s="25">
        <f t="shared" si="5"/>
        <v>0</v>
      </c>
    </row>
    <row r="63" spans="1:7" ht="36.700000000000003" outlineLevel="7" x14ac:dyDescent="0.25">
      <c r="A63" s="24" t="s">
        <v>629</v>
      </c>
      <c r="B63" s="23" t="s">
        <v>455</v>
      </c>
      <c r="C63" s="23" t="s">
        <v>627</v>
      </c>
      <c r="D63" s="23" t="s">
        <v>493</v>
      </c>
      <c r="E63" s="23" t="s">
        <v>6</v>
      </c>
      <c r="F63" s="25">
        <f t="shared" si="5"/>
        <v>0</v>
      </c>
      <c r="G63" s="25">
        <f t="shared" si="5"/>
        <v>0</v>
      </c>
    </row>
    <row r="64" spans="1:7" outlineLevel="7" x14ac:dyDescent="0.25">
      <c r="A64" s="24" t="s">
        <v>19</v>
      </c>
      <c r="B64" s="23" t="s">
        <v>455</v>
      </c>
      <c r="C64" s="23" t="s">
        <v>627</v>
      </c>
      <c r="D64" s="23" t="s">
        <v>493</v>
      </c>
      <c r="E64" s="23" t="s">
        <v>20</v>
      </c>
      <c r="F64" s="25">
        <f t="shared" si="5"/>
        <v>0</v>
      </c>
      <c r="G64" s="25">
        <f t="shared" si="5"/>
        <v>0</v>
      </c>
    </row>
    <row r="65" spans="1:8" outlineLevel="7" x14ac:dyDescent="0.25">
      <c r="A65" s="24" t="s">
        <v>628</v>
      </c>
      <c r="B65" s="23" t="s">
        <v>455</v>
      </c>
      <c r="C65" s="23" t="s">
        <v>627</v>
      </c>
      <c r="D65" s="23" t="s">
        <v>493</v>
      </c>
      <c r="E65" s="23" t="s">
        <v>626</v>
      </c>
      <c r="F65" s="25"/>
      <c r="G65" s="25"/>
    </row>
    <row r="66" spans="1:8" outlineLevel="2" x14ac:dyDescent="0.25">
      <c r="A66" s="24" t="s">
        <v>23</v>
      </c>
      <c r="B66" s="23" t="s">
        <v>455</v>
      </c>
      <c r="C66" s="23" t="s">
        <v>24</v>
      </c>
      <c r="D66" s="23" t="s">
        <v>126</v>
      </c>
      <c r="E66" s="26" t="s">
        <v>6</v>
      </c>
      <c r="F66" s="25">
        <f>F67+F90+F103+F95+F110</f>
        <v>72521978.530000001</v>
      </c>
      <c r="G66" s="25">
        <f>G67+G90+G103+G95+G110</f>
        <v>74212634.25</v>
      </c>
    </row>
    <row r="67" spans="1:8" s="76" customFormat="1" ht="59.3" customHeight="1" outlineLevel="3" x14ac:dyDescent="0.25">
      <c r="A67" s="37" t="s">
        <v>747</v>
      </c>
      <c r="B67" s="38" t="s">
        <v>455</v>
      </c>
      <c r="C67" s="38" t="s">
        <v>24</v>
      </c>
      <c r="D67" s="38" t="s">
        <v>128</v>
      </c>
      <c r="E67" s="39" t="s">
        <v>6</v>
      </c>
      <c r="F67" s="28">
        <f>F68+F75+F83</f>
        <v>25030881.030000001</v>
      </c>
      <c r="G67" s="28">
        <f>G68+G75+G83</f>
        <v>25154303.800000001</v>
      </c>
      <c r="H67" s="75"/>
    </row>
    <row r="68" spans="1:8" ht="57.25" customHeight="1" outlineLevel="7" x14ac:dyDescent="0.25">
      <c r="A68" s="24" t="s">
        <v>729</v>
      </c>
      <c r="B68" s="23" t="s">
        <v>455</v>
      </c>
      <c r="C68" s="23" t="s">
        <v>24</v>
      </c>
      <c r="D68" s="23" t="s">
        <v>303</v>
      </c>
      <c r="E68" s="26" t="s">
        <v>6</v>
      </c>
      <c r="F68" s="30">
        <f>F69+F72</f>
        <v>795385</v>
      </c>
      <c r="G68" s="30">
        <f>G69+G72</f>
        <v>795385</v>
      </c>
    </row>
    <row r="69" spans="1:8" outlineLevel="7" x14ac:dyDescent="0.25">
      <c r="A69" s="24" t="s">
        <v>309</v>
      </c>
      <c r="B69" s="23" t="s">
        <v>455</v>
      </c>
      <c r="C69" s="23" t="s">
        <v>24</v>
      </c>
      <c r="D69" s="23" t="s">
        <v>304</v>
      </c>
      <c r="E69" s="26" t="s">
        <v>6</v>
      </c>
      <c r="F69" s="30">
        <f>F70</f>
        <v>745385</v>
      </c>
      <c r="G69" s="30">
        <f>G70</f>
        <v>745385</v>
      </c>
    </row>
    <row r="70" spans="1:8" ht="36.700000000000003" outlineLevel="7" x14ac:dyDescent="0.25">
      <c r="A70" s="24" t="s">
        <v>15</v>
      </c>
      <c r="B70" s="23" t="s">
        <v>455</v>
      </c>
      <c r="C70" s="23" t="s">
        <v>24</v>
      </c>
      <c r="D70" s="23" t="s">
        <v>304</v>
      </c>
      <c r="E70" s="26" t="s">
        <v>16</v>
      </c>
      <c r="F70" s="25">
        <f>F71</f>
        <v>745385</v>
      </c>
      <c r="G70" s="25">
        <f>G71</f>
        <v>745385</v>
      </c>
    </row>
    <row r="71" spans="1:8" ht="21.25" customHeight="1" outlineLevel="7" x14ac:dyDescent="0.25">
      <c r="A71" s="24" t="s">
        <v>17</v>
      </c>
      <c r="B71" s="23" t="s">
        <v>455</v>
      </c>
      <c r="C71" s="23" t="s">
        <v>24</v>
      </c>
      <c r="D71" s="23" t="s">
        <v>304</v>
      </c>
      <c r="E71" s="26" t="s">
        <v>18</v>
      </c>
      <c r="F71" s="30">
        <v>745385</v>
      </c>
      <c r="G71" s="30">
        <v>745385</v>
      </c>
    </row>
    <row r="72" spans="1:8" outlineLevel="7" x14ac:dyDescent="0.25">
      <c r="A72" s="24" t="s">
        <v>310</v>
      </c>
      <c r="B72" s="23" t="s">
        <v>455</v>
      </c>
      <c r="C72" s="23" t="s">
        <v>24</v>
      </c>
      <c r="D72" s="23" t="s">
        <v>311</v>
      </c>
      <c r="E72" s="26" t="s">
        <v>6</v>
      </c>
      <c r="F72" s="30">
        <f>F73</f>
        <v>50000</v>
      </c>
      <c r="G72" s="30">
        <f>G73</f>
        <v>50000</v>
      </c>
    </row>
    <row r="73" spans="1:8" ht="36.700000000000003" outlineLevel="7" x14ac:dyDescent="0.25">
      <c r="A73" s="24" t="s">
        <v>15</v>
      </c>
      <c r="B73" s="23" t="s">
        <v>455</v>
      </c>
      <c r="C73" s="23" t="s">
        <v>24</v>
      </c>
      <c r="D73" s="23" t="s">
        <v>311</v>
      </c>
      <c r="E73" s="26" t="s">
        <v>16</v>
      </c>
      <c r="F73" s="25">
        <f>F74</f>
        <v>50000</v>
      </c>
      <c r="G73" s="25">
        <f>G74</f>
        <v>50000</v>
      </c>
    </row>
    <row r="74" spans="1:8" ht="19.55" customHeight="1" outlineLevel="7" x14ac:dyDescent="0.25">
      <c r="A74" s="24" t="s">
        <v>17</v>
      </c>
      <c r="B74" s="23" t="s">
        <v>455</v>
      </c>
      <c r="C74" s="23" t="s">
        <v>24</v>
      </c>
      <c r="D74" s="23" t="s">
        <v>311</v>
      </c>
      <c r="E74" s="26" t="s">
        <v>18</v>
      </c>
      <c r="F74" s="25">
        <v>50000</v>
      </c>
      <c r="G74" s="25">
        <v>50000</v>
      </c>
    </row>
    <row r="75" spans="1:8" ht="46.55" customHeight="1" outlineLevel="7" x14ac:dyDescent="0.25">
      <c r="A75" s="24" t="s">
        <v>213</v>
      </c>
      <c r="B75" s="23" t="s">
        <v>455</v>
      </c>
      <c r="C75" s="23" t="s">
        <v>24</v>
      </c>
      <c r="D75" s="23" t="s">
        <v>228</v>
      </c>
      <c r="E75" s="26" t="s">
        <v>6</v>
      </c>
      <c r="F75" s="30">
        <f>F76</f>
        <v>22135496.030000001</v>
      </c>
      <c r="G75" s="30">
        <f>G76</f>
        <v>22258918.800000001</v>
      </c>
    </row>
    <row r="76" spans="1:8" ht="55.05" outlineLevel="5" x14ac:dyDescent="0.25">
      <c r="A76" s="24" t="s">
        <v>33</v>
      </c>
      <c r="B76" s="23" t="s">
        <v>455</v>
      </c>
      <c r="C76" s="23" t="s">
        <v>24</v>
      </c>
      <c r="D76" s="23" t="s">
        <v>130</v>
      </c>
      <c r="E76" s="26" t="s">
        <v>6</v>
      </c>
      <c r="F76" s="25">
        <f>F77+F79+F81</f>
        <v>22135496.030000001</v>
      </c>
      <c r="G76" s="25">
        <f>G77+G79+G81</f>
        <v>22258918.800000001</v>
      </c>
    </row>
    <row r="77" spans="1:8" ht="91.7" outlineLevel="6" x14ac:dyDescent="0.25">
      <c r="A77" s="24" t="s">
        <v>11</v>
      </c>
      <c r="B77" s="23" t="s">
        <v>455</v>
      </c>
      <c r="C77" s="23" t="s">
        <v>24</v>
      </c>
      <c r="D77" s="23" t="s">
        <v>130</v>
      </c>
      <c r="E77" s="26" t="s">
        <v>12</v>
      </c>
      <c r="F77" s="25">
        <f>F78</f>
        <v>11334046.030000001</v>
      </c>
      <c r="G77" s="25">
        <f>G78</f>
        <v>11457468.800000001</v>
      </c>
    </row>
    <row r="78" spans="1:8" outlineLevel="7" x14ac:dyDescent="0.25">
      <c r="A78" s="24" t="s">
        <v>34</v>
      </c>
      <c r="B78" s="23" t="s">
        <v>455</v>
      </c>
      <c r="C78" s="23" t="s">
        <v>24</v>
      </c>
      <c r="D78" s="23" t="s">
        <v>130</v>
      </c>
      <c r="E78" s="26" t="s">
        <v>35</v>
      </c>
      <c r="F78" s="30">
        <f>11370694-13094.03+129.24-23683.18</f>
        <v>11334046.030000001</v>
      </c>
      <c r="G78" s="30">
        <f>11370694+110457.98-23683.18</f>
        <v>11457468.800000001</v>
      </c>
    </row>
    <row r="79" spans="1:8" ht="36.700000000000003" outlineLevel="6" x14ac:dyDescent="0.25">
      <c r="A79" s="24" t="s">
        <v>15</v>
      </c>
      <c r="B79" s="23" t="s">
        <v>455</v>
      </c>
      <c r="C79" s="23" t="s">
        <v>24</v>
      </c>
      <c r="D79" s="23" t="s">
        <v>130</v>
      </c>
      <c r="E79" s="26" t="s">
        <v>16</v>
      </c>
      <c r="F79" s="25">
        <f>F80</f>
        <v>10000000</v>
      </c>
      <c r="G79" s="25">
        <f>G80</f>
        <v>10000000</v>
      </c>
    </row>
    <row r="80" spans="1:8" ht="21.25" customHeight="1" outlineLevel="7" x14ac:dyDescent="0.25">
      <c r="A80" s="24" t="s">
        <v>17</v>
      </c>
      <c r="B80" s="23" t="s">
        <v>455</v>
      </c>
      <c r="C80" s="23" t="s">
        <v>24</v>
      </c>
      <c r="D80" s="23" t="s">
        <v>130</v>
      </c>
      <c r="E80" s="26" t="s">
        <v>18</v>
      </c>
      <c r="F80" s="30">
        <v>10000000</v>
      </c>
      <c r="G80" s="30">
        <v>10000000</v>
      </c>
    </row>
    <row r="81" spans="1:8" outlineLevel="6" x14ac:dyDescent="0.25">
      <c r="A81" s="24" t="s">
        <v>19</v>
      </c>
      <c r="B81" s="23" t="s">
        <v>455</v>
      </c>
      <c r="C81" s="23" t="s">
        <v>24</v>
      </c>
      <c r="D81" s="23" t="s">
        <v>130</v>
      </c>
      <c r="E81" s="26" t="s">
        <v>20</v>
      </c>
      <c r="F81" s="25">
        <f>F82</f>
        <v>801450</v>
      </c>
      <c r="G81" s="25">
        <f>G82</f>
        <v>801450</v>
      </c>
    </row>
    <row r="82" spans="1:8" outlineLevel="7" x14ac:dyDescent="0.25">
      <c r="A82" s="24" t="s">
        <v>21</v>
      </c>
      <c r="B82" s="23" t="s">
        <v>455</v>
      </c>
      <c r="C82" s="23" t="s">
        <v>24</v>
      </c>
      <c r="D82" s="23" t="s">
        <v>130</v>
      </c>
      <c r="E82" s="26" t="s">
        <v>22</v>
      </c>
      <c r="F82" s="51">
        <v>801450</v>
      </c>
      <c r="G82" s="51">
        <v>801450</v>
      </c>
    </row>
    <row r="83" spans="1:8" outlineLevel="7" x14ac:dyDescent="0.25">
      <c r="A83" s="24" t="s">
        <v>670</v>
      </c>
      <c r="B83" s="23" t="s">
        <v>455</v>
      </c>
      <c r="C83" s="23" t="s">
        <v>24</v>
      </c>
      <c r="D83" s="23" t="s">
        <v>624</v>
      </c>
      <c r="E83" s="23" t="s">
        <v>6</v>
      </c>
      <c r="F83" s="25">
        <f>F84+F87</f>
        <v>2100000</v>
      </c>
      <c r="G83" s="25">
        <f>G84+G87</f>
        <v>2100000</v>
      </c>
    </row>
    <row r="84" spans="1:8" ht="36.700000000000003" outlineLevel="7" x14ac:dyDescent="0.25">
      <c r="A84" s="12" t="s">
        <v>648</v>
      </c>
      <c r="B84" s="23" t="s">
        <v>455</v>
      </c>
      <c r="C84" s="23" t="s">
        <v>24</v>
      </c>
      <c r="D84" s="23" t="s">
        <v>623</v>
      </c>
      <c r="E84" s="23" t="s">
        <v>6</v>
      </c>
      <c r="F84" s="25">
        <f>F85</f>
        <v>500000</v>
      </c>
      <c r="G84" s="25">
        <f>G85</f>
        <v>500000</v>
      </c>
    </row>
    <row r="85" spans="1:8" ht="36.700000000000003" outlineLevel="7" x14ac:dyDescent="0.25">
      <c r="A85" s="24" t="s">
        <v>15</v>
      </c>
      <c r="B85" s="23" t="s">
        <v>455</v>
      </c>
      <c r="C85" s="23" t="s">
        <v>24</v>
      </c>
      <c r="D85" s="23" t="s">
        <v>623</v>
      </c>
      <c r="E85" s="23" t="s">
        <v>16</v>
      </c>
      <c r="F85" s="25">
        <f>F86</f>
        <v>500000</v>
      </c>
      <c r="G85" s="25">
        <f>G86</f>
        <v>500000</v>
      </c>
    </row>
    <row r="86" spans="1:8" ht="36.700000000000003" outlineLevel="7" x14ac:dyDescent="0.25">
      <c r="A86" s="24" t="s">
        <v>17</v>
      </c>
      <c r="B86" s="23" t="s">
        <v>455</v>
      </c>
      <c r="C86" s="23" t="s">
        <v>24</v>
      </c>
      <c r="D86" s="23" t="s">
        <v>623</v>
      </c>
      <c r="E86" s="23" t="s">
        <v>18</v>
      </c>
      <c r="F86" s="51">
        <v>500000</v>
      </c>
      <c r="G86" s="51">
        <v>500000</v>
      </c>
    </row>
    <row r="87" spans="1:8" ht="36.700000000000003" outlineLevel="7" x14ac:dyDescent="0.25">
      <c r="A87" s="24" t="s">
        <v>622</v>
      </c>
      <c r="B87" s="23" t="s">
        <v>455</v>
      </c>
      <c r="C87" s="23" t="s">
        <v>24</v>
      </c>
      <c r="D87" s="23" t="s">
        <v>621</v>
      </c>
      <c r="E87" s="23" t="s">
        <v>6</v>
      </c>
      <c r="F87" s="25">
        <f>F88</f>
        <v>1600000</v>
      </c>
      <c r="G87" s="25">
        <f>G88</f>
        <v>1600000</v>
      </c>
    </row>
    <row r="88" spans="1:8" ht="36.700000000000003" outlineLevel="7" x14ac:dyDescent="0.25">
      <c r="A88" s="24" t="s">
        <v>15</v>
      </c>
      <c r="B88" s="23" t="s">
        <v>455</v>
      </c>
      <c r="C88" s="23" t="s">
        <v>24</v>
      </c>
      <c r="D88" s="23" t="s">
        <v>621</v>
      </c>
      <c r="E88" s="23" t="s">
        <v>16</v>
      </c>
      <c r="F88" s="25">
        <f>F89</f>
        <v>1600000</v>
      </c>
      <c r="G88" s="25">
        <f>G89</f>
        <v>1600000</v>
      </c>
    </row>
    <row r="89" spans="1:8" ht="36.700000000000003" outlineLevel="7" x14ac:dyDescent="0.25">
      <c r="A89" s="24" t="s">
        <v>17</v>
      </c>
      <c r="B89" s="23" t="s">
        <v>455</v>
      </c>
      <c r="C89" s="23" t="s">
        <v>24</v>
      </c>
      <c r="D89" s="23" t="s">
        <v>621</v>
      </c>
      <c r="E89" s="23" t="s">
        <v>18</v>
      </c>
      <c r="F89" s="51">
        <v>1600000</v>
      </c>
      <c r="G89" s="51">
        <v>1600000</v>
      </c>
    </row>
    <row r="90" spans="1:8" s="76" customFormat="1" ht="55.05" outlineLevel="7" x14ac:dyDescent="0.25">
      <c r="A90" s="37" t="s">
        <v>746</v>
      </c>
      <c r="B90" s="38" t="s">
        <v>455</v>
      </c>
      <c r="C90" s="38" t="s">
        <v>24</v>
      </c>
      <c r="D90" s="38" t="s">
        <v>131</v>
      </c>
      <c r="E90" s="39" t="s">
        <v>6</v>
      </c>
      <c r="F90" s="28">
        <f t="shared" ref="F90:G93" si="6">F91</f>
        <v>50000</v>
      </c>
      <c r="G90" s="28">
        <f t="shared" si="6"/>
        <v>50000</v>
      </c>
      <c r="H90" s="75"/>
    </row>
    <row r="91" spans="1:8" outlineLevel="7" x14ac:dyDescent="0.25">
      <c r="A91" s="24" t="s">
        <v>312</v>
      </c>
      <c r="B91" s="23" t="s">
        <v>455</v>
      </c>
      <c r="C91" s="23" t="s">
        <v>24</v>
      </c>
      <c r="D91" s="23" t="s">
        <v>230</v>
      </c>
      <c r="E91" s="26" t="s">
        <v>6</v>
      </c>
      <c r="F91" s="25">
        <f t="shared" si="6"/>
        <v>50000</v>
      </c>
      <c r="G91" s="25">
        <f t="shared" si="6"/>
        <v>50000</v>
      </c>
    </row>
    <row r="92" spans="1:8" ht="36.700000000000003" outlineLevel="7" x14ac:dyDescent="0.25">
      <c r="A92" s="24" t="s">
        <v>313</v>
      </c>
      <c r="B92" s="23" t="s">
        <v>455</v>
      </c>
      <c r="C92" s="23" t="s">
        <v>24</v>
      </c>
      <c r="D92" s="23" t="s">
        <v>314</v>
      </c>
      <c r="E92" s="26" t="s">
        <v>6</v>
      </c>
      <c r="F92" s="25">
        <f t="shared" si="6"/>
        <v>50000</v>
      </c>
      <c r="G92" s="25">
        <f t="shared" si="6"/>
        <v>50000</v>
      </c>
    </row>
    <row r="93" spans="1:8" ht="36.700000000000003" outlineLevel="7" x14ac:dyDescent="0.25">
      <c r="A93" s="24" t="s">
        <v>15</v>
      </c>
      <c r="B93" s="23" t="s">
        <v>455</v>
      </c>
      <c r="C93" s="23" t="s">
        <v>24</v>
      </c>
      <c r="D93" s="23" t="s">
        <v>314</v>
      </c>
      <c r="E93" s="26" t="s">
        <v>16</v>
      </c>
      <c r="F93" s="25">
        <f t="shared" si="6"/>
        <v>50000</v>
      </c>
      <c r="G93" s="25">
        <f t="shared" si="6"/>
        <v>50000</v>
      </c>
    </row>
    <row r="94" spans="1:8" ht="21.25" customHeight="1" outlineLevel="7" x14ac:dyDescent="0.25">
      <c r="A94" s="24" t="s">
        <v>17</v>
      </c>
      <c r="B94" s="23" t="s">
        <v>455</v>
      </c>
      <c r="C94" s="23" t="s">
        <v>24</v>
      </c>
      <c r="D94" s="23" t="s">
        <v>314</v>
      </c>
      <c r="E94" s="26" t="s">
        <v>18</v>
      </c>
      <c r="F94" s="30">
        <v>50000</v>
      </c>
      <c r="G94" s="30">
        <v>50000</v>
      </c>
    </row>
    <row r="95" spans="1:8" s="76" customFormat="1" ht="59.3" customHeight="1" outlineLevel="7" x14ac:dyDescent="0.25">
      <c r="A95" s="37" t="s">
        <v>723</v>
      </c>
      <c r="B95" s="38" t="s">
        <v>455</v>
      </c>
      <c r="C95" s="38" t="s">
        <v>24</v>
      </c>
      <c r="D95" s="38" t="s">
        <v>305</v>
      </c>
      <c r="E95" s="39" t="s">
        <v>6</v>
      </c>
      <c r="F95" s="28">
        <f>F96</f>
        <v>1544157.5</v>
      </c>
      <c r="G95" s="28">
        <f>G96</f>
        <v>1544157.5</v>
      </c>
      <c r="H95" s="75"/>
    </row>
    <row r="96" spans="1:8" ht="42.8" customHeight="1" outlineLevel="7" x14ac:dyDescent="0.25">
      <c r="A96" s="40" t="s">
        <v>315</v>
      </c>
      <c r="B96" s="23" t="s">
        <v>455</v>
      </c>
      <c r="C96" s="23" t="s">
        <v>24</v>
      </c>
      <c r="D96" s="23" t="s">
        <v>306</v>
      </c>
      <c r="E96" s="26" t="s">
        <v>6</v>
      </c>
      <c r="F96" s="25">
        <f>F97+F100</f>
        <v>1544157.5</v>
      </c>
      <c r="G96" s="25">
        <f>G97+G100</f>
        <v>1544157.5</v>
      </c>
    </row>
    <row r="97" spans="1:8" ht="37.549999999999997" customHeight="1" outlineLevel="7" x14ac:dyDescent="0.25">
      <c r="A97" s="40" t="s">
        <v>316</v>
      </c>
      <c r="B97" s="23" t="s">
        <v>455</v>
      </c>
      <c r="C97" s="23" t="s">
        <v>24</v>
      </c>
      <c r="D97" s="23" t="s">
        <v>317</v>
      </c>
      <c r="E97" s="26" t="s">
        <v>6</v>
      </c>
      <c r="F97" s="25">
        <f>F98</f>
        <v>1500000</v>
      </c>
      <c r="G97" s="25">
        <f>G98</f>
        <v>1500000</v>
      </c>
    </row>
    <row r="98" spans="1:8" ht="36.700000000000003" outlineLevel="7" x14ac:dyDescent="0.25">
      <c r="A98" s="24" t="s">
        <v>15</v>
      </c>
      <c r="B98" s="23" t="s">
        <v>455</v>
      </c>
      <c r="C98" s="23" t="s">
        <v>24</v>
      </c>
      <c r="D98" s="23" t="s">
        <v>317</v>
      </c>
      <c r="E98" s="26" t="s">
        <v>16</v>
      </c>
      <c r="F98" s="25">
        <f>F99</f>
        <v>1500000</v>
      </c>
      <c r="G98" s="25">
        <f>G99</f>
        <v>1500000</v>
      </c>
    </row>
    <row r="99" spans="1:8" ht="18.7" customHeight="1" outlineLevel="7" x14ac:dyDescent="0.25">
      <c r="A99" s="24" t="s">
        <v>17</v>
      </c>
      <c r="B99" s="23" t="s">
        <v>455</v>
      </c>
      <c r="C99" s="23" t="s">
        <v>24</v>
      </c>
      <c r="D99" s="23" t="s">
        <v>317</v>
      </c>
      <c r="E99" s="26" t="s">
        <v>18</v>
      </c>
      <c r="F99" s="30">
        <v>1500000</v>
      </c>
      <c r="G99" s="30">
        <v>1500000</v>
      </c>
    </row>
    <row r="100" spans="1:8" ht="36.700000000000003" outlineLevel="7" x14ac:dyDescent="0.25">
      <c r="A100" s="40" t="s">
        <v>318</v>
      </c>
      <c r="B100" s="23" t="s">
        <v>455</v>
      </c>
      <c r="C100" s="23" t="s">
        <v>24</v>
      </c>
      <c r="D100" s="23" t="s">
        <v>307</v>
      </c>
      <c r="E100" s="26" t="s">
        <v>6</v>
      </c>
      <c r="F100" s="25">
        <f>F101</f>
        <v>44157.5</v>
      </c>
      <c r="G100" s="25">
        <f>G101</f>
        <v>44157.5</v>
      </c>
    </row>
    <row r="101" spans="1:8" ht="36.700000000000003" outlineLevel="7" x14ac:dyDescent="0.25">
      <c r="A101" s="24" t="s">
        <v>15</v>
      </c>
      <c r="B101" s="23" t="s">
        <v>455</v>
      </c>
      <c r="C101" s="23" t="s">
        <v>24</v>
      </c>
      <c r="D101" s="23" t="s">
        <v>307</v>
      </c>
      <c r="E101" s="26" t="s">
        <v>16</v>
      </c>
      <c r="F101" s="25">
        <f>F102</f>
        <v>44157.5</v>
      </c>
      <c r="G101" s="25">
        <f>G102</f>
        <v>44157.5</v>
      </c>
    </row>
    <row r="102" spans="1:8" ht="19.55" customHeight="1" outlineLevel="7" x14ac:dyDescent="0.25">
      <c r="A102" s="24" t="s">
        <v>17</v>
      </c>
      <c r="B102" s="23" t="s">
        <v>455</v>
      </c>
      <c r="C102" s="23" t="s">
        <v>24</v>
      </c>
      <c r="D102" s="23" t="s">
        <v>307</v>
      </c>
      <c r="E102" s="26" t="s">
        <v>18</v>
      </c>
      <c r="F102" s="25">
        <v>44157.5</v>
      </c>
      <c r="G102" s="25">
        <v>44157.5</v>
      </c>
    </row>
    <row r="103" spans="1:8" s="76" customFormat="1" ht="55.05" outlineLevel="7" x14ac:dyDescent="0.25">
      <c r="A103" s="37" t="s">
        <v>745</v>
      </c>
      <c r="B103" s="38" t="s">
        <v>455</v>
      </c>
      <c r="C103" s="38" t="s">
        <v>24</v>
      </c>
      <c r="D103" s="38" t="s">
        <v>319</v>
      </c>
      <c r="E103" s="39" t="s">
        <v>6</v>
      </c>
      <c r="F103" s="28">
        <f>F104</f>
        <v>1600000</v>
      </c>
      <c r="G103" s="28">
        <f>G104</f>
        <v>1600000</v>
      </c>
      <c r="H103" s="75"/>
    </row>
    <row r="104" spans="1:8" ht="36.700000000000003" outlineLevel="7" x14ac:dyDescent="0.25">
      <c r="A104" s="24" t="s">
        <v>212</v>
      </c>
      <c r="B104" s="23" t="s">
        <v>455</v>
      </c>
      <c r="C104" s="23" t="s">
        <v>24</v>
      </c>
      <c r="D104" s="23" t="s">
        <v>320</v>
      </c>
      <c r="E104" s="26" t="s">
        <v>6</v>
      </c>
      <c r="F104" s="25">
        <f>F105</f>
        <v>1600000</v>
      </c>
      <c r="G104" s="25">
        <f>G105</f>
        <v>1600000</v>
      </c>
    </row>
    <row r="105" spans="1:8" ht="73.400000000000006" outlineLevel="5" x14ac:dyDescent="0.25">
      <c r="A105" s="24" t="s">
        <v>32</v>
      </c>
      <c r="B105" s="23" t="s">
        <v>455</v>
      </c>
      <c r="C105" s="23" t="s">
        <v>24</v>
      </c>
      <c r="D105" s="23" t="s">
        <v>321</v>
      </c>
      <c r="E105" s="26" t="s">
        <v>6</v>
      </c>
      <c r="F105" s="25">
        <f>F106+F108</f>
        <v>1600000</v>
      </c>
      <c r="G105" s="25">
        <f>G106+G108</f>
        <v>1600000</v>
      </c>
    </row>
    <row r="106" spans="1:8" ht="36.700000000000003" outlineLevel="6" x14ac:dyDescent="0.25">
      <c r="A106" s="24" t="s">
        <v>15</v>
      </c>
      <c r="B106" s="23" t="s">
        <v>455</v>
      </c>
      <c r="C106" s="23" t="s">
        <v>24</v>
      </c>
      <c r="D106" s="23" t="s">
        <v>321</v>
      </c>
      <c r="E106" s="26" t="s">
        <v>16</v>
      </c>
      <c r="F106" s="25">
        <f>F107</f>
        <v>1460000</v>
      </c>
      <c r="G106" s="25">
        <f>G107</f>
        <v>1460000</v>
      </c>
    </row>
    <row r="107" spans="1:8" ht="20.25" customHeight="1" outlineLevel="7" x14ac:dyDescent="0.25">
      <c r="A107" s="24" t="s">
        <v>17</v>
      </c>
      <c r="B107" s="23" t="s">
        <v>455</v>
      </c>
      <c r="C107" s="23" t="s">
        <v>24</v>
      </c>
      <c r="D107" s="23" t="s">
        <v>321</v>
      </c>
      <c r="E107" s="26" t="s">
        <v>18</v>
      </c>
      <c r="F107" s="25">
        <f>1460000</f>
        <v>1460000</v>
      </c>
      <c r="G107" s="25">
        <f>1460000</f>
        <v>1460000</v>
      </c>
    </row>
    <row r="108" spans="1:8" outlineLevel="6" x14ac:dyDescent="0.25">
      <c r="A108" s="24" t="s">
        <v>19</v>
      </c>
      <c r="B108" s="23" t="s">
        <v>455</v>
      </c>
      <c r="C108" s="23" t="s">
        <v>24</v>
      </c>
      <c r="D108" s="23" t="s">
        <v>321</v>
      </c>
      <c r="E108" s="26" t="s">
        <v>20</v>
      </c>
      <c r="F108" s="25">
        <f>F109</f>
        <v>140000</v>
      </c>
      <c r="G108" s="25">
        <f>G109</f>
        <v>140000</v>
      </c>
    </row>
    <row r="109" spans="1:8" outlineLevel="7" x14ac:dyDescent="0.25">
      <c r="A109" s="24" t="s">
        <v>21</v>
      </c>
      <c r="B109" s="23" t="s">
        <v>455</v>
      </c>
      <c r="C109" s="23" t="s">
        <v>24</v>
      </c>
      <c r="D109" s="23" t="s">
        <v>321</v>
      </c>
      <c r="E109" s="26" t="s">
        <v>22</v>
      </c>
      <c r="F109" s="30">
        <v>140000</v>
      </c>
      <c r="G109" s="30">
        <v>140000</v>
      </c>
    </row>
    <row r="110" spans="1:8" ht="36.700000000000003" outlineLevel="3" x14ac:dyDescent="0.25">
      <c r="A110" s="24" t="s">
        <v>132</v>
      </c>
      <c r="B110" s="23" t="s">
        <v>455</v>
      </c>
      <c r="C110" s="23" t="s">
        <v>24</v>
      </c>
      <c r="D110" s="23" t="s">
        <v>127</v>
      </c>
      <c r="E110" s="26" t="s">
        <v>6</v>
      </c>
      <c r="F110" s="25">
        <f>F128+F111+F125+F116</f>
        <v>44296940</v>
      </c>
      <c r="G110" s="25">
        <f>G128+G111+G125+G116</f>
        <v>45864172.950000003</v>
      </c>
    </row>
    <row r="111" spans="1:8" ht="51.65" customHeight="1" outlineLevel="5" x14ac:dyDescent="0.25">
      <c r="A111" s="24" t="s">
        <v>449</v>
      </c>
      <c r="B111" s="23" t="s">
        <v>455</v>
      </c>
      <c r="C111" s="23" t="s">
        <v>24</v>
      </c>
      <c r="D111" s="23" t="s">
        <v>450</v>
      </c>
      <c r="E111" s="26" t="s">
        <v>6</v>
      </c>
      <c r="F111" s="25">
        <f>F112+F114</f>
        <v>36378471</v>
      </c>
      <c r="G111" s="25">
        <f>G112+G114</f>
        <v>37757327.950000003</v>
      </c>
    </row>
    <row r="112" spans="1:8" ht="42.45" customHeight="1" outlineLevel="6" x14ac:dyDescent="0.25">
      <c r="A112" s="24" t="s">
        <v>11</v>
      </c>
      <c r="B112" s="23" t="s">
        <v>455</v>
      </c>
      <c r="C112" s="23" t="s">
        <v>24</v>
      </c>
      <c r="D112" s="23" t="s">
        <v>450</v>
      </c>
      <c r="E112" s="26" t="s">
        <v>12</v>
      </c>
      <c r="F112" s="25">
        <f>F113</f>
        <v>36358471</v>
      </c>
      <c r="G112" s="25">
        <f>G113</f>
        <v>37737327.950000003</v>
      </c>
    </row>
    <row r="113" spans="1:7" ht="52.3" customHeight="1" outlineLevel="7" x14ac:dyDescent="0.25">
      <c r="A113" s="24" t="s">
        <v>13</v>
      </c>
      <c r="B113" s="23" t="s">
        <v>455</v>
      </c>
      <c r="C113" s="23" t="s">
        <v>24</v>
      </c>
      <c r="D113" s="23" t="s">
        <v>450</v>
      </c>
      <c r="E113" s="26" t="s">
        <v>14</v>
      </c>
      <c r="F113" s="25">
        <v>36358471</v>
      </c>
      <c r="G113" s="25">
        <v>37737327.950000003</v>
      </c>
    </row>
    <row r="114" spans="1:7" ht="53.7" customHeight="1" outlineLevel="7" x14ac:dyDescent="0.25">
      <c r="A114" s="24" t="s">
        <v>15</v>
      </c>
      <c r="B114" s="23" t="s">
        <v>455</v>
      </c>
      <c r="C114" s="23" t="s">
        <v>24</v>
      </c>
      <c r="D114" s="23" t="s">
        <v>450</v>
      </c>
      <c r="E114" s="26" t="s">
        <v>16</v>
      </c>
      <c r="F114" s="30">
        <f>F115</f>
        <v>20000</v>
      </c>
      <c r="G114" s="30">
        <f>G115</f>
        <v>20000</v>
      </c>
    </row>
    <row r="115" spans="1:7" ht="39.4" customHeight="1" outlineLevel="7" x14ac:dyDescent="0.25">
      <c r="A115" s="24" t="s">
        <v>17</v>
      </c>
      <c r="B115" s="23" t="s">
        <v>455</v>
      </c>
      <c r="C115" s="23" t="s">
        <v>24</v>
      </c>
      <c r="D115" s="23" t="s">
        <v>450</v>
      </c>
      <c r="E115" s="26" t="s">
        <v>18</v>
      </c>
      <c r="F115" s="25">
        <v>20000</v>
      </c>
      <c r="G115" s="25">
        <v>20000</v>
      </c>
    </row>
    <row r="116" spans="1:7" ht="39.25" customHeight="1" outlineLevel="7" x14ac:dyDescent="0.25">
      <c r="A116" s="24" t="s">
        <v>620</v>
      </c>
      <c r="B116" s="23" t="s">
        <v>455</v>
      </c>
      <c r="C116" s="23" t="s">
        <v>24</v>
      </c>
      <c r="D116" s="23" t="s">
        <v>618</v>
      </c>
      <c r="E116" s="23" t="s">
        <v>6</v>
      </c>
      <c r="F116" s="25">
        <f>F117</f>
        <v>150000</v>
      </c>
      <c r="G116" s="25">
        <f>G117</f>
        <v>150000</v>
      </c>
    </row>
    <row r="117" spans="1:7" ht="28.55" customHeight="1" outlineLevel="7" x14ac:dyDescent="0.25">
      <c r="A117" s="24" t="s">
        <v>19</v>
      </c>
      <c r="B117" s="23" t="s">
        <v>455</v>
      </c>
      <c r="C117" s="23" t="s">
        <v>24</v>
      </c>
      <c r="D117" s="23" t="s">
        <v>618</v>
      </c>
      <c r="E117" s="23" t="s">
        <v>20</v>
      </c>
      <c r="F117" s="25">
        <f>F118+F119</f>
        <v>150000</v>
      </c>
      <c r="G117" s="25">
        <f>G118+G119</f>
        <v>150000</v>
      </c>
    </row>
    <row r="118" spans="1:7" ht="18.7" customHeight="1" outlineLevel="7" x14ac:dyDescent="0.25">
      <c r="A118" s="24" t="s">
        <v>646</v>
      </c>
      <c r="B118" s="23" t="s">
        <v>455</v>
      </c>
      <c r="C118" s="23" t="s">
        <v>24</v>
      </c>
      <c r="D118" s="23" t="s">
        <v>618</v>
      </c>
      <c r="E118" s="43" t="s">
        <v>647</v>
      </c>
      <c r="F118" s="25">
        <v>0</v>
      </c>
      <c r="G118" s="25">
        <v>0</v>
      </c>
    </row>
    <row r="119" spans="1:7" ht="18" customHeight="1" outlineLevel="7" x14ac:dyDescent="0.25">
      <c r="A119" s="24" t="s">
        <v>619</v>
      </c>
      <c r="B119" s="23" t="s">
        <v>455</v>
      </c>
      <c r="C119" s="23" t="s">
        <v>24</v>
      </c>
      <c r="D119" s="23" t="s">
        <v>618</v>
      </c>
      <c r="E119" s="23" t="s">
        <v>22</v>
      </c>
      <c r="F119" s="25">
        <f>150000</f>
        <v>150000</v>
      </c>
      <c r="G119" s="25">
        <f>150000</f>
        <v>150000</v>
      </c>
    </row>
    <row r="120" spans="1:7" ht="36" customHeight="1" outlineLevel="7" x14ac:dyDescent="0.25">
      <c r="A120" s="12" t="s">
        <v>544</v>
      </c>
      <c r="B120" s="23" t="s">
        <v>455</v>
      </c>
      <c r="C120" s="23" t="s">
        <v>24</v>
      </c>
      <c r="D120" s="23" t="s">
        <v>545</v>
      </c>
      <c r="E120" s="23" t="s">
        <v>6</v>
      </c>
      <c r="F120" s="25">
        <f>F121</f>
        <v>0</v>
      </c>
      <c r="G120" s="25">
        <f>G121</f>
        <v>0</v>
      </c>
    </row>
    <row r="121" spans="1:7" ht="18.7" customHeight="1" outlineLevel="7" x14ac:dyDescent="0.25">
      <c r="A121" s="24" t="s">
        <v>15</v>
      </c>
      <c r="B121" s="23" t="s">
        <v>455</v>
      </c>
      <c r="C121" s="23" t="s">
        <v>24</v>
      </c>
      <c r="D121" s="23" t="s">
        <v>545</v>
      </c>
      <c r="E121" s="23" t="s">
        <v>16</v>
      </c>
      <c r="F121" s="25">
        <f>F122</f>
        <v>0</v>
      </c>
      <c r="G121" s="25">
        <f>G122</f>
        <v>0</v>
      </c>
    </row>
    <row r="122" spans="1:7" ht="18.7" customHeight="1" outlineLevel="7" x14ac:dyDescent="0.25">
      <c r="A122" s="24" t="s">
        <v>17</v>
      </c>
      <c r="B122" s="23" t="s">
        <v>455</v>
      </c>
      <c r="C122" s="23" t="s">
        <v>24</v>
      </c>
      <c r="D122" s="23" t="s">
        <v>545</v>
      </c>
      <c r="E122" s="23" t="s">
        <v>18</v>
      </c>
      <c r="F122" s="25">
        <v>0</v>
      </c>
      <c r="G122" s="25">
        <v>0</v>
      </c>
    </row>
    <row r="123" spans="1:7" ht="18.7" customHeight="1" outlineLevel="7" x14ac:dyDescent="0.25">
      <c r="A123" s="24" t="s">
        <v>90</v>
      </c>
      <c r="B123" s="23" t="s">
        <v>455</v>
      </c>
      <c r="C123" s="23" t="s">
        <v>24</v>
      </c>
      <c r="D123" s="23" t="s">
        <v>545</v>
      </c>
      <c r="E123" s="23" t="s">
        <v>91</v>
      </c>
      <c r="F123" s="25">
        <f>F124</f>
        <v>0</v>
      </c>
      <c r="G123" s="25">
        <f>G124</f>
        <v>0</v>
      </c>
    </row>
    <row r="124" spans="1:7" ht="38.25" customHeight="1" outlineLevel="7" x14ac:dyDescent="0.25">
      <c r="A124" s="24" t="s">
        <v>97</v>
      </c>
      <c r="B124" s="23" t="s">
        <v>455</v>
      </c>
      <c r="C124" s="23" t="s">
        <v>24</v>
      </c>
      <c r="D124" s="23" t="s">
        <v>545</v>
      </c>
      <c r="E124" s="23" t="s">
        <v>98</v>
      </c>
      <c r="F124" s="25">
        <v>0</v>
      </c>
      <c r="G124" s="25">
        <v>0</v>
      </c>
    </row>
    <row r="125" spans="1:7" ht="19.55" customHeight="1" outlineLevel="7" x14ac:dyDescent="0.25">
      <c r="A125" s="24" t="s">
        <v>458</v>
      </c>
      <c r="B125" s="23" t="s">
        <v>455</v>
      </c>
      <c r="C125" s="23" t="s">
        <v>24</v>
      </c>
      <c r="D125" s="23" t="s">
        <v>457</v>
      </c>
      <c r="E125" s="26" t="s">
        <v>6</v>
      </c>
      <c r="F125" s="30">
        <f>F126</f>
        <v>200000</v>
      </c>
      <c r="G125" s="30">
        <f>G126</f>
        <v>200000</v>
      </c>
    </row>
    <row r="126" spans="1:7" ht="36.700000000000003" outlineLevel="7" x14ac:dyDescent="0.25">
      <c r="A126" s="24" t="s">
        <v>15</v>
      </c>
      <c r="B126" s="23" t="s">
        <v>455</v>
      </c>
      <c r="C126" s="23" t="s">
        <v>24</v>
      </c>
      <c r="D126" s="23" t="s">
        <v>457</v>
      </c>
      <c r="E126" s="26" t="s">
        <v>16</v>
      </c>
      <c r="F126" s="30">
        <f>F127</f>
        <v>200000</v>
      </c>
      <c r="G126" s="30">
        <f>G127</f>
        <v>200000</v>
      </c>
    </row>
    <row r="127" spans="1:7" ht="20.25" customHeight="1" outlineLevel="7" x14ac:dyDescent="0.25">
      <c r="A127" s="24" t="s">
        <v>17</v>
      </c>
      <c r="B127" s="23" t="s">
        <v>455</v>
      </c>
      <c r="C127" s="23" t="s">
        <v>24</v>
      </c>
      <c r="D127" s="23" t="s">
        <v>457</v>
      </c>
      <c r="E127" s="26" t="s">
        <v>18</v>
      </c>
      <c r="F127" s="25">
        <v>200000</v>
      </c>
      <c r="G127" s="25">
        <v>200000</v>
      </c>
    </row>
    <row r="128" spans="1:7" outlineLevel="3" x14ac:dyDescent="0.25">
      <c r="A128" s="24" t="s">
        <v>269</v>
      </c>
      <c r="B128" s="23" t="s">
        <v>455</v>
      </c>
      <c r="C128" s="23" t="s">
        <v>24</v>
      </c>
      <c r="D128" s="23" t="s">
        <v>268</v>
      </c>
      <c r="E128" s="26" t="s">
        <v>6</v>
      </c>
      <c r="F128" s="25">
        <f>F152+F129+F137+F142+F147+F134</f>
        <v>7568469</v>
      </c>
      <c r="G128" s="25">
        <f>G152+G129+G137+G142+G147+G134</f>
        <v>7756845</v>
      </c>
    </row>
    <row r="129" spans="1:7" ht="73.400000000000006" outlineLevel="3" x14ac:dyDescent="0.25">
      <c r="A129" s="157" t="s">
        <v>402</v>
      </c>
      <c r="B129" s="61" t="s">
        <v>455</v>
      </c>
      <c r="C129" s="61" t="s">
        <v>24</v>
      </c>
      <c r="D129" s="61" t="s">
        <v>270</v>
      </c>
      <c r="E129" s="158" t="s">
        <v>6</v>
      </c>
      <c r="F129" s="155">
        <f>F130+F132</f>
        <v>1442603</v>
      </c>
      <c r="G129" s="155">
        <f>G130+G132</f>
        <v>1442603</v>
      </c>
    </row>
    <row r="130" spans="1:7" ht="91.7" outlineLevel="3" x14ac:dyDescent="0.25">
      <c r="A130" s="24" t="s">
        <v>11</v>
      </c>
      <c r="B130" s="23" t="s">
        <v>455</v>
      </c>
      <c r="C130" s="23" t="s">
        <v>24</v>
      </c>
      <c r="D130" s="23" t="s">
        <v>270</v>
      </c>
      <c r="E130" s="26" t="s">
        <v>12</v>
      </c>
      <c r="F130" s="25">
        <f>F131</f>
        <v>1427603</v>
      </c>
      <c r="G130" s="25">
        <f>G131</f>
        <v>1427603</v>
      </c>
    </row>
    <row r="131" spans="1:7" ht="36.700000000000003" outlineLevel="3" x14ac:dyDescent="0.25">
      <c r="A131" s="24" t="s">
        <v>13</v>
      </c>
      <c r="B131" s="23" t="s">
        <v>455</v>
      </c>
      <c r="C131" s="23" t="s">
        <v>24</v>
      </c>
      <c r="D131" s="23" t="s">
        <v>270</v>
      </c>
      <c r="E131" s="26" t="s">
        <v>14</v>
      </c>
      <c r="F131" s="25">
        <f>1399316+15924+12363</f>
        <v>1427603</v>
      </c>
      <c r="G131" s="25">
        <f>1399316+66404-38117</f>
        <v>1427603</v>
      </c>
    </row>
    <row r="132" spans="1:7" ht="47.25" customHeight="1" outlineLevel="7" x14ac:dyDescent="0.25">
      <c r="A132" s="24" t="s">
        <v>15</v>
      </c>
      <c r="B132" s="23" t="s">
        <v>455</v>
      </c>
      <c r="C132" s="23" t="s">
        <v>24</v>
      </c>
      <c r="D132" s="23" t="s">
        <v>270</v>
      </c>
      <c r="E132" s="26" t="s">
        <v>16</v>
      </c>
      <c r="F132" s="25">
        <f>F133</f>
        <v>15000</v>
      </c>
      <c r="G132" s="25">
        <f>G133</f>
        <v>15000</v>
      </c>
    </row>
    <row r="133" spans="1:7" ht="36.700000000000003" outlineLevel="7" x14ac:dyDescent="0.25">
      <c r="A133" s="24" t="s">
        <v>17</v>
      </c>
      <c r="B133" s="23" t="s">
        <v>455</v>
      </c>
      <c r="C133" s="23" t="s">
        <v>24</v>
      </c>
      <c r="D133" s="23" t="s">
        <v>270</v>
      </c>
      <c r="E133" s="26" t="s">
        <v>18</v>
      </c>
      <c r="F133" s="25">
        <v>15000</v>
      </c>
      <c r="G133" s="25">
        <v>15000</v>
      </c>
    </row>
    <row r="134" spans="1:7" ht="93.75" customHeight="1" outlineLevel="7" x14ac:dyDescent="0.25">
      <c r="A134" s="24" t="s">
        <v>653</v>
      </c>
      <c r="B134" s="23" t="s">
        <v>455</v>
      </c>
      <c r="C134" s="23" t="s">
        <v>24</v>
      </c>
      <c r="D134" s="23" t="s">
        <v>652</v>
      </c>
      <c r="E134" s="23" t="s">
        <v>6</v>
      </c>
      <c r="F134" s="25">
        <f>F135</f>
        <v>353579</v>
      </c>
      <c r="G134" s="25">
        <f>G135</f>
        <v>353579</v>
      </c>
    </row>
    <row r="135" spans="1:7" ht="36.700000000000003" outlineLevel="7" x14ac:dyDescent="0.25">
      <c r="A135" s="24" t="s">
        <v>13</v>
      </c>
      <c r="B135" s="23" t="s">
        <v>455</v>
      </c>
      <c r="C135" s="23" t="s">
        <v>24</v>
      </c>
      <c r="D135" s="23" t="s">
        <v>652</v>
      </c>
      <c r="E135" s="23" t="s">
        <v>12</v>
      </c>
      <c r="F135" s="25">
        <f>F136</f>
        <v>353579</v>
      </c>
      <c r="G135" s="25">
        <f>G136</f>
        <v>353579</v>
      </c>
    </row>
    <row r="136" spans="1:7" ht="20.25" customHeight="1" outlineLevel="7" x14ac:dyDescent="0.25">
      <c r="A136" s="24" t="s">
        <v>15</v>
      </c>
      <c r="B136" s="23" t="s">
        <v>455</v>
      </c>
      <c r="C136" s="23" t="s">
        <v>24</v>
      </c>
      <c r="D136" s="23" t="s">
        <v>652</v>
      </c>
      <c r="E136" s="23" t="s">
        <v>14</v>
      </c>
      <c r="F136" s="25">
        <v>353579</v>
      </c>
      <c r="G136" s="25">
        <v>353579</v>
      </c>
    </row>
    <row r="137" spans="1:7" ht="36.700000000000003" customHeight="1" outlineLevel="7" x14ac:dyDescent="0.25">
      <c r="A137" s="31" t="s">
        <v>519</v>
      </c>
      <c r="B137" s="23" t="s">
        <v>455</v>
      </c>
      <c r="C137" s="23" t="s">
        <v>24</v>
      </c>
      <c r="D137" s="23" t="s">
        <v>524</v>
      </c>
      <c r="E137" s="26" t="s">
        <v>6</v>
      </c>
      <c r="F137" s="25">
        <f>F138+F140</f>
        <v>2174817</v>
      </c>
      <c r="G137" s="25">
        <f>G138+G140</f>
        <v>2256758</v>
      </c>
    </row>
    <row r="138" spans="1:7" ht="39.75" customHeight="1" outlineLevel="7" x14ac:dyDescent="0.25">
      <c r="A138" s="24" t="s">
        <v>11</v>
      </c>
      <c r="B138" s="23" t="s">
        <v>455</v>
      </c>
      <c r="C138" s="23" t="s">
        <v>24</v>
      </c>
      <c r="D138" s="23" t="s">
        <v>524</v>
      </c>
      <c r="E138" s="26" t="s">
        <v>12</v>
      </c>
      <c r="F138" s="25">
        <f>F139</f>
        <v>2159817</v>
      </c>
      <c r="G138" s="25">
        <f>G139</f>
        <v>2241758</v>
      </c>
    </row>
    <row r="139" spans="1:7" ht="39.75" customHeight="1" outlineLevel="7" x14ac:dyDescent="0.25">
      <c r="A139" s="24" t="s">
        <v>13</v>
      </c>
      <c r="B139" s="23" t="s">
        <v>455</v>
      </c>
      <c r="C139" s="23" t="s">
        <v>24</v>
      </c>
      <c r="D139" s="23" t="s">
        <v>524</v>
      </c>
      <c r="E139" s="26" t="s">
        <v>14</v>
      </c>
      <c r="F139" s="25">
        <f>2081028+78789</f>
        <v>2159817</v>
      </c>
      <c r="G139" s="25">
        <f>2081028+160730</f>
        <v>2241758</v>
      </c>
    </row>
    <row r="140" spans="1:7" ht="36.700000000000003" outlineLevel="7" x14ac:dyDescent="0.25">
      <c r="A140" s="24" t="s">
        <v>15</v>
      </c>
      <c r="B140" s="23" t="s">
        <v>455</v>
      </c>
      <c r="C140" s="23" t="s">
        <v>24</v>
      </c>
      <c r="D140" s="23" t="s">
        <v>524</v>
      </c>
      <c r="E140" s="26" t="s">
        <v>16</v>
      </c>
      <c r="F140" s="25">
        <f>F141</f>
        <v>15000</v>
      </c>
      <c r="G140" s="25">
        <f>G141</f>
        <v>15000</v>
      </c>
    </row>
    <row r="141" spans="1:7" ht="36.700000000000003" outlineLevel="7" x14ac:dyDescent="0.25">
      <c r="A141" s="24" t="s">
        <v>17</v>
      </c>
      <c r="B141" s="23" t="s">
        <v>455</v>
      </c>
      <c r="C141" s="23" t="s">
        <v>24</v>
      </c>
      <c r="D141" s="23" t="s">
        <v>524</v>
      </c>
      <c r="E141" s="26" t="s">
        <v>18</v>
      </c>
      <c r="F141" s="25">
        <v>15000</v>
      </c>
      <c r="G141" s="25">
        <v>15000</v>
      </c>
    </row>
    <row r="142" spans="1:7" ht="73.400000000000006" outlineLevel="7" x14ac:dyDescent="0.25">
      <c r="A142" s="31" t="s">
        <v>362</v>
      </c>
      <c r="B142" s="23" t="s">
        <v>455</v>
      </c>
      <c r="C142" s="23" t="s">
        <v>24</v>
      </c>
      <c r="D142" s="23" t="s">
        <v>271</v>
      </c>
      <c r="E142" s="26" t="s">
        <v>6</v>
      </c>
      <c r="F142" s="25">
        <f>F143+F145</f>
        <v>861546</v>
      </c>
      <c r="G142" s="25">
        <f>G143+G145</f>
        <v>893408</v>
      </c>
    </row>
    <row r="143" spans="1:7" ht="91.7" outlineLevel="7" x14ac:dyDescent="0.25">
      <c r="A143" s="24" t="s">
        <v>11</v>
      </c>
      <c r="B143" s="23" t="s">
        <v>455</v>
      </c>
      <c r="C143" s="23" t="s">
        <v>24</v>
      </c>
      <c r="D143" s="23" t="s">
        <v>271</v>
      </c>
      <c r="E143" s="26" t="s">
        <v>12</v>
      </c>
      <c r="F143" s="25">
        <f>F144</f>
        <v>816546</v>
      </c>
      <c r="G143" s="25">
        <f>G144</f>
        <v>848408</v>
      </c>
    </row>
    <row r="144" spans="1:7" ht="21.25" customHeight="1" outlineLevel="7" x14ac:dyDescent="0.25">
      <c r="A144" s="24" t="s">
        <v>13</v>
      </c>
      <c r="B144" s="23" t="s">
        <v>455</v>
      </c>
      <c r="C144" s="23" t="s">
        <v>24</v>
      </c>
      <c r="D144" s="23" t="s">
        <v>271</v>
      </c>
      <c r="E144" s="26" t="s">
        <v>14</v>
      </c>
      <c r="F144" s="51">
        <f>785909+30637</f>
        <v>816546</v>
      </c>
      <c r="G144" s="51">
        <f>785909+62499</f>
        <v>848408</v>
      </c>
    </row>
    <row r="145" spans="1:7" ht="56.25" customHeight="1" outlineLevel="7" x14ac:dyDescent="0.25">
      <c r="A145" s="24" t="s">
        <v>15</v>
      </c>
      <c r="B145" s="23" t="s">
        <v>455</v>
      </c>
      <c r="C145" s="23" t="s">
        <v>24</v>
      </c>
      <c r="D145" s="23" t="s">
        <v>271</v>
      </c>
      <c r="E145" s="26" t="s">
        <v>16</v>
      </c>
      <c r="F145" s="25">
        <f>F146</f>
        <v>45000</v>
      </c>
      <c r="G145" s="25">
        <f>G146</f>
        <v>45000</v>
      </c>
    </row>
    <row r="146" spans="1:7" ht="36.700000000000003" outlineLevel="7" x14ac:dyDescent="0.25">
      <c r="A146" s="24" t="s">
        <v>17</v>
      </c>
      <c r="B146" s="23" t="s">
        <v>455</v>
      </c>
      <c r="C146" s="23" t="s">
        <v>24</v>
      </c>
      <c r="D146" s="23" t="s">
        <v>271</v>
      </c>
      <c r="E146" s="26" t="s">
        <v>18</v>
      </c>
      <c r="F146" s="25">
        <v>45000</v>
      </c>
      <c r="G146" s="25">
        <v>45000</v>
      </c>
    </row>
    <row r="147" spans="1:7" ht="55.05" outlineLevel="7" x14ac:dyDescent="0.25">
      <c r="A147" s="24" t="s">
        <v>380</v>
      </c>
      <c r="B147" s="23" t="s">
        <v>455</v>
      </c>
      <c r="C147" s="23" t="s">
        <v>24</v>
      </c>
      <c r="D147" s="23" t="s">
        <v>381</v>
      </c>
      <c r="E147" s="26" t="s">
        <v>6</v>
      </c>
      <c r="F147" s="25">
        <f>F148+F150</f>
        <v>2021924</v>
      </c>
      <c r="G147" s="25">
        <f>G148+G150</f>
        <v>2096497</v>
      </c>
    </row>
    <row r="148" spans="1:7" ht="91.7" outlineLevel="7" x14ac:dyDescent="0.25">
      <c r="A148" s="24" t="s">
        <v>11</v>
      </c>
      <c r="B148" s="23" t="s">
        <v>455</v>
      </c>
      <c r="C148" s="23" t="s">
        <v>24</v>
      </c>
      <c r="D148" s="23" t="s">
        <v>381</v>
      </c>
      <c r="E148" s="26" t="s">
        <v>12</v>
      </c>
      <c r="F148" s="25">
        <f>F149</f>
        <v>1864324</v>
      </c>
      <c r="G148" s="25">
        <f>G149</f>
        <v>1938897</v>
      </c>
    </row>
    <row r="149" spans="1:7" ht="21.25" customHeight="1" outlineLevel="7" x14ac:dyDescent="0.25">
      <c r="A149" s="24" t="s">
        <v>13</v>
      </c>
      <c r="B149" s="23" t="s">
        <v>455</v>
      </c>
      <c r="C149" s="23" t="s">
        <v>24</v>
      </c>
      <c r="D149" s="23" t="s">
        <v>381</v>
      </c>
      <c r="E149" s="26" t="s">
        <v>14</v>
      </c>
      <c r="F149" s="25">
        <f>1792619+71705</f>
        <v>1864324</v>
      </c>
      <c r="G149" s="25">
        <f>1792620+146277</f>
        <v>1938897</v>
      </c>
    </row>
    <row r="150" spans="1:7" ht="38.25" customHeight="1" outlineLevel="7" x14ac:dyDescent="0.25">
      <c r="A150" s="24" t="s">
        <v>15</v>
      </c>
      <c r="B150" s="23" t="s">
        <v>455</v>
      </c>
      <c r="C150" s="23" t="s">
        <v>24</v>
      </c>
      <c r="D150" s="23" t="s">
        <v>381</v>
      </c>
      <c r="E150" s="26" t="s">
        <v>16</v>
      </c>
      <c r="F150" s="25">
        <f>F151</f>
        <v>157600</v>
      </c>
      <c r="G150" s="25">
        <f>G151</f>
        <v>157600</v>
      </c>
    </row>
    <row r="151" spans="1:7" ht="36.700000000000003" outlineLevel="7" x14ac:dyDescent="0.25">
      <c r="A151" s="24" t="s">
        <v>17</v>
      </c>
      <c r="B151" s="23" t="s">
        <v>455</v>
      </c>
      <c r="C151" s="23" t="s">
        <v>24</v>
      </c>
      <c r="D151" s="23" t="s">
        <v>381</v>
      </c>
      <c r="E151" s="26" t="s">
        <v>18</v>
      </c>
      <c r="F151" s="25">
        <v>157600</v>
      </c>
      <c r="G151" s="25">
        <v>157600</v>
      </c>
    </row>
    <row r="152" spans="1:7" ht="128.4" outlineLevel="7" x14ac:dyDescent="0.25">
      <c r="A152" s="31" t="s">
        <v>593</v>
      </c>
      <c r="B152" s="23" t="s">
        <v>455</v>
      </c>
      <c r="C152" s="23" t="s">
        <v>24</v>
      </c>
      <c r="D152" s="23" t="s">
        <v>287</v>
      </c>
      <c r="E152" s="26" t="s">
        <v>6</v>
      </c>
      <c r="F152" s="25">
        <f>F153+F155</f>
        <v>714000</v>
      </c>
      <c r="G152" s="25">
        <f>G153+G155</f>
        <v>714000</v>
      </c>
    </row>
    <row r="153" spans="1:7" ht="91.7" outlineLevel="7" x14ac:dyDescent="0.25">
      <c r="A153" s="24" t="s">
        <v>11</v>
      </c>
      <c r="B153" s="23" t="s">
        <v>455</v>
      </c>
      <c r="C153" s="23" t="s">
        <v>24</v>
      </c>
      <c r="D153" s="23" t="s">
        <v>287</v>
      </c>
      <c r="E153" s="26" t="s">
        <v>12</v>
      </c>
      <c r="F153" s="25">
        <f>F154</f>
        <v>654000</v>
      </c>
      <c r="G153" s="25">
        <f>G154</f>
        <v>654000</v>
      </c>
    </row>
    <row r="154" spans="1:7" ht="19.55" customHeight="1" outlineLevel="7" x14ac:dyDescent="0.25">
      <c r="A154" s="24" t="s">
        <v>13</v>
      </c>
      <c r="B154" s="23" t="s">
        <v>455</v>
      </c>
      <c r="C154" s="23" t="s">
        <v>24</v>
      </c>
      <c r="D154" s="23" t="s">
        <v>287</v>
      </c>
      <c r="E154" s="26" t="s">
        <v>14</v>
      </c>
      <c r="F154" s="25">
        <v>654000</v>
      </c>
      <c r="G154" s="25">
        <v>654000</v>
      </c>
    </row>
    <row r="155" spans="1:7" ht="41.3" customHeight="1" outlineLevel="3" x14ac:dyDescent="0.25">
      <c r="A155" s="24" t="s">
        <v>15</v>
      </c>
      <c r="B155" s="23" t="s">
        <v>455</v>
      </c>
      <c r="C155" s="23" t="s">
        <v>24</v>
      </c>
      <c r="D155" s="23" t="s">
        <v>287</v>
      </c>
      <c r="E155" s="26" t="s">
        <v>16</v>
      </c>
      <c r="F155" s="25">
        <f>F156</f>
        <v>60000</v>
      </c>
      <c r="G155" s="25">
        <f>G156</f>
        <v>60000</v>
      </c>
    </row>
    <row r="156" spans="1:7" ht="36.700000000000003" outlineLevel="3" x14ac:dyDescent="0.25">
      <c r="A156" s="24" t="s">
        <v>17</v>
      </c>
      <c r="B156" s="23" t="s">
        <v>455</v>
      </c>
      <c r="C156" s="23" t="s">
        <v>24</v>
      </c>
      <c r="D156" s="23" t="s">
        <v>287</v>
      </c>
      <c r="E156" s="26" t="s">
        <v>18</v>
      </c>
      <c r="F156" s="25">
        <v>60000</v>
      </c>
      <c r="G156" s="25">
        <v>60000</v>
      </c>
    </row>
    <row r="157" spans="1:7" ht="23.3" customHeight="1" outlineLevel="3" x14ac:dyDescent="0.25">
      <c r="A157" s="37" t="s">
        <v>525</v>
      </c>
      <c r="B157" s="38" t="s">
        <v>455</v>
      </c>
      <c r="C157" s="38" t="s">
        <v>26</v>
      </c>
      <c r="D157" s="38" t="s">
        <v>126</v>
      </c>
      <c r="E157" s="39" t="s">
        <v>6</v>
      </c>
      <c r="F157" s="25">
        <f t="shared" ref="F157:G162" si="7">F158</f>
        <v>1700240</v>
      </c>
      <c r="G157" s="25">
        <f t="shared" si="7"/>
        <v>1760720</v>
      </c>
    </row>
    <row r="158" spans="1:7" ht="20.25" customHeight="1" outlineLevel="3" x14ac:dyDescent="0.25">
      <c r="A158" s="24" t="s">
        <v>526</v>
      </c>
      <c r="B158" s="23" t="s">
        <v>455</v>
      </c>
      <c r="C158" s="23" t="s">
        <v>527</v>
      </c>
      <c r="D158" s="23" t="s">
        <v>126</v>
      </c>
      <c r="E158" s="26" t="s">
        <v>6</v>
      </c>
      <c r="F158" s="25">
        <f t="shared" si="7"/>
        <v>1700240</v>
      </c>
      <c r="G158" s="25">
        <f t="shared" si="7"/>
        <v>1760720</v>
      </c>
    </row>
    <row r="159" spans="1:7" ht="36.700000000000003" outlineLevel="3" x14ac:dyDescent="0.25">
      <c r="A159" s="24" t="s">
        <v>132</v>
      </c>
      <c r="B159" s="23" t="s">
        <v>455</v>
      </c>
      <c r="C159" s="23" t="s">
        <v>527</v>
      </c>
      <c r="D159" s="23" t="s">
        <v>127</v>
      </c>
      <c r="E159" s="26" t="s">
        <v>6</v>
      </c>
      <c r="F159" s="25">
        <f>F160+F164</f>
        <v>1700240</v>
      </c>
      <c r="G159" s="25">
        <f>G160+G164</f>
        <v>1760720</v>
      </c>
    </row>
    <row r="160" spans="1:7" ht="19.55" customHeight="1" outlineLevel="3" x14ac:dyDescent="0.25">
      <c r="A160" s="24" t="s">
        <v>269</v>
      </c>
      <c r="B160" s="23" t="s">
        <v>455</v>
      </c>
      <c r="C160" s="23" t="s">
        <v>527</v>
      </c>
      <c r="D160" s="23" t="s">
        <v>268</v>
      </c>
      <c r="E160" s="26" t="s">
        <v>6</v>
      </c>
      <c r="F160" s="25">
        <f t="shared" si="7"/>
        <v>1430240</v>
      </c>
      <c r="G160" s="25">
        <f t="shared" si="7"/>
        <v>1480720</v>
      </c>
    </row>
    <row r="161" spans="1:8" ht="19.55" customHeight="1" outlineLevel="3" x14ac:dyDescent="0.25">
      <c r="A161" s="40" t="s">
        <v>528</v>
      </c>
      <c r="B161" s="23" t="s">
        <v>455</v>
      </c>
      <c r="C161" s="23" t="s">
        <v>527</v>
      </c>
      <c r="D161" s="23" t="s">
        <v>529</v>
      </c>
      <c r="E161" s="26" t="s">
        <v>6</v>
      </c>
      <c r="F161" s="25">
        <f t="shared" si="7"/>
        <v>1430240</v>
      </c>
      <c r="G161" s="25">
        <f t="shared" si="7"/>
        <v>1480720</v>
      </c>
    </row>
    <row r="162" spans="1:8" ht="91.7" outlineLevel="3" x14ac:dyDescent="0.25">
      <c r="A162" s="24" t="s">
        <v>11</v>
      </c>
      <c r="B162" s="23" t="s">
        <v>455</v>
      </c>
      <c r="C162" s="23" t="s">
        <v>527</v>
      </c>
      <c r="D162" s="23" t="s">
        <v>529</v>
      </c>
      <c r="E162" s="26" t="s">
        <v>12</v>
      </c>
      <c r="F162" s="25">
        <f t="shared" si="7"/>
        <v>1430240</v>
      </c>
      <c r="G162" s="25">
        <f t="shared" si="7"/>
        <v>1480720</v>
      </c>
    </row>
    <row r="163" spans="1:8" ht="36.700000000000003" outlineLevel="3" x14ac:dyDescent="0.25">
      <c r="A163" s="24" t="s">
        <v>13</v>
      </c>
      <c r="B163" s="23" t="s">
        <v>455</v>
      </c>
      <c r="C163" s="23" t="s">
        <v>527</v>
      </c>
      <c r="D163" s="23" t="s">
        <v>529</v>
      </c>
      <c r="E163" s="26" t="s">
        <v>14</v>
      </c>
      <c r="F163" s="25">
        <f>1442603-12363</f>
        <v>1430240</v>
      </c>
      <c r="G163" s="25">
        <f>1442603+38117</f>
        <v>1480720</v>
      </c>
    </row>
    <row r="164" spans="1:8" ht="55.05" outlineLevel="3" x14ac:dyDescent="0.25">
      <c r="A164" s="40" t="s">
        <v>654</v>
      </c>
      <c r="B164" s="23" t="s">
        <v>455</v>
      </c>
      <c r="C164" s="23" t="s">
        <v>527</v>
      </c>
      <c r="D164" s="23" t="s">
        <v>659</v>
      </c>
      <c r="E164" s="23" t="s">
        <v>6</v>
      </c>
      <c r="F164" s="25">
        <f>F165</f>
        <v>270000</v>
      </c>
      <c r="G164" s="25">
        <f>G165</f>
        <v>280000</v>
      </c>
    </row>
    <row r="165" spans="1:8" ht="91.7" outlineLevel="3" x14ac:dyDescent="0.25">
      <c r="A165" s="24" t="s">
        <v>11</v>
      </c>
      <c r="B165" s="23" t="s">
        <v>455</v>
      </c>
      <c r="C165" s="23" t="s">
        <v>527</v>
      </c>
      <c r="D165" s="23" t="s">
        <v>659</v>
      </c>
      <c r="E165" s="23" t="s">
        <v>12</v>
      </c>
      <c r="F165" s="25">
        <f>F166</f>
        <v>270000</v>
      </c>
      <c r="G165" s="25">
        <f>G166</f>
        <v>280000</v>
      </c>
    </row>
    <row r="166" spans="1:8" ht="36.700000000000003" outlineLevel="3" x14ac:dyDescent="0.25">
      <c r="A166" s="24" t="s">
        <v>13</v>
      </c>
      <c r="B166" s="23" t="s">
        <v>455</v>
      </c>
      <c r="C166" s="23" t="s">
        <v>527</v>
      </c>
      <c r="D166" s="23" t="s">
        <v>659</v>
      </c>
      <c r="E166" s="23" t="s">
        <v>14</v>
      </c>
      <c r="F166" s="25">
        <v>270000</v>
      </c>
      <c r="G166" s="25">
        <v>280000</v>
      </c>
    </row>
    <row r="167" spans="1:8" ht="36.700000000000003" outlineLevel="3" x14ac:dyDescent="0.25">
      <c r="A167" s="37" t="s">
        <v>41</v>
      </c>
      <c r="B167" s="38" t="s">
        <v>455</v>
      </c>
      <c r="C167" s="38" t="s">
        <v>42</v>
      </c>
      <c r="D167" s="38" t="s">
        <v>126</v>
      </c>
      <c r="E167" s="39" t="s">
        <v>6</v>
      </c>
      <c r="F167" s="28">
        <f>F168+F173</f>
        <v>400000</v>
      </c>
      <c r="G167" s="28">
        <f>G168+G173</f>
        <v>400000</v>
      </c>
    </row>
    <row r="168" spans="1:8" ht="55.05" outlineLevel="3" x14ac:dyDescent="0.25">
      <c r="A168" s="24" t="s">
        <v>43</v>
      </c>
      <c r="B168" s="23" t="s">
        <v>455</v>
      </c>
      <c r="C168" s="23" t="s">
        <v>44</v>
      </c>
      <c r="D168" s="23" t="s">
        <v>126</v>
      </c>
      <c r="E168" s="26" t="s">
        <v>6</v>
      </c>
      <c r="F168" s="25">
        <f t="shared" ref="F168:G171" si="8">F169</f>
        <v>200000</v>
      </c>
      <c r="G168" s="25">
        <f t="shared" si="8"/>
        <v>200000</v>
      </c>
    </row>
    <row r="169" spans="1:8" ht="36.700000000000003" outlineLevel="3" x14ac:dyDescent="0.25">
      <c r="A169" s="24" t="s">
        <v>132</v>
      </c>
      <c r="B169" s="23" t="s">
        <v>455</v>
      </c>
      <c r="C169" s="23" t="s">
        <v>44</v>
      </c>
      <c r="D169" s="23" t="s">
        <v>127</v>
      </c>
      <c r="E169" s="26" t="s">
        <v>6</v>
      </c>
      <c r="F169" s="25">
        <f t="shared" si="8"/>
        <v>200000</v>
      </c>
      <c r="G169" s="25">
        <f t="shared" si="8"/>
        <v>200000</v>
      </c>
    </row>
    <row r="170" spans="1:8" s="76" customFormat="1" ht="36.700000000000003" outlineLevel="1" x14ac:dyDescent="0.25">
      <c r="A170" s="24" t="s">
        <v>45</v>
      </c>
      <c r="B170" s="23" t="s">
        <v>455</v>
      </c>
      <c r="C170" s="23" t="s">
        <v>44</v>
      </c>
      <c r="D170" s="23" t="s">
        <v>133</v>
      </c>
      <c r="E170" s="26" t="s">
        <v>6</v>
      </c>
      <c r="F170" s="25">
        <f t="shared" si="8"/>
        <v>200000</v>
      </c>
      <c r="G170" s="25">
        <f t="shared" si="8"/>
        <v>200000</v>
      </c>
      <c r="H170" s="75"/>
    </row>
    <row r="171" spans="1:8" ht="36.700000000000003" outlineLevel="2" x14ac:dyDescent="0.25">
      <c r="A171" s="24" t="s">
        <v>15</v>
      </c>
      <c r="B171" s="23" t="s">
        <v>455</v>
      </c>
      <c r="C171" s="23" t="s">
        <v>44</v>
      </c>
      <c r="D171" s="23" t="s">
        <v>133</v>
      </c>
      <c r="E171" s="26" t="s">
        <v>16</v>
      </c>
      <c r="F171" s="25">
        <f t="shared" si="8"/>
        <v>200000</v>
      </c>
      <c r="G171" s="25">
        <f t="shared" si="8"/>
        <v>200000</v>
      </c>
    </row>
    <row r="172" spans="1:8" ht="36.700000000000003" outlineLevel="4" x14ac:dyDescent="0.25">
      <c r="A172" s="24" t="s">
        <v>17</v>
      </c>
      <c r="B172" s="23" t="s">
        <v>455</v>
      </c>
      <c r="C172" s="23" t="s">
        <v>44</v>
      </c>
      <c r="D172" s="23" t="s">
        <v>133</v>
      </c>
      <c r="E172" s="26" t="s">
        <v>18</v>
      </c>
      <c r="F172" s="25">
        <v>200000</v>
      </c>
      <c r="G172" s="25">
        <v>200000</v>
      </c>
    </row>
    <row r="173" spans="1:8" outlineLevel="5" x14ac:dyDescent="0.25">
      <c r="A173" s="24" t="s">
        <v>459</v>
      </c>
      <c r="B173" s="23" t="s">
        <v>455</v>
      </c>
      <c r="C173" s="23" t="s">
        <v>460</v>
      </c>
      <c r="D173" s="23" t="s">
        <v>126</v>
      </c>
      <c r="E173" s="26" t="s">
        <v>6</v>
      </c>
      <c r="F173" s="25">
        <f t="shared" ref="F173:G176" si="9">F174</f>
        <v>200000</v>
      </c>
      <c r="G173" s="25">
        <f t="shared" si="9"/>
        <v>200000</v>
      </c>
    </row>
    <row r="174" spans="1:8" ht="36.700000000000003" outlineLevel="6" x14ac:dyDescent="0.25">
      <c r="A174" s="24" t="s">
        <v>132</v>
      </c>
      <c r="B174" s="23" t="s">
        <v>455</v>
      </c>
      <c r="C174" s="23" t="s">
        <v>460</v>
      </c>
      <c r="D174" s="23" t="s">
        <v>127</v>
      </c>
      <c r="E174" s="26" t="s">
        <v>6</v>
      </c>
      <c r="F174" s="25">
        <f t="shared" si="9"/>
        <v>200000</v>
      </c>
      <c r="G174" s="25">
        <f t="shared" si="9"/>
        <v>200000</v>
      </c>
    </row>
    <row r="175" spans="1:8" ht="48.25" customHeight="1" outlineLevel="7" x14ac:dyDescent="0.25">
      <c r="A175" s="24" t="s">
        <v>461</v>
      </c>
      <c r="B175" s="23" t="s">
        <v>455</v>
      </c>
      <c r="C175" s="23" t="s">
        <v>460</v>
      </c>
      <c r="D175" s="23" t="s">
        <v>617</v>
      </c>
      <c r="E175" s="26" t="s">
        <v>6</v>
      </c>
      <c r="F175" s="25">
        <f t="shared" si="9"/>
        <v>200000</v>
      </c>
      <c r="G175" s="25">
        <f t="shared" si="9"/>
        <v>200000</v>
      </c>
    </row>
    <row r="176" spans="1:8" ht="20.25" customHeight="1" outlineLevel="7" x14ac:dyDescent="0.25">
      <c r="A176" s="24" t="s">
        <v>15</v>
      </c>
      <c r="B176" s="23" t="s">
        <v>455</v>
      </c>
      <c r="C176" s="23" t="s">
        <v>460</v>
      </c>
      <c r="D176" s="23" t="s">
        <v>617</v>
      </c>
      <c r="E176" s="26" t="s">
        <v>16</v>
      </c>
      <c r="F176" s="25">
        <f t="shared" si="9"/>
        <v>200000</v>
      </c>
      <c r="G176" s="25">
        <f t="shared" si="9"/>
        <v>200000</v>
      </c>
    </row>
    <row r="177" spans="1:8" ht="36.700000000000003" outlineLevel="7" x14ac:dyDescent="0.25">
      <c r="A177" s="24" t="s">
        <v>17</v>
      </c>
      <c r="B177" s="23" t="s">
        <v>455</v>
      </c>
      <c r="C177" s="23" t="s">
        <v>460</v>
      </c>
      <c r="D177" s="23" t="s">
        <v>617</v>
      </c>
      <c r="E177" s="26" t="s">
        <v>18</v>
      </c>
      <c r="F177" s="25">
        <v>200000</v>
      </c>
      <c r="G177" s="25">
        <v>200000</v>
      </c>
    </row>
    <row r="178" spans="1:8" ht="20.25" customHeight="1" outlineLevel="7" x14ac:dyDescent="0.25">
      <c r="A178" s="37" t="s">
        <v>119</v>
      </c>
      <c r="B178" s="38" t="s">
        <v>455</v>
      </c>
      <c r="C178" s="38" t="s">
        <v>46</v>
      </c>
      <c r="D178" s="38" t="s">
        <v>126</v>
      </c>
      <c r="E178" s="39" t="s">
        <v>6</v>
      </c>
      <c r="F178" s="28">
        <f>F196+F185+F208+F179</f>
        <v>14114514.17</v>
      </c>
      <c r="G178" s="28">
        <f>G196+G185+G208+G179</f>
        <v>18123514.169999998</v>
      </c>
    </row>
    <row r="179" spans="1:8" outlineLevel="7" x14ac:dyDescent="0.25">
      <c r="A179" s="24" t="s">
        <v>121</v>
      </c>
      <c r="B179" s="23" t="s">
        <v>455</v>
      </c>
      <c r="C179" s="23" t="s">
        <v>122</v>
      </c>
      <c r="D179" s="23" t="s">
        <v>126</v>
      </c>
      <c r="E179" s="26" t="s">
        <v>6</v>
      </c>
      <c r="F179" s="25">
        <f>F180</f>
        <v>324127.09000000003</v>
      </c>
      <c r="G179" s="25">
        <f>G180</f>
        <v>324127.09000000003</v>
      </c>
    </row>
    <row r="180" spans="1:8" ht="36.700000000000003" outlineLevel="7" x14ac:dyDescent="0.25">
      <c r="A180" s="37" t="s">
        <v>132</v>
      </c>
      <c r="B180" s="23" t="s">
        <v>455</v>
      </c>
      <c r="C180" s="38" t="s">
        <v>122</v>
      </c>
      <c r="D180" s="38" t="s">
        <v>127</v>
      </c>
      <c r="E180" s="39" t="s">
        <v>6</v>
      </c>
      <c r="F180" s="28">
        <f>F182</f>
        <v>324127.09000000003</v>
      </c>
      <c r="G180" s="28">
        <f>G182</f>
        <v>324127.09000000003</v>
      </c>
    </row>
    <row r="181" spans="1:8" s="76" customFormat="1" outlineLevel="7" x14ac:dyDescent="0.25">
      <c r="A181" s="24" t="s">
        <v>269</v>
      </c>
      <c r="B181" s="23" t="s">
        <v>455</v>
      </c>
      <c r="C181" s="23" t="s">
        <v>122</v>
      </c>
      <c r="D181" s="23" t="s">
        <v>268</v>
      </c>
      <c r="E181" s="26" t="s">
        <v>6</v>
      </c>
      <c r="F181" s="25">
        <f t="shared" ref="F181:G183" si="10">F182</f>
        <v>324127.09000000003</v>
      </c>
      <c r="G181" s="25">
        <f t="shared" si="10"/>
        <v>324127.09000000003</v>
      </c>
      <c r="H181" s="75"/>
    </row>
    <row r="182" spans="1:8" ht="110.05" outlineLevel="7" x14ac:dyDescent="0.25">
      <c r="A182" s="40" t="s">
        <v>363</v>
      </c>
      <c r="B182" s="23" t="s">
        <v>455</v>
      </c>
      <c r="C182" s="23" t="s">
        <v>122</v>
      </c>
      <c r="D182" s="23" t="s">
        <v>278</v>
      </c>
      <c r="E182" s="26" t="s">
        <v>6</v>
      </c>
      <c r="F182" s="25">
        <f t="shared" si="10"/>
        <v>324127.09000000003</v>
      </c>
      <c r="G182" s="25">
        <f t="shared" si="10"/>
        <v>324127.09000000003</v>
      </c>
    </row>
    <row r="183" spans="1:8" ht="36.700000000000003" outlineLevel="7" x14ac:dyDescent="0.25">
      <c r="A183" s="24" t="s">
        <v>15</v>
      </c>
      <c r="B183" s="23" t="s">
        <v>455</v>
      </c>
      <c r="C183" s="23" t="s">
        <v>122</v>
      </c>
      <c r="D183" s="23" t="s">
        <v>278</v>
      </c>
      <c r="E183" s="26" t="s">
        <v>16</v>
      </c>
      <c r="F183" s="25">
        <f t="shared" si="10"/>
        <v>324127.09000000003</v>
      </c>
      <c r="G183" s="25">
        <f t="shared" si="10"/>
        <v>324127.09000000003</v>
      </c>
    </row>
    <row r="184" spans="1:8" ht="36.700000000000003" outlineLevel="7" x14ac:dyDescent="0.25">
      <c r="A184" s="24" t="s">
        <v>17</v>
      </c>
      <c r="B184" s="23" t="s">
        <v>455</v>
      </c>
      <c r="C184" s="23" t="s">
        <v>122</v>
      </c>
      <c r="D184" s="23" t="s">
        <v>278</v>
      </c>
      <c r="E184" s="26" t="s">
        <v>18</v>
      </c>
      <c r="F184" s="25">
        <v>324127.09000000003</v>
      </c>
      <c r="G184" s="25">
        <v>324127.09000000003</v>
      </c>
    </row>
    <row r="185" spans="1:8" outlineLevel="7" x14ac:dyDescent="0.25">
      <c r="A185" s="24" t="s">
        <v>282</v>
      </c>
      <c r="B185" s="23" t="s">
        <v>455</v>
      </c>
      <c r="C185" s="23" t="s">
        <v>283</v>
      </c>
      <c r="D185" s="23" t="s">
        <v>126</v>
      </c>
      <c r="E185" s="26" t="s">
        <v>6</v>
      </c>
      <c r="F185" s="25">
        <f>F186+F193</f>
        <v>103387.08</v>
      </c>
      <c r="G185" s="25">
        <f>G186+G193</f>
        <v>103387.08</v>
      </c>
    </row>
    <row r="186" spans="1:8" ht="36.700000000000003" outlineLevel="7" x14ac:dyDescent="0.25">
      <c r="A186" s="24" t="s">
        <v>132</v>
      </c>
      <c r="B186" s="23" t="s">
        <v>455</v>
      </c>
      <c r="C186" s="23" t="s">
        <v>283</v>
      </c>
      <c r="D186" s="23" t="s">
        <v>127</v>
      </c>
      <c r="E186" s="26" t="s">
        <v>6</v>
      </c>
      <c r="F186" s="25">
        <f>F188</f>
        <v>3387.08</v>
      </c>
      <c r="G186" s="25">
        <f>G188</f>
        <v>3387.08</v>
      </c>
    </row>
    <row r="187" spans="1:8" ht="20.25" customHeight="1" outlineLevel="7" x14ac:dyDescent="0.25">
      <c r="A187" s="24" t="s">
        <v>269</v>
      </c>
      <c r="B187" s="23" t="s">
        <v>455</v>
      </c>
      <c r="C187" s="23" t="s">
        <v>283</v>
      </c>
      <c r="D187" s="23" t="s">
        <v>268</v>
      </c>
      <c r="E187" s="26" t="s">
        <v>6</v>
      </c>
      <c r="F187" s="25">
        <f t="shared" ref="F187:G189" si="11">F188</f>
        <v>3387.08</v>
      </c>
      <c r="G187" s="25">
        <f t="shared" si="11"/>
        <v>3387.08</v>
      </c>
    </row>
    <row r="188" spans="1:8" ht="128.4" outlineLevel="7" x14ac:dyDescent="0.25">
      <c r="A188" s="31" t="s">
        <v>365</v>
      </c>
      <c r="B188" s="23" t="s">
        <v>455</v>
      </c>
      <c r="C188" s="23" t="s">
        <v>283</v>
      </c>
      <c r="D188" s="23" t="s">
        <v>364</v>
      </c>
      <c r="E188" s="26" t="s">
        <v>6</v>
      </c>
      <c r="F188" s="25">
        <f t="shared" si="11"/>
        <v>3387.08</v>
      </c>
      <c r="G188" s="25">
        <f t="shared" si="11"/>
        <v>3387.08</v>
      </c>
    </row>
    <row r="189" spans="1:8" ht="36.700000000000003" outlineLevel="7" x14ac:dyDescent="0.25">
      <c r="A189" s="24" t="s">
        <v>15</v>
      </c>
      <c r="B189" s="23" t="s">
        <v>455</v>
      </c>
      <c r="C189" s="23" t="s">
        <v>283</v>
      </c>
      <c r="D189" s="23" t="s">
        <v>364</v>
      </c>
      <c r="E189" s="26" t="s">
        <v>16</v>
      </c>
      <c r="F189" s="25">
        <f t="shared" si="11"/>
        <v>3387.08</v>
      </c>
      <c r="G189" s="25">
        <f t="shared" si="11"/>
        <v>3387.08</v>
      </c>
    </row>
    <row r="190" spans="1:8" s="76" customFormat="1" ht="36.700000000000003" outlineLevel="7" x14ac:dyDescent="0.25">
      <c r="A190" s="24" t="s">
        <v>17</v>
      </c>
      <c r="B190" s="23" t="s">
        <v>455</v>
      </c>
      <c r="C190" s="23" t="s">
        <v>283</v>
      </c>
      <c r="D190" s="23" t="s">
        <v>364</v>
      </c>
      <c r="E190" s="26" t="s">
        <v>18</v>
      </c>
      <c r="F190" s="51">
        <v>3387.08</v>
      </c>
      <c r="G190" s="51">
        <v>3387.08</v>
      </c>
      <c r="H190" s="75"/>
    </row>
    <row r="191" spans="1:8" s="76" customFormat="1" ht="84.75" customHeight="1" outlineLevel="7" x14ac:dyDescent="0.25">
      <c r="A191" s="65" t="s">
        <v>716</v>
      </c>
      <c r="B191" s="23" t="s">
        <v>455</v>
      </c>
      <c r="C191" s="23" t="s">
        <v>283</v>
      </c>
      <c r="D191" s="23" t="s">
        <v>308</v>
      </c>
      <c r="E191" s="26" t="s">
        <v>6</v>
      </c>
      <c r="F191" s="51">
        <f t="shared" ref="F191:G194" si="12">F192</f>
        <v>100000</v>
      </c>
      <c r="G191" s="51">
        <f t="shared" si="12"/>
        <v>100000</v>
      </c>
      <c r="H191" s="75"/>
    </row>
    <row r="192" spans="1:8" s="76" customFormat="1" ht="36.700000000000003" outlineLevel="7" x14ac:dyDescent="0.25">
      <c r="A192" s="126" t="s">
        <v>711</v>
      </c>
      <c r="B192" s="23" t="s">
        <v>455</v>
      </c>
      <c r="C192" s="23" t="s">
        <v>283</v>
      </c>
      <c r="D192" s="23" t="s">
        <v>712</v>
      </c>
      <c r="E192" s="26" t="s">
        <v>6</v>
      </c>
      <c r="F192" s="51">
        <f t="shared" si="12"/>
        <v>100000</v>
      </c>
      <c r="G192" s="51">
        <f t="shared" si="12"/>
        <v>100000</v>
      </c>
      <c r="H192" s="75"/>
    </row>
    <row r="193" spans="1:8" s="76" customFormat="1" ht="110.05" outlineLevel="7" x14ac:dyDescent="0.25">
      <c r="A193" s="63" t="s">
        <v>714</v>
      </c>
      <c r="B193" s="23" t="s">
        <v>455</v>
      </c>
      <c r="C193" s="23" t="s">
        <v>283</v>
      </c>
      <c r="D193" s="23" t="s">
        <v>713</v>
      </c>
      <c r="E193" s="26" t="s">
        <v>6</v>
      </c>
      <c r="F193" s="51">
        <f t="shared" si="12"/>
        <v>100000</v>
      </c>
      <c r="G193" s="51">
        <f t="shared" si="12"/>
        <v>100000</v>
      </c>
      <c r="H193" s="75"/>
    </row>
    <row r="194" spans="1:8" s="76" customFormat="1" ht="44.5" customHeight="1" outlineLevel="7" x14ac:dyDescent="0.25">
      <c r="A194" s="126" t="s">
        <v>688</v>
      </c>
      <c r="B194" s="23" t="s">
        <v>455</v>
      </c>
      <c r="C194" s="23" t="s">
        <v>283</v>
      </c>
      <c r="D194" s="23" t="s">
        <v>713</v>
      </c>
      <c r="E194" s="26" t="s">
        <v>20</v>
      </c>
      <c r="F194" s="51">
        <f t="shared" si="12"/>
        <v>100000</v>
      </c>
      <c r="G194" s="51">
        <f t="shared" si="12"/>
        <v>100000</v>
      </c>
      <c r="H194" s="75"/>
    </row>
    <row r="195" spans="1:8" s="76" customFormat="1" ht="57.75" customHeight="1" outlineLevel="7" x14ac:dyDescent="0.25">
      <c r="A195" s="24" t="s">
        <v>47</v>
      </c>
      <c r="B195" s="23" t="s">
        <v>455</v>
      </c>
      <c r="C195" s="23" t="s">
        <v>283</v>
      </c>
      <c r="D195" s="23" t="s">
        <v>713</v>
      </c>
      <c r="E195" s="26" t="s">
        <v>48</v>
      </c>
      <c r="F195" s="51">
        <v>100000</v>
      </c>
      <c r="G195" s="51">
        <v>100000</v>
      </c>
      <c r="H195" s="75"/>
    </row>
    <row r="196" spans="1:8" ht="36" customHeight="1" outlineLevel="7" x14ac:dyDescent="0.25">
      <c r="A196" s="24" t="s">
        <v>49</v>
      </c>
      <c r="B196" s="23" t="s">
        <v>455</v>
      </c>
      <c r="C196" s="23" t="s">
        <v>50</v>
      </c>
      <c r="D196" s="23" t="s">
        <v>126</v>
      </c>
      <c r="E196" s="26" t="s">
        <v>6</v>
      </c>
      <c r="F196" s="25">
        <f>F197</f>
        <v>13157000</v>
      </c>
      <c r="G196" s="25">
        <f>G197</f>
        <v>14166000</v>
      </c>
    </row>
    <row r="197" spans="1:8" ht="73.400000000000006" outlineLevel="7" x14ac:dyDescent="0.25">
      <c r="A197" s="37" t="s">
        <v>744</v>
      </c>
      <c r="B197" s="38" t="s">
        <v>455</v>
      </c>
      <c r="C197" s="38" t="s">
        <v>50</v>
      </c>
      <c r="D197" s="38" t="s">
        <v>322</v>
      </c>
      <c r="E197" s="39" t="s">
        <v>6</v>
      </c>
      <c r="F197" s="28">
        <f>F198</f>
        <v>13157000</v>
      </c>
      <c r="G197" s="28">
        <f>G198</f>
        <v>14166000</v>
      </c>
    </row>
    <row r="198" spans="1:8" ht="44.5" customHeight="1" outlineLevel="7" x14ac:dyDescent="0.25">
      <c r="A198" s="24" t="s">
        <v>323</v>
      </c>
      <c r="B198" s="23" t="s">
        <v>455</v>
      </c>
      <c r="C198" s="23" t="s">
        <v>50</v>
      </c>
      <c r="D198" s="23" t="s">
        <v>324</v>
      </c>
      <c r="E198" s="26" t="s">
        <v>6</v>
      </c>
      <c r="F198" s="25">
        <f>F199+F205</f>
        <v>13157000</v>
      </c>
      <c r="G198" s="25">
        <f>G199+G205</f>
        <v>14166000</v>
      </c>
    </row>
    <row r="199" spans="1:8" ht="73.400000000000006" outlineLevel="7" x14ac:dyDescent="0.25">
      <c r="A199" s="44" t="s">
        <v>700</v>
      </c>
      <c r="B199" s="23" t="s">
        <v>455</v>
      </c>
      <c r="C199" s="23" t="s">
        <v>50</v>
      </c>
      <c r="D199" s="23" t="s">
        <v>326</v>
      </c>
      <c r="E199" s="26" t="s">
        <v>6</v>
      </c>
      <c r="F199" s="25">
        <f>F200</f>
        <v>13057000</v>
      </c>
      <c r="G199" s="25">
        <f>G200</f>
        <v>14066000</v>
      </c>
    </row>
    <row r="200" spans="1:8" s="76" customFormat="1" ht="36.700000000000003" outlineLevel="7" x14ac:dyDescent="0.25">
      <c r="A200" s="24" t="s">
        <v>15</v>
      </c>
      <c r="B200" s="23" t="s">
        <v>455</v>
      </c>
      <c r="C200" s="23" t="s">
        <v>50</v>
      </c>
      <c r="D200" s="23" t="s">
        <v>326</v>
      </c>
      <c r="E200" s="26" t="s">
        <v>16</v>
      </c>
      <c r="F200" s="25">
        <f>F201</f>
        <v>13057000</v>
      </c>
      <c r="G200" s="25">
        <f>G201</f>
        <v>14066000</v>
      </c>
      <c r="H200" s="75"/>
    </row>
    <row r="201" spans="1:8" ht="26.5" customHeight="1" outlineLevel="7" x14ac:dyDescent="0.25">
      <c r="A201" s="24" t="s">
        <v>17</v>
      </c>
      <c r="B201" s="23" t="s">
        <v>455</v>
      </c>
      <c r="C201" s="23" t="s">
        <v>50</v>
      </c>
      <c r="D201" s="23" t="s">
        <v>326</v>
      </c>
      <c r="E201" s="26" t="s">
        <v>18</v>
      </c>
      <c r="F201" s="25">
        <f>13057000</f>
        <v>13057000</v>
      </c>
      <c r="G201" s="25">
        <f>14066000</f>
        <v>14066000</v>
      </c>
    </row>
    <row r="202" spans="1:8" ht="91.7" outlineLevel="7" x14ac:dyDescent="0.25">
      <c r="A202" s="24" t="s">
        <v>515</v>
      </c>
      <c r="B202" s="23" t="s">
        <v>455</v>
      </c>
      <c r="C202" s="23" t="s">
        <v>50</v>
      </c>
      <c r="D202" s="23" t="s">
        <v>530</v>
      </c>
      <c r="E202" s="23" t="s">
        <v>6</v>
      </c>
      <c r="F202" s="25">
        <f>F203</f>
        <v>0</v>
      </c>
      <c r="G202" s="25">
        <f>G203</f>
        <v>0</v>
      </c>
    </row>
    <row r="203" spans="1:8" ht="36.700000000000003" outlineLevel="7" x14ac:dyDescent="0.25">
      <c r="A203" s="24" t="s">
        <v>15</v>
      </c>
      <c r="B203" s="23" t="s">
        <v>455</v>
      </c>
      <c r="C203" s="23" t="s">
        <v>50</v>
      </c>
      <c r="D203" s="23" t="s">
        <v>530</v>
      </c>
      <c r="E203" s="23" t="s">
        <v>16</v>
      </c>
      <c r="F203" s="25">
        <f>F204</f>
        <v>0</v>
      </c>
      <c r="G203" s="25">
        <f>G204</f>
        <v>0</v>
      </c>
    </row>
    <row r="204" spans="1:8" ht="21.75" customHeight="1" outlineLevel="7" x14ac:dyDescent="0.25">
      <c r="A204" s="24" t="s">
        <v>17</v>
      </c>
      <c r="B204" s="23" t="s">
        <v>455</v>
      </c>
      <c r="C204" s="23" t="s">
        <v>50</v>
      </c>
      <c r="D204" s="23" t="s">
        <v>530</v>
      </c>
      <c r="E204" s="23" t="s">
        <v>18</v>
      </c>
      <c r="F204" s="25">
        <v>0</v>
      </c>
      <c r="G204" s="25">
        <v>0</v>
      </c>
    </row>
    <row r="205" spans="1:8" ht="55.05" outlineLevel="7" x14ac:dyDescent="0.25">
      <c r="A205" s="24" t="s">
        <v>272</v>
      </c>
      <c r="B205" s="23" t="s">
        <v>455</v>
      </c>
      <c r="C205" s="23" t="s">
        <v>50</v>
      </c>
      <c r="D205" s="23" t="s">
        <v>383</v>
      </c>
      <c r="E205" s="26" t="s">
        <v>6</v>
      </c>
      <c r="F205" s="30">
        <f>F206</f>
        <v>100000</v>
      </c>
      <c r="G205" s="30">
        <f>G206</f>
        <v>100000</v>
      </c>
    </row>
    <row r="206" spans="1:8" ht="36.700000000000003" outlineLevel="7" x14ac:dyDescent="0.25">
      <c r="A206" s="24" t="s">
        <v>15</v>
      </c>
      <c r="B206" s="23" t="s">
        <v>455</v>
      </c>
      <c r="C206" s="23" t="s">
        <v>50</v>
      </c>
      <c r="D206" s="23" t="s">
        <v>383</v>
      </c>
      <c r="E206" s="26" t="s">
        <v>16</v>
      </c>
      <c r="F206" s="30">
        <f>F207</f>
        <v>100000</v>
      </c>
      <c r="G206" s="30">
        <f>G207</f>
        <v>100000</v>
      </c>
    </row>
    <row r="207" spans="1:8" ht="36.700000000000003" outlineLevel="7" x14ac:dyDescent="0.25">
      <c r="A207" s="24" t="s">
        <v>17</v>
      </c>
      <c r="B207" s="23" t="s">
        <v>455</v>
      </c>
      <c r="C207" s="23" t="s">
        <v>50</v>
      </c>
      <c r="D207" s="23" t="s">
        <v>383</v>
      </c>
      <c r="E207" s="26" t="s">
        <v>18</v>
      </c>
      <c r="F207" s="25">
        <v>100000</v>
      </c>
      <c r="G207" s="25">
        <v>100000</v>
      </c>
    </row>
    <row r="208" spans="1:8" outlineLevel="7" x14ac:dyDescent="0.25">
      <c r="A208" s="24" t="s">
        <v>52</v>
      </c>
      <c r="B208" s="23" t="s">
        <v>455</v>
      </c>
      <c r="C208" s="23" t="s">
        <v>53</v>
      </c>
      <c r="D208" s="23" t="s">
        <v>126</v>
      </c>
      <c r="E208" s="26" t="s">
        <v>6</v>
      </c>
      <c r="F208" s="25">
        <f>F209+F214</f>
        <v>530000</v>
      </c>
      <c r="G208" s="25">
        <f>G209+G214</f>
        <v>3530000</v>
      </c>
    </row>
    <row r="209" spans="1:8" ht="57.25" customHeight="1" outlineLevel="7" x14ac:dyDescent="0.25">
      <c r="A209" s="37" t="s">
        <v>743</v>
      </c>
      <c r="B209" s="38" t="s">
        <v>455</v>
      </c>
      <c r="C209" s="38" t="s">
        <v>53</v>
      </c>
      <c r="D209" s="38" t="s">
        <v>385</v>
      </c>
      <c r="E209" s="38" t="s">
        <v>6</v>
      </c>
      <c r="F209" s="25">
        <f>F210</f>
        <v>100000</v>
      </c>
      <c r="G209" s="25">
        <f>G210</f>
        <v>100000</v>
      </c>
    </row>
    <row r="210" spans="1:8" ht="36.700000000000003" outlineLevel="7" x14ac:dyDescent="0.25">
      <c r="A210" s="24" t="s">
        <v>692</v>
      </c>
      <c r="B210" s="23" t="s">
        <v>455</v>
      </c>
      <c r="C210" s="23" t="s">
        <v>53</v>
      </c>
      <c r="D210" s="23" t="s">
        <v>387</v>
      </c>
      <c r="E210" s="23" t="s">
        <v>6</v>
      </c>
      <c r="F210" s="25">
        <f t="shared" ref="F210:G212" si="13">F211</f>
        <v>100000</v>
      </c>
      <c r="G210" s="25">
        <f t="shared" si="13"/>
        <v>100000</v>
      </c>
    </row>
    <row r="211" spans="1:8" ht="99.7" customHeight="1" outlineLevel="7" x14ac:dyDescent="0.25">
      <c r="A211" s="24" t="s">
        <v>693</v>
      </c>
      <c r="B211" s="23" t="s">
        <v>455</v>
      </c>
      <c r="C211" s="23" t="s">
        <v>53</v>
      </c>
      <c r="D211" s="23" t="s">
        <v>694</v>
      </c>
      <c r="E211" s="23" t="s">
        <v>6</v>
      </c>
      <c r="F211" s="25">
        <f t="shared" si="13"/>
        <v>100000</v>
      </c>
      <c r="G211" s="25">
        <f t="shared" si="13"/>
        <v>100000</v>
      </c>
    </row>
    <row r="212" spans="1:8" outlineLevel="2" x14ac:dyDescent="0.25">
      <c r="A212" s="24" t="s">
        <v>19</v>
      </c>
      <c r="B212" s="23" t="s">
        <v>455</v>
      </c>
      <c r="C212" s="23" t="s">
        <v>53</v>
      </c>
      <c r="D212" s="23" t="s">
        <v>694</v>
      </c>
      <c r="E212" s="23" t="s">
        <v>20</v>
      </c>
      <c r="F212" s="25">
        <f t="shared" si="13"/>
        <v>100000</v>
      </c>
      <c r="G212" s="25">
        <f t="shared" si="13"/>
        <v>100000</v>
      </c>
    </row>
    <row r="213" spans="1:8" ht="55.05" outlineLevel="2" x14ac:dyDescent="0.25">
      <c r="A213" s="24" t="s">
        <v>47</v>
      </c>
      <c r="B213" s="23" t="s">
        <v>455</v>
      </c>
      <c r="C213" s="23" t="s">
        <v>53</v>
      </c>
      <c r="D213" s="23" t="s">
        <v>694</v>
      </c>
      <c r="E213" s="23" t="s">
        <v>48</v>
      </c>
      <c r="F213" s="25">
        <v>100000</v>
      </c>
      <c r="G213" s="25">
        <v>100000</v>
      </c>
    </row>
    <row r="214" spans="1:8" ht="76.75" customHeight="1" outlineLevel="2" x14ac:dyDescent="0.25">
      <c r="A214" s="37" t="s">
        <v>742</v>
      </c>
      <c r="B214" s="38" t="s">
        <v>455</v>
      </c>
      <c r="C214" s="38" t="s">
        <v>53</v>
      </c>
      <c r="D214" s="38" t="s">
        <v>327</v>
      </c>
      <c r="E214" s="39" t="s">
        <v>6</v>
      </c>
      <c r="F214" s="28">
        <f>F215+F219</f>
        <v>430000</v>
      </c>
      <c r="G214" s="28">
        <f>G215+G219</f>
        <v>3430000</v>
      </c>
    </row>
    <row r="215" spans="1:8" ht="36.700000000000003" outlineLevel="2" x14ac:dyDescent="0.25">
      <c r="A215" s="24" t="s">
        <v>366</v>
      </c>
      <c r="B215" s="23" t="s">
        <v>455</v>
      </c>
      <c r="C215" s="23" t="s">
        <v>53</v>
      </c>
      <c r="D215" s="23" t="s">
        <v>328</v>
      </c>
      <c r="E215" s="26" t="s">
        <v>6</v>
      </c>
      <c r="F215" s="30">
        <f t="shared" ref="F215:G217" si="14">F216</f>
        <v>300000</v>
      </c>
      <c r="G215" s="30">
        <f t="shared" si="14"/>
        <v>3300000</v>
      </c>
    </row>
    <row r="216" spans="1:8" ht="36.700000000000003" outlineLevel="2" x14ac:dyDescent="0.25">
      <c r="A216" s="24" t="s">
        <v>329</v>
      </c>
      <c r="B216" s="23" t="s">
        <v>455</v>
      </c>
      <c r="C216" s="23" t="s">
        <v>53</v>
      </c>
      <c r="D216" s="23" t="s">
        <v>330</v>
      </c>
      <c r="E216" s="26" t="s">
        <v>6</v>
      </c>
      <c r="F216" s="30">
        <f t="shared" si="14"/>
        <v>300000</v>
      </c>
      <c r="G216" s="30">
        <f t="shared" si="14"/>
        <v>3300000</v>
      </c>
    </row>
    <row r="217" spans="1:8" s="76" customFormat="1" ht="36.700000000000003" outlineLevel="3" x14ac:dyDescent="0.25">
      <c r="A217" s="24" t="s">
        <v>15</v>
      </c>
      <c r="B217" s="23" t="s">
        <v>455</v>
      </c>
      <c r="C217" s="23" t="s">
        <v>53</v>
      </c>
      <c r="D217" s="23" t="s">
        <v>330</v>
      </c>
      <c r="E217" s="26" t="s">
        <v>16</v>
      </c>
      <c r="F217" s="30">
        <f t="shared" si="14"/>
        <v>300000</v>
      </c>
      <c r="G217" s="30">
        <f t="shared" si="14"/>
        <v>3300000</v>
      </c>
      <c r="H217" s="75"/>
    </row>
    <row r="218" spans="1:8" ht="36.700000000000003" outlineLevel="3" x14ac:dyDescent="0.25">
      <c r="A218" s="24" t="s">
        <v>17</v>
      </c>
      <c r="B218" s="23" t="s">
        <v>455</v>
      </c>
      <c r="C218" s="23" t="s">
        <v>53</v>
      </c>
      <c r="D218" s="23" t="s">
        <v>330</v>
      </c>
      <c r="E218" s="26" t="s">
        <v>18</v>
      </c>
      <c r="F218" s="25">
        <v>300000</v>
      </c>
      <c r="G218" s="25">
        <v>3300000</v>
      </c>
    </row>
    <row r="219" spans="1:8" ht="36.700000000000003" outlineLevel="3" x14ac:dyDescent="0.25">
      <c r="A219" s="40" t="s">
        <v>368</v>
      </c>
      <c r="B219" s="23" t="s">
        <v>455</v>
      </c>
      <c r="C219" s="23" t="s">
        <v>53</v>
      </c>
      <c r="D219" s="23" t="s">
        <v>367</v>
      </c>
      <c r="E219" s="26" t="s">
        <v>6</v>
      </c>
      <c r="F219" s="25">
        <f t="shared" ref="F219:G221" si="15">F220</f>
        <v>130000</v>
      </c>
      <c r="G219" s="25">
        <f t="shared" si="15"/>
        <v>130000</v>
      </c>
    </row>
    <row r="220" spans="1:8" ht="36.700000000000003" outlineLevel="3" x14ac:dyDescent="0.25">
      <c r="A220" s="24" t="s">
        <v>331</v>
      </c>
      <c r="B220" s="23" t="s">
        <v>455</v>
      </c>
      <c r="C220" s="23" t="s">
        <v>53</v>
      </c>
      <c r="D220" s="23" t="s">
        <v>403</v>
      </c>
      <c r="E220" s="26" t="s">
        <v>6</v>
      </c>
      <c r="F220" s="25">
        <f t="shared" si="15"/>
        <v>130000</v>
      </c>
      <c r="G220" s="25">
        <f t="shared" si="15"/>
        <v>130000</v>
      </c>
    </row>
    <row r="221" spans="1:8" ht="18.7" customHeight="1" outlineLevel="3" x14ac:dyDescent="0.25">
      <c r="A221" s="24" t="s">
        <v>15</v>
      </c>
      <c r="B221" s="23" t="s">
        <v>455</v>
      </c>
      <c r="C221" s="23" t="s">
        <v>53</v>
      </c>
      <c r="D221" s="23" t="s">
        <v>403</v>
      </c>
      <c r="E221" s="26" t="s">
        <v>16</v>
      </c>
      <c r="F221" s="25">
        <f t="shared" si="15"/>
        <v>130000</v>
      </c>
      <c r="G221" s="25">
        <f t="shared" si="15"/>
        <v>130000</v>
      </c>
    </row>
    <row r="222" spans="1:8" ht="19.55" customHeight="1" outlineLevel="3" x14ac:dyDescent="0.25">
      <c r="A222" s="24" t="s">
        <v>17</v>
      </c>
      <c r="B222" s="23" t="s">
        <v>455</v>
      </c>
      <c r="C222" s="23" t="s">
        <v>53</v>
      </c>
      <c r="D222" s="23" t="s">
        <v>403</v>
      </c>
      <c r="E222" s="26" t="s">
        <v>18</v>
      </c>
      <c r="F222" s="25">
        <v>130000</v>
      </c>
      <c r="G222" s="25">
        <v>130000</v>
      </c>
    </row>
    <row r="223" spans="1:8" outlineLevel="5" x14ac:dyDescent="0.25">
      <c r="A223" s="37" t="s">
        <v>54</v>
      </c>
      <c r="B223" s="38" t="s">
        <v>455</v>
      </c>
      <c r="C223" s="38" t="s">
        <v>55</v>
      </c>
      <c r="D223" s="38" t="s">
        <v>126</v>
      </c>
      <c r="E223" s="39" t="s">
        <v>6</v>
      </c>
      <c r="F223" s="52" t="e">
        <f>F224+F235+F267+F316</f>
        <v>#REF!</v>
      </c>
      <c r="G223" s="52" t="e">
        <f>G224+G235+G267+G316</f>
        <v>#REF!</v>
      </c>
    </row>
    <row r="224" spans="1:8" outlineLevel="6" x14ac:dyDescent="0.25">
      <c r="A224" s="24" t="s">
        <v>56</v>
      </c>
      <c r="B224" s="23" t="s">
        <v>455</v>
      </c>
      <c r="C224" s="23" t="s">
        <v>57</v>
      </c>
      <c r="D224" s="23" t="s">
        <v>126</v>
      </c>
      <c r="E224" s="26" t="s">
        <v>6</v>
      </c>
      <c r="F224" s="25">
        <f>F225+F231</f>
        <v>2500000</v>
      </c>
      <c r="G224" s="25">
        <f>G225+G231</f>
        <v>2500000</v>
      </c>
    </row>
    <row r="225" spans="1:8" ht="68.3" customHeight="1" outlineLevel="7" x14ac:dyDescent="0.25">
      <c r="A225" s="37" t="s">
        <v>741</v>
      </c>
      <c r="B225" s="38" t="s">
        <v>455</v>
      </c>
      <c r="C225" s="38" t="s">
        <v>57</v>
      </c>
      <c r="D225" s="38" t="s">
        <v>319</v>
      </c>
      <c r="E225" s="39" t="s">
        <v>6</v>
      </c>
      <c r="F225" s="28">
        <f>F226</f>
        <v>2500000</v>
      </c>
      <c r="G225" s="28">
        <f>G226</f>
        <v>2500000</v>
      </c>
    </row>
    <row r="226" spans="1:8" s="76" customFormat="1" ht="36.700000000000003" outlineLevel="1" x14ac:dyDescent="0.25">
      <c r="A226" s="24" t="s">
        <v>332</v>
      </c>
      <c r="B226" s="23" t="s">
        <v>455</v>
      </c>
      <c r="C226" s="23" t="s">
        <v>57</v>
      </c>
      <c r="D226" s="23" t="s">
        <v>320</v>
      </c>
      <c r="E226" s="26" t="s">
        <v>6</v>
      </c>
      <c r="F226" s="25">
        <f t="shared" ref="F226:G228" si="16">F227</f>
        <v>2500000</v>
      </c>
      <c r="G226" s="25">
        <f t="shared" si="16"/>
        <v>2500000</v>
      </c>
      <c r="H226" s="75"/>
    </row>
    <row r="227" spans="1:8" ht="36.700000000000003" outlineLevel="1" x14ac:dyDescent="0.25">
      <c r="A227" s="24" t="s">
        <v>333</v>
      </c>
      <c r="B227" s="23" t="s">
        <v>455</v>
      </c>
      <c r="C227" s="23" t="s">
        <v>57</v>
      </c>
      <c r="D227" s="23" t="s">
        <v>334</v>
      </c>
      <c r="E227" s="26" t="s">
        <v>6</v>
      </c>
      <c r="F227" s="25">
        <f t="shared" si="16"/>
        <v>2500000</v>
      </c>
      <c r="G227" s="25">
        <f t="shared" si="16"/>
        <v>2500000</v>
      </c>
    </row>
    <row r="228" spans="1:8" s="76" customFormat="1" ht="36.700000000000003" outlineLevel="1" x14ac:dyDescent="0.25">
      <c r="A228" s="24" t="s">
        <v>15</v>
      </c>
      <c r="B228" s="23" t="s">
        <v>455</v>
      </c>
      <c r="C228" s="23" t="s">
        <v>57</v>
      </c>
      <c r="D228" s="23" t="s">
        <v>334</v>
      </c>
      <c r="E228" s="26" t="s">
        <v>16</v>
      </c>
      <c r="F228" s="25">
        <f t="shared" si="16"/>
        <v>2500000</v>
      </c>
      <c r="G228" s="25">
        <f t="shared" si="16"/>
        <v>2500000</v>
      </c>
      <c r="H228" s="75"/>
    </row>
    <row r="229" spans="1:8" ht="50.95" customHeight="1" outlineLevel="1" x14ac:dyDescent="0.25">
      <c r="A229" s="24" t="s">
        <v>17</v>
      </c>
      <c r="B229" s="23" t="s">
        <v>455</v>
      </c>
      <c r="C229" s="23" t="s">
        <v>57</v>
      </c>
      <c r="D229" s="23" t="s">
        <v>334</v>
      </c>
      <c r="E229" s="26" t="s">
        <v>18</v>
      </c>
      <c r="F229" s="30">
        <v>2500000</v>
      </c>
      <c r="G229" s="30">
        <v>2500000</v>
      </c>
    </row>
    <row r="230" spans="1:8" ht="36.700000000000003" outlineLevel="5" x14ac:dyDescent="0.25">
      <c r="A230" s="24" t="s">
        <v>132</v>
      </c>
      <c r="B230" s="23" t="s">
        <v>455</v>
      </c>
      <c r="C230" s="23" t="s">
        <v>57</v>
      </c>
      <c r="D230" s="23" t="s">
        <v>127</v>
      </c>
      <c r="E230" s="26" t="s">
        <v>6</v>
      </c>
      <c r="F230" s="25">
        <f t="shared" ref="F230:G233" si="17">F231</f>
        <v>0</v>
      </c>
      <c r="G230" s="25">
        <f t="shared" si="17"/>
        <v>0</v>
      </c>
    </row>
    <row r="231" spans="1:8" outlineLevel="6" x14ac:dyDescent="0.25">
      <c r="A231" s="24" t="s">
        <v>269</v>
      </c>
      <c r="B231" s="23" t="s">
        <v>455</v>
      </c>
      <c r="C231" s="23" t="s">
        <v>57</v>
      </c>
      <c r="D231" s="23" t="s">
        <v>268</v>
      </c>
      <c r="E231" s="26" t="s">
        <v>6</v>
      </c>
      <c r="F231" s="25">
        <f t="shared" si="17"/>
        <v>0</v>
      </c>
      <c r="G231" s="25">
        <f t="shared" si="17"/>
        <v>0</v>
      </c>
    </row>
    <row r="232" spans="1:8" ht="18" customHeight="1" outlineLevel="7" x14ac:dyDescent="0.25">
      <c r="A232" s="31" t="s">
        <v>361</v>
      </c>
      <c r="B232" s="23" t="s">
        <v>455</v>
      </c>
      <c r="C232" s="23" t="s">
        <v>57</v>
      </c>
      <c r="D232" s="23" t="s">
        <v>462</v>
      </c>
      <c r="E232" s="26" t="s">
        <v>6</v>
      </c>
      <c r="F232" s="25">
        <f t="shared" si="17"/>
        <v>0</v>
      </c>
      <c r="G232" s="25">
        <f t="shared" si="17"/>
        <v>0</v>
      </c>
    </row>
    <row r="233" spans="1:8" ht="19.55" customHeight="1" outlineLevel="7" x14ac:dyDescent="0.25">
      <c r="A233" s="24" t="s">
        <v>15</v>
      </c>
      <c r="B233" s="23" t="s">
        <v>455</v>
      </c>
      <c r="C233" s="23" t="s">
        <v>57</v>
      </c>
      <c r="D233" s="23" t="s">
        <v>462</v>
      </c>
      <c r="E233" s="26" t="s">
        <v>16</v>
      </c>
      <c r="F233" s="25">
        <f t="shared" si="17"/>
        <v>0</v>
      </c>
      <c r="G233" s="25">
        <f t="shared" si="17"/>
        <v>0</v>
      </c>
    </row>
    <row r="234" spans="1:8" ht="19.55" customHeight="1" outlineLevel="7" x14ac:dyDescent="0.25">
      <c r="A234" s="24" t="s">
        <v>17</v>
      </c>
      <c r="B234" s="23" t="s">
        <v>455</v>
      </c>
      <c r="C234" s="23" t="s">
        <v>57</v>
      </c>
      <c r="D234" s="23" t="s">
        <v>462</v>
      </c>
      <c r="E234" s="26" t="s">
        <v>18</v>
      </c>
      <c r="F234" s="30">
        <v>0</v>
      </c>
      <c r="G234" s="30">
        <v>0</v>
      </c>
    </row>
    <row r="235" spans="1:8" ht="19.55" customHeight="1" outlineLevel="7" x14ac:dyDescent="0.25">
      <c r="A235" s="24" t="s">
        <v>58</v>
      </c>
      <c r="B235" s="23" t="s">
        <v>455</v>
      </c>
      <c r="C235" s="23" t="s">
        <v>59</v>
      </c>
      <c r="D235" s="23" t="s">
        <v>126</v>
      </c>
      <c r="E235" s="26" t="s">
        <v>6</v>
      </c>
      <c r="F235" s="25" t="e">
        <f>F236</f>
        <v>#REF!</v>
      </c>
      <c r="G235" s="25" t="e">
        <f>G236</f>
        <v>#REF!</v>
      </c>
    </row>
    <row r="236" spans="1:8" ht="73.400000000000006" outlineLevel="7" x14ac:dyDescent="0.25">
      <c r="A236" s="37" t="s">
        <v>739</v>
      </c>
      <c r="B236" s="38" t="s">
        <v>455</v>
      </c>
      <c r="C236" s="38" t="s">
        <v>59</v>
      </c>
      <c r="D236" s="38" t="s">
        <v>134</v>
      </c>
      <c r="E236" s="39" t="s">
        <v>6</v>
      </c>
      <c r="F236" s="28" t="e">
        <f>F237</f>
        <v>#REF!</v>
      </c>
      <c r="G236" s="28" t="e">
        <f>G237</f>
        <v>#REF!</v>
      </c>
    </row>
    <row r="237" spans="1:8" ht="55.05" outlineLevel="7" x14ac:dyDescent="0.25">
      <c r="A237" s="24" t="s">
        <v>740</v>
      </c>
      <c r="B237" s="23" t="s">
        <v>455</v>
      </c>
      <c r="C237" s="23" t="s">
        <v>59</v>
      </c>
      <c r="D237" s="23" t="s">
        <v>335</v>
      </c>
      <c r="E237" s="26" t="s">
        <v>6</v>
      </c>
      <c r="F237" s="25" t="e">
        <f>F238+F245+F248+F254+F251</f>
        <v>#REF!</v>
      </c>
      <c r="G237" s="25" t="e">
        <f>G238+G245+G248+G254+G251</f>
        <v>#REF!</v>
      </c>
    </row>
    <row r="238" spans="1:8" ht="91.7" outlineLevel="1" x14ac:dyDescent="0.25">
      <c r="A238" s="24" t="s">
        <v>60</v>
      </c>
      <c r="B238" s="23" t="s">
        <v>455</v>
      </c>
      <c r="C238" s="23" t="s">
        <v>59</v>
      </c>
      <c r="D238" s="23" t="s">
        <v>336</v>
      </c>
      <c r="E238" s="26" t="s">
        <v>6</v>
      </c>
      <c r="F238" s="25" t="e">
        <f>F239+F241+F243</f>
        <v>#REF!</v>
      </c>
      <c r="G238" s="25" t="e">
        <f>G239+G241+G243</f>
        <v>#REF!</v>
      </c>
    </row>
    <row r="239" spans="1:8" s="76" customFormat="1" ht="36.700000000000003" outlineLevel="1" x14ac:dyDescent="0.25">
      <c r="A239" s="24" t="s">
        <v>15</v>
      </c>
      <c r="B239" s="23" t="s">
        <v>455</v>
      </c>
      <c r="C239" s="23" t="s">
        <v>59</v>
      </c>
      <c r="D239" s="23" t="s">
        <v>336</v>
      </c>
      <c r="E239" s="26" t="s">
        <v>16</v>
      </c>
      <c r="F239" s="25">
        <f>F240</f>
        <v>2110000</v>
      </c>
      <c r="G239" s="25">
        <f>G240</f>
        <v>1500000</v>
      </c>
      <c r="H239" s="75"/>
    </row>
    <row r="240" spans="1:8" ht="54.7" customHeight="1" outlineLevel="1" x14ac:dyDescent="0.25">
      <c r="A240" s="24" t="s">
        <v>17</v>
      </c>
      <c r="B240" s="23" t="s">
        <v>455</v>
      </c>
      <c r="C240" s="23" t="s">
        <v>59</v>
      </c>
      <c r="D240" s="23" t="s">
        <v>336</v>
      </c>
      <c r="E240" s="26" t="s">
        <v>18</v>
      </c>
      <c r="F240" s="30">
        <f>2500000-390000</f>
        <v>2110000</v>
      </c>
      <c r="G240" s="30">
        <v>1500000</v>
      </c>
    </row>
    <row r="241" spans="1:7" ht="55.05" outlineLevel="1" x14ac:dyDescent="0.25">
      <c r="A241" s="24" t="s">
        <v>258</v>
      </c>
      <c r="B241" s="23" t="s">
        <v>455</v>
      </c>
      <c r="C241" s="23" t="s">
        <v>59</v>
      </c>
      <c r="D241" s="23" t="s">
        <v>336</v>
      </c>
      <c r="E241" s="23" t="s">
        <v>259</v>
      </c>
      <c r="F241" s="30" t="e">
        <f>F242</f>
        <v>#REF!</v>
      </c>
      <c r="G241" s="30" t="e">
        <f>G242</f>
        <v>#REF!</v>
      </c>
    </row>
    <row r="242" spans="1:7" outlineLevel="1" x14ac:dyDescent="0.25">
      <c r="A242" s="24" t="s">
        <v>260</v>
      </c>
      <c r="B242" s="23" t="s">
        <v>455</v>
      </c>
      <c r="C242" s="23" t="s">
        <v>59</v>
      </c>
      <c r="D242" s="23" t="s">
        <v>336</v>
      </c>
      <c r="E242" s="23" t="s">
        <v>261</v>
      </c>
      <c r="F242" s="30" t="e">
        <f>#REF!</f>
        <v>#REF!</v>
      </c>
      <c r="G242" s="30" t="e">
        <f>#REF!</f>
        <v>#REF!</v>
      </c>
    </row>
    <row r="243" spans="1:7" ht="24.8" customHeight="1" outlineLevel="1" x14ac:dyDescent="0.25">
      <c r="A243" s="24" t="s">
        <v>19</v>
      </c>
      <c r="B243" s="23" t="s">
        <v>455</v>
      </c>
      <c r="C243" s="23" t="s">
        <v>59</v>
      </c>
      <c r="D243" s="23" t="s">
        <v>336</v>
      </c>
      <c r="E243" s="23" t="s">
        <v>20</v>
      </c>
      <c r="F243" s="30">
        <f>F244</f>
        <v>5000000</v>
      </c>
      <c r="G243" s="30">
        <f>G244</f>
        <v>5000000</v>
      </c>
    </row>
    <row r="244" spans="1:7" ht="21.25" customHeight="1" outlineLevel="1" x14ac:dyDescent="0.25">
      <c r="A244" s="24" t="s">
        <v>47</v>
      </c>
      <c r="B244" s="23" t="s">
        <v>455</v>
      </c>
      <c r="C244" s="23" t="s">
        <v>59</v>
      </c>
      <c r="D244" s="23" t="s">
        <v>336</v>
      </c>
      <c r="E244" s="23" t="s">
        <v>48</v>
      </c>
      <c r="F244" s="30">
        <v>5000000</v>
      </c>
      <c r="G244" s="30">
        <v>5000000</v>
      </c>
    </row>
    <row r="245" spans="1:7" ht="64.55" customHeight="1" outlineLevel="1" x14ac:dyDescent="0.25">
      <c r="A245" s="24" t="s">
        <v>246</v>
      </c>
      <c r="B245" s="23" t="s">
        <v>455</v>
      </c>
      <c r="C245" s="23" t="s">
        <v>59</v>
      </c>
      <c r="D245" s="23" t="s">
        <v>337</v>
      </c>
      <c r="E245" s="26" t="s">
        <v>6</v>
      </c>
      <c r="F245" s="30">
        <f>F246</f>
        <v>5000000</v>
      </c>
      <c r="G245" s="30">
        <f>G246</f>
        <v>5000000</v>
      </c>
    </row>
    <row r="246" spans="1:7" ht="21.25" customHeight="1" outlineLevel="1" x14ac:dyDescent="0.25">
      <c r="A246" s="24" t="s">
        <v>19</v>
      </c>
      <c r="B246" s="23" t="s">
        <v>455</v>
      </c>
      <c r="C246" s="23" t="s">
        <v>59</v>
      </c>
      <c r="D246" s="23" t="s">
        <v>337</v>
      </c>
      <c r="E246" s="26" t="s">
        <v>20</v>
      </c>
      <c r="F246" s="30">
        <f>F247</f>
        <v>5000000</v>
      </c>
      <c r="G246" s="30">
        <f>G247</f>
        <v>5000000</v>
      </c>
    </row>
    <row r="247" spans="1:7" ht="55.55" customHeight="1" outlineLevel="1" x14ac:dyDescent="0.25">
      <c r="A247" s="24" t="s">
        <v>47</v>
      </c>
      <c r="B247" s="23" t="s">
        <v>455</v>
      </c>
      <c r="C247" s="23" t="s">
        <v>59</v>
      </c>
      <c r="D247" s="23" t="s">
        <v>337</v>
      </c>
      <c r="E247" s="26" t="s">
        <v>48</v>
      </c>
      <c r="F247" s="25">
        <v>5000000</v>
      </c>
      <c r="G247" s="25">
        <v>5000000</v>
      </c>
    </row>
    <row r="248" spans="1:7" ht="0.7" customHeight="1" outlineLevel="1" x14ac:dyDescent="0.25">
      <c r="A248" s="24" t="s">
        <v>256</v>
      </c>
      <c r="B248" s="23" t="s">
        <v>455</v>
      </c>
      <c r="C248" s="23" t="s">
        <v>59</v>
      </c>
      <c r="D248" s="23" t="s">
        <v>338</v>
      </c>
      <c r="E248" s="26" t="s">
        <v>6</v>
      </c>
      <c r="F248" s="30">
        <f>F249</f>
        <v>2500000</v>
      </c>
      <c r="G248" s="30">
        <f>G249</f>
        <v>0</v>
      </c>
    </row>
    <row r="249" spans="1:7" outlineLevel="1" x14ac:dyDescent="0.25">
      <c r="A249" s="24" t="s">
        <v>19</v>
      </c>
      <c r="B249" s="23" t="s">
        <v>455</v>
      </c>
      <c r="C249" s="23" t="s">
        <v>59</v>
      </c>
      <c r="D249" s="23" t="s">
        <v>338</v>
      </c>
      <c r="E249" s="26" t="s">
        <v>20</v>
      </c>
      <c r="F249" s="30">
        <f>F250</f>
        <v>2500000</v>
      </c>
      <c r="G249" s="30">
        <f>G250</f>
        <v>0</v>
      </c>
    </row>
    <row r="250" spans="1:7" ht="53.5" customHeight="1" outlineLevel="1" x14ac:dyDescent="0.25">
      <c r="A250" s="24" t="s">
        <v>47</v>
      </c>
      <c r="B250" s="23" t="s">
        <v>455</v>
      </c>
      <c r="C250" s="23" t="s">
        <v>59</v>
      </c>
      <c r="D250" s="23" t="s">
        <v>338</v>
      </c>
      <c r="E250" s="26" t="s">
        <v>48</v>
      </c>
      <c r="F250" s="25">
        <v>2500000</v>
      </c>
      <c r="G250" s="25">
        <v>0</v>
      </c>
    </row>
    <row r="251" spans="1:7" ht="73.400000000000006" outlineLevel="1" x14ac:dyDescent="0.25">
      <c r="A251" s="24" t="s">
        <v>289</v>
      </c>
      <c r="B251" s="23" t="s">
        <v>455</v>
      </c>
      <c r="C251" s="23" t="s">
        <v>59</v>
      </c>
      <c r="D251" s="23" t="s">
        <v>369</v>
      </c>
      <c r="E251" s="26" t="s">
        <v>6</v>
      </c>
      <c r="F251" s="25">
        <f>F252</f>
        <v>521657.94</v>
      </c>
      <c r="G251" s="25">
        <f>G252</f>
        <v>0</v>
      </c>
    </row>
    <row r="252" spans="1:7" ht="36.700000000000003" outlineLevel="1" x14ac:dyDescent="0.25">
      <c r="A252" s="24" t="s">
        <v>15</v>
      </c>
      <c r="B252" s="23" t="s">
        <v>455</v>
      </c>
      <c r="C252" s="23" t="s">
        <v>59</v>
      </c>
      <c r="D252" s="23" t="s">
        <v>369</v>
      </c>
      <c r="E252" s="26" t="s">
        <v>16</v>
      </c>
      <c r="F252" s="25">
        <f>F253</f>
        <v>521657.94</v>
      </c>
      <c r="G252" s="25">
        <f>G253</f>
        <v>0</v>
      </c>
    </row>
    <row r="253" spans="1:7" ht="52.5" customHeight="1" outlineLevel="1" x14ac:dyDescent="0.25">
      <c r="A253" s="24" t="s">
        <v>17</v>
      </c>
      <c r="B253" s="23" t="s">
        <v>455</v>
      </c>
      <c r="C253" s="23" t="s">
        <v>59</v>
      </c>
      <c r="D253" s="23" t="s">
        <v>369</v>
      </c>
      <c r="E253" s="26" t="s">
        <v>18</v>
      </c>
      <c r="F253" s="25">
        <f>131657.94+390000</f>
        <v>521657.94</v>
      </c>
      <c r="G253" s="25">
        <v>0</v>
      </c>
    </row>
    <row r="254" spans="1:7" ht="56.25" customHeight="1" outlineLevel="1" x14ac:dyDescent="0.25">
      <c r="A254" s="24" t="s">
        <v>257</v>
      </c>
      <c r="B254" s="23" t="s">
        <v>455</v>
      </c>
      <c r="C254" s="23" t="s">
        <v>59</v>
      </c>
      <c r="D254" s="23" t="s">
        <v>370</v>
      </c>
      <c r="E254" s="26" t="s">
        <v>6</v>
      </c>
      <c r="F254" s="25">
        <f>F255</f>
        <v>200000</v>
      </c>
      <c r="G254" s="25">
        <f>G255</f>
        <v>200000</v>
      </c>
    </row>
    <row r="255" spans="1:7" ht="37.549999999999997" customHeight="1" outlineLevel="1" x14ac:dyDescent="0.25">
      <c r="A255" s="24" t="s">
        <v>15</v>
      </c>
      <c r="B255" s="23" t="s">
        <v>455</v>
      </c>
      <c r="C255" s="23" t="s">
        <v>59</v>
      </c>
      <c r="D255" s="23" t="s">
        <v>370</v>
      </c>
      <c r="E255" s="26" t="s">
        <v>16</v>
      </c>
      <c r="F255" s="25">
        <f>F256</f>
        <v>200000</v>
      </c>
      <c r="G255" s="25">
        <f>G256</f>
        <v>200000</v>
      </c>
    </row>
    <row r="256" spans="1:7" ht="34.5" customHeight="1" outlineLevel="1" x14ac:dyDescent="0.25">
      <c r="A256" s="24" t="s">
        <v>17</v>
      </c>
      <c r="B256" s="23" t="s">
        <v>455</v>
      </c>
      <c r="C256" s="23" t="s">
        <v>59</v>
      </c>
      <c r="D256" s="23" t="s">
        <v>370</v>
      </c>
      <c r="E256" s="26" t="s">
        <v>18</v>
      </c>
      <c r="F256" s="25">
        <v>200000</v>
      </c>
      <c r="G256" s="25">
        <v>200000</v>
      </c>
    </row>
    <row r="257" spans="1:8" ht="56.25" customHeight="1" outlineLevel="1" x14ac:dyDescent="0.25">
      <c r="A257" s="24" t="s">
        <v>640</v>
      </c>
      <c r="B257" s="23" t="s">
        <v>455</v>
      </c>
      <c r="C257" s="23" t="s">
        <v>59</v>
      </c>
      <c r="D257" s="23" t="s">
        <v>639</v>
      </c>
      <c r="E257" s="23" t="s">
        <v>6</v>
      </c>
      <c r="F257" s="25">
        <f>F258</f>
        <v>0</v>
      </c>
      <c r="G257" s="25">
        <f>G258</f>
        <v>0</v>
      </c>
    </row>
    <row r="258" spans="1:8" ht="37.549999999999997" customHeight="1" outlineLevel="1" x14ac:dyDescent="0.25">
      <c r="A258" s="24" t="s">
        <v>15</v>
      </c>
      <c r="B258" s="23" t="s">
        <v>455</v>
      </c>
      <c r="C258" s="23" t="s">
        <v>59</v>
      </c>
      <c r="D258" s="23" t="s">
        <v>639</v>
      </c>
      <c r="E258" s="23" t="s">
        <v>16</v>
      </c>
      <c r="F258" s="25">
        <f>F259</f>
        <v>0</v>
      </c>
      <c r="G258" s="25">
        <f>G259</f>
        <v>0</v>
      </c>
    </row>
    <row r="259" spans="1:8" ht="37.549999999999997" customHeight="1" outlineLevel="1" x14ac:dyDescent="0.25">
      <c r="A259" s="24" t="s">
        <v>17</v>
      </c>
      <c r="B259" s="23" t="s">
        <v>455</v>
      </c>
      <c r="C259" s="23" t="s">
        <v>59</v>
      </c>
      <c r="D259" s="23" t="s">
        <v>639</v>
      </c>
      <c r="E259" s="23" t="s">
        <v>18</v>
      </c>
      <c r="F259" s="25"/>
      <c r="G259" s="25"/>
    </row>
    <row r="260" spans="1:8" ht="36.700000000000003" outlineLevel="1" x14ac:dyDescent="0.25">
      <c r="A260" s="24" t="s">
        <v>616</v>
      </c>
      <c r="B260" s="23" t="s">
        <v>455</v>
      </c>
      <c r="C260" s="23" t="s">
        <v>59</v>
      </c>
      <c r="D260" s="23" t="s">
        <v>615</v>
      </c>
      <c r="E260" s="23" t="s">
        <v>6</v>
      </c>
      <c r="F260" s="25">
        <f>F261</f>
        <v>0</v>
      </c>
      <c r="G260" s="25">
        <f>G261</f>
        <v>0</v>
      </c>
    </row>
    <row r="261" spans="1:8" ht="36.700000000000003" outlineLevel="1" x14ac:dyDescent="0.25">
      <c r="A261" s="24" t="s">
        <v>15</v>
      </c>
      <c r="B261" s="23" t="s">
        <v>455</v>
      </c>
      <c r="C261" s="23" t="s">
        <v>59</v>
      </c>
      <c r="D261" s="23" t="s">
        <v>615</v>
      </c>
      <c r="E261" s="23" t="s">
        <v>16</v>
      </c>
      <c r="F261" s="25">
        <f>F262</f>
        <v>0</v>
      </c>
      <c r="G261" s="25">
        <f>G262</f>
        <v>0</v>
      </c>
    </row>
    <row r="262" spans="1:8" ht="36.700000000000003" outlineLevel="1" x14ac:dyDescent="0.25">
      <c r="A262" s="24" t="s">
        <v>17</v>
      </c>
      <c r="B262" s="23" t="s">
        <v>455</v>
      </c>
      <c r="C262" s="23" t="s">
        <v>59</v>
      </c>
      <c r="D262" s="23" t="s">
        <v>615</v>
      </c>
      <c r="E262" s="23" t="s">
        <v>18</v>
      </c>
      <c r="F262" s="25"/>
      <c r="G262" s="25"/>
    </row>
    <row r="263" spans="1:8" outlineLevel="1" x14ac:dyDescent="0.25">
      <c r="A263" s="40" t="s">
        <v>413</v>
      </c>
      <c r="B263" s="23" t="s">
        <v>455</v>
      </c>
      <c r="C263" s="23" t="s">
        <v>59</v>
      </c>
      <c r="D263" s="23" t="s">
        <v>632</v>
      </c>
      <c r="E263" s="23" t="s">
        <v>6</v>
      </c>
      <c r="F263" s="25"/>
      <c r="G263" s="25"/>
    </row>
    <row r="264" spans="1:8" ht="55.05" outlineLevel="1" x14ac:dyDescent="0.25">
      <c r="A264" s="24" t="s">
        <v>417</v>
      </c>
      <c r="B264" s="23" t="s">
        <v>455</v>
      </c>
      <c r="C264" s="23" t="s">
        <v>59</v>
      </c>
      <c r="D264" s="23" t="s">
        <v>633</v>
      </c>
      <c r="E264" s="23" t="s">
        <v>6</v>
      </c>
      <c r="F264" s="25"/>
      <c r="G264" s="25"/>
    </row>
    <row r="265" spans="1:8" ht="55.05" outlineLevel="1" x14ac:dyDescent="0.25">
      <c r="A265" s="24" t="s">
        <v>258</v>
      </c>
      <c r="B265" s="23" t="s">
        <v>455</v>
      </c>
      <c r="C265" s="23" t="s">
        <v>59</v>
      </c>
      <c r="D265" s="23" t="s">
        <v>633</v>
      </c>
      <c r="E265" s="23" t="s">
        <v>259</v>
      </c>
      <c r="F265" s="25"/>
      <c r="G265" s="25"/>
    </row>
    <row r="266" spans="1:8" outlineLevel="1" x14ac:dyDescent="0.25">
      <c r="A266" s="24" t="s">
        <v>260</v>
      </c>
      <c r="B266" s="23" t="s">
        <v>455</v>
      </c>
      <c r="C266" s="23" t="s">
        <v>59</v>
      </c>
      <c r="D266" s="23" t="s">
        <v>633</v>
      </c>
      <c r="E266" s="23" t="s">
        <v>261</v>
      </c>
      <c r="F266" s="25"/>
      <c r="G266" s="25"/>
    </row>
    <row r="267" spans="1:8" outlineLevel="1" x14ac:dyDescent="0.25">
      <c r="A267" s="24" t="s">
        <v>61</v>
      </c>
      <c r="B267" s="23" t="s">
        <v>455</v>
      </c>
      <c r="C267" s="23" t="s">
        <v>62</v>
      </c>
      <c r="D267" s="23" t="s">
        <v>126</v>
      </c>
      <c r="E267" s="26" t="s">
        <v>6</v>
      </c>
      <c r="F267" s="25">
        <f>F268+F282+F293</f>
        <v>30574076.27</v>
      </c>
      <c r="G267" s="25">
        <f>G268+G282+G293</f>
        <v>27609227.807</v>
      </c>
    </row>
    <row r="268" spans="1:8" ht="73.400000000000006" outlineLevel="1" x14ac:dyDescent="0.25">
      <c r="A268" s="37" t="s">
        <v>739</v>
      </c>
      <c r="B268" s="23" t="s">
        <v>455</v>
      </c>
      <c r="C268" s="38" t="s">
        <v>62</v>
      </c>
      <c r="D268" s="38" t="s">
        <v>134</v>
      </c>
      <c r="E268" s="39" t="s">
        <v>6</v>
      </c>
      <c r="F268" s="25">
        <f>F269</f>
        <v>1661631</v>
      </c>
      <c r="G268" s="25">
        <f>G269</f>
        <v>900000</v>
      </c>
    </row>
    <row r="269" spans="1:8" outlineLevel="1" x14ac:dyDescent="0.25">
      <c r="A269" s="24" t="s">
        <v>339</v>
      </c>
      <c r="B269" s="23" t="s">
        <v>455</v>
      </c>
      <c r="C269" s="23" t="s">
        <v>62</v>
      </c>
      <c r="D269" s="23" t="s">
        <v>229</v>
      </c>
      <c r="E269" s="26" t="s">
        <v>6</v>
      </c>
      <c r="F269" s="25">
        <f>F270+F279+F273+F276</f>
        <v>1661631</v>
      </c>
      <c r="G269" s="25">
        <f>G270+G279+G273+G276</f>
        <v>900000</v>
      </c>
    </row>
    <row r="270" spans="1:8" ht="36.700000000000003" outlineLevel="1" x14ac:dyDescent="0.25">
      <c r="A270" s="24" t="s">
        <v>343</v>
      </c>
      <c r="B270" s="23" t="s">
        <v>455</v>
      </c>
      <c r="C270" s="23" t="s">
        <v>62</v>
      </c>
      <c r="D270" s="23" t="s">
        <v>418</v>
      </c>
      <c r="E270" s="26" t="s">
        <v>6</v>
      </c>
      <c r="F270" s="25">
        <f>F271</f>
        <v>400000</v>
      </c>
      <c r="G270" s="25">
        <f>G271</f>
        <v>400000</v>
      </c>
    </row>
    <row r="271" spans="1:8" s="76" customFormat="1" ht="36.700000000000003" outlineLevel="1" x14ac:dyDescent="0.25">
      <c r="A271" s="12" t="s">
        <v>15</v>
      </c>
      <c r="B271" s="23" t="s">
        <v>455</v>
      </c>
      <c r="C271" s="23" t="s">
        <v>62</v>
      </c>
      <c r="D271" s="23" t="s">
        <v>418</v>
      </c>
      <c r="E271" s="26" t="s">
        <v>16</v>
      </c>
      <c r="F271" s="25">
        <f>F272</f>
        <v>400000</v>
      </c>
      <c r="G271" s="25">
        <f>G272</f>
        <v>400000</v>
      </c>
      <c r="H271" s="75"/>
    </row>
    <row r="272" spans="1:8" ht="52.5" customHeight="1" outlineLevel="1" x14ac:dyDescent="0.25">
      <c r="A272" s="12" t="s">
        <v>17</v>
      </c>
      <c r="B272" s="23" t="s">
        <v>455</v>
      </c>
      <c r="C272" s="23" t="s">
        <v>62</v>
      </c>
      <c r="D272" s="23" t="s">
        <v>418</v>
      </c>
      <c r="E272" s="26" t="s">
        <v>18</v>
      </c>
      <c r="F272" s="25">
        <v>400000</v>
      </c>
      <c r="G272" s="25">
        <v>400000</v>
      </c>
    </row>
    <row r="273" spans="1:8" ht="55.05" outlineLevel="1" x14ac:dyDescent="0.25">
      <c r="A273" s="12" t="s">
        <v>684</v>
      </c>
      <c r="B273" s="23" t="s">
        <v>455</v>
      </c>
      <c r="C273" s="23" t="s">
        <v>62</v>
      </c>
      <c r="D273" s="23" t="s">
        <v>683</v>
      </c>
      <c r="E273" s="26" t="s">
        <v>6</v>
      </c>
      <c r="F273" s="25">
        <f>F274</f>
        <v>0</v>
      </c>
      <c r="G273" s="25">
        <f>G274</f>
        <v>0</v>
      </c>
    </row>
    <row r="274" spans="1:8" ht="36.700000000000003" outlineLevel="1" x14ac:dyDescent="0.25">
      <c r="A274" s="12" t="s">
        <v>15</v>
      </c>
      <c r="B274" s="23" t="s">
        <v>455</v>
      </c>
      <c r="C274" s="23" t="s">
        <v>62</v>
      </c>
      <c r="D274" s="23" t="s">
        <v>683</v>
      </c>
      <c r="E274" s="26" t="s">
        <v>16</v>
      </c>
      <c r="F274" s="25">
        <f>F275</f>
        <v>0</v>
      </c>
      <c r="G274" s="25">
        <f>G275</f>
        <v>0</v>
      </c>
    </row>
    <row r="275" spans="1:8" ht="18.7" customHeight="1" outlineLevel="1" x14ac:dyDescent="0.25">
      <c r="A275" s="12" t="s">
        <v>17</v>
      </c>
      <c r="B275" s="23" t="s">
        <v>455</v>
      </c>
      <c r="C275" s="23" t="s">
        <v>62</v>
      </c>
      <c r="D275" s="23" t="s">
        <v>683</v>
      </c>
      <c r="E275" s="26" t="s">
        <v>18</v>
      </c>
      <c r="F275" s="25">
        <v>0</v>
      </c>
      <c r="G275" s="25">
        <v>0</v>
      </c>
    </row>
    <row r="276" spans="1:8" ht="62.5" customHeight="1" outlineLevel="1" x14ac:dyDescent="0.25">
      <c r="A276" s="12" t="s">
        <v>684</v>
      </c>
      <c r="B276" s="23" t="s">
        <v>455</v>
      </c>
      <c r="C276" s="23" t="s">
        <v>62</v>
      </c>
      <c r="D276" s="23" t="s">
        <v>814</v>
      </c>
      <c r="E276" s="26" t="s">
        <v>6</v>
      </c>
      <c r="F276" s="25">
        <f>F277</f>
        <v>761631</v>
      </c>
      <c r="G276" s="25">
        <f>G277</f>
        <v>0</v>
      </c>
    </row>
    <row r="277" spans="1:8" ht="41.3" customHeight="1" outlineLevel="1" x14ac:dyDescent="0.25">
      <c r="A277" s="12" t="s">
        <v>15</v>
      </c>
      <c r="B277" s="23" t="s">
        <v>455</v>
      </c>
      <c r="C277" s="23" t="s">
        <v>62</v>
      </c>
      <c r="D277" s="23" t="s">
        <v>814</v>
      </c>
      <c r="E277" s="26" t="s">
        <v>16</v>
      </c>
      <c r="F277" s="25">
        <f>F278</f>
        <v>761631</v>
      </c>
      <c r="G277" s="25">
        <f>G278</f>
        <v>0</v>
      </c>
    </row>
    <row r="278" spans="1:8" ht="59.95" customHeight="1" outlineLevel="1" x14ac:dyDescent="0.25">
      <c r="A278" s="12" t="s">
        <v>17</v>
      </c>
      <c r="B278" s="23" t="s">
        <v>455</v>
      </c>
      <c r="C278" s="23" t="s">
        <v>62</v>
      </c>
      <c r="D278" s="23" t="s">
        <v>814</v>
      </c>
      <c r="E278" s="26" t="s">
        <v>18</v>
      </c>
      <c r="F278" s="25">
        <v>761631</v>
      </c>
      <c r="G278" s="25">
        <v>0</v>
      </c>
    </row>
    <row r="279" spans="1:8" ht="36.700000000000003" outlineLevel="1" x14ac:dyDescent="0.25">
      <c r="A279" s="24" t="s">
        <v>63</v>
      </c>
      <c r="B279" s="23" t="s">
        <v>455</v>
      </c>
      <c r="C279" s="23" t="s">
        <v>62</v>
      </c>
      <c r="D279" s="23" t="s">
        <v>340</v>
      </c>
      <c r="E279" s="26" t="s">
        <v>6</v>
      </c>
      <c r="F279" s="25">
        <f>F280</f>
        <v>500000</v>
      </c>
      <c r="G279" s="25">
        <f>G280</f>
        <v>500000</v>
      </c>
    </row>
    <row r="280" spans="1:8" ht="36.700000000000003" outlineLevel="1" x14ac:dyDescent="0.25">
      <c r="A280" s="24" t="s">
        <v>15</v>
      </c>
      <c r="B280" s="23" t="s">
        <v>455</v>
      </c>
      <c r="C280" s="23" t="s">
        <v>62</v>
      </c>
      <c r="D280" s="23" t="s">
        <v>340</v>
      </c>
      <c r="E280" s="26" t="s">
        <v>16</v>
      </c>
      <c r="F280" s="25">
        <f>F281</f>
        <v>500000</v>
      </c>
      <c r="G280" s="25">
        <f>G281</f>
        <v>500000</v>
      </c>
    </row>
    <row r="281" spans="1:8" ht="22.75" customHeight="1" outlineLevel="1" x14ac:dyDescent="0.25">
      <c r="A281" s="24" t="s">
        <v>17</v>
      </c>
      <c r="B281" s="23" t="s">
        <v>455</v>
      </c>
      <c r="C281" s="23" t="s">
        <v>62</v>
      </c>
      <c r="D281" s="23" t="s">
        <v>340</v>
      </c>
      <c r="E281" s="26" t="s">
        <v>18</v>
      </c>
      <c r="F281" s="30">
        <v>500000</v>
      </c>
      <c r="G281" s="30">
        <v>500000</v>
      </c>
    </row>
    <row r="282" spans="1:8" s="76" customFormat="1" ht="55.05" outlineLevel="1" x14ac:dyDescent="0.25">
      <c r="A282" s="37" t="s">
        <v>463</v>
      </c>
      <c r="B282" s="38" t="s">
        <v>455</v>
      </c>
      <c r="C282" s="38" t="s">
        <v>62</v>
      </c>
      <c r="D282" s="38" t="s">
        <v>464</v>
      </c>
      <c r="E282" s="39" t="s">
        <v>6</v>
      </c>
      <c r="F282" s="25">
        <f>F283</f>
        <v>8938369</v>
      </c>
      <c r="G282" s="25">
        <f>G283</f>
        <v>6000000</v>
      </c>
      <c r="H282" s="75"/>
    </row>
    <row r="283" spans="1:8" ht="36.700000000000003" outlineLevel="1" x14ac:dyDescent="0.25">
      <c r="A283" s="24" t="s">
        <v>465</v>
      </c>
      <c r="B283" s="23" t="s">
        <v>455</v>
      </c>
      <c r="C283" s="23" t="s">
        <v>62</v>
      </c>
      <c r="D283" s="23" t="s">
        <v>466</v>
      </c>
      <c r="E283" s="26" t="s">
        <v>6</v>
      </c>
      <c r="F283" s="25">
        <f>F284+F287+F290</f>
        <v>8938369</v>
      </c>
      <c r="G283" s="25">
        <f>G284+G287+G290</f>
        <v>6000000</v>
      </c>
    </row>
    <row r="284" spans="1:8" ht="56.25" customHeight="1" outlineLevel="1" x14ac:dyDescent="0.25">
      <c r="A284" s="24" t="s">
        <v>467</v>
      </c>
      <c r="B284" s="23" t="s">
        <v>455</v>
      </c>
      <c r="C284" s="23" t="s">
        <v>62</v>
      </c>
      <c r="D284" s="23" t="s">
        <v>468</v>
      </c>
      <c r="E284" s="26" t="s">
        <v>6</v>
      </c>
      <c r="F284" s="25">
        <f>F285</f>
        <v>2738369</v>
      </c>
      <c r="G284" s="25">
        <f>G285</f>
        <v>2500000</v>
      </c>
    </row>
    <row r="285" spans="1:8" ht="36.700000000000003" outlineLevel="1" x14ac:dyDescent="0.25">
      <c r="A285" s="24" t="s">
        <v>15</v>
      </c>
      <c r="B285" s="23" t="s">
        <v>455</v>
      </c>
      <c r="C285" s="23" t="s">
        <v>62</v>
      </c>
      <c r="D285" s="23" t="s">
        <v>468</v>
      </c>
      <c r="E285" s="26" t="s">
        <v>16</v>
      </c>
      <c r="F285" s="25">
        <f>F286</f>
        <v>2738369</v>
      </c>
      <c r="G285" s="25">
        <f>G286</f>
        <v>2500000</v>
      </c>
    </row>
    <row r="286" spans="1:8" ht="36.700000000000003" outlineLevel="1" x14ac:dyDescent="0.25">
      <c r="A286" s="24" t="s">
        <v>17</v>
      </c>
      <c r="B286" s="23" t="s">
        <v>455</v>
      </c>
      <c r="C286" s="23" t="s">
        <v>62</v>
      </c>
      <c r="D286" s="23" t="s">
        <v>468</v>
      </c>
      <c r="E286" s="26" t="s">
        <v>18</v>
      </c>
      <c r="F286" s="30">
        <f>3500000-761631</f>
        <v>2738369</v>
      </c>
      <c r="G286" s="30">
        <v>2500000</v>
      </c>
    </row>
    <row r="287" spans="1:8" ht="38.25" customHeight="1" outlineLevel="1" x14ac:dyDescent="0.25">
      <c r="A287" s="24" t="s">
        <v>469</v>
      </c>
      <c r="B287" s="23" t="s">
        <v>455</v>
      </c>
      <c r="C287" s="23" t="s">
        <v>62</v>
      </c>
      <c r="D287" s="23" t="s">
        <v>470</v>
      </c>
      <c r="E287" s="26" t="s">
        <v>6</v>
      </c>
      <c r="F287" s="25">
        <f>F288</f>
        <v>3700000</v>
      </c>
      <c r="G287" s="25">
        <f>G288</f>
        <v>2000000</v>
      </c>
    </row>
    <row r="288" spans="1:8" ht="36.700000000000003" outlineLevel="1" x14ac:dyDescent="0.25">
      <c r="A288" s="24" t="s">
        <v>15</v>
      </c>
      <c r="B288" s="23" t="s">
        <v>455</v>
      </c>
      <c r="C288" s="23" t="s">
        <v>62</v>
      </c>
      <c r="D288" s="23" t="s">
        <v>470</v>
      </c>
      <c r="E288" s="26" t="s">
        <v>16</v>
      </c>
      <c r="F288" s="25">
        <f>F289</f>
        <v>3700000</v>
      </c>
      <c r="G288" s="25">
        <f>G289</f>
        <v>2000000</v>
      </c>
    </row>
    <row r="289" spans="1:8" ht="36.700000000000003" outlineLevel="1" x14ac:dyDescent="0.25">
      <c r="A289" s="24" t="s">
        <v>17</v>
      </c>
      <c r="B289" s="23" t="s">
        <v>455</v>
      </c>
      <c r="C289" s="23" t="s">
        <v>62</v>
      </c>
      <c r="D289" s="23" t="s">
        <v>470</v>
      </c>
      <c r="E289" s="26" t="s">
        <v>18</v>
      </c>
      <c r="F289" s="30">
        <v>3700000</v>
      </c>
      <c r="G289" s="30">
        <v>2000000</v>
      </c>
    </row>
    <row r="290" spans="1:8" ht="36.700000000000003" outlineLevel="1" x14ac:dyDescent="0.25">
      <c r="A290" s="24" t="s">
        <v>471</v>
      </c>
      <c r="B290" s="23" t="s">
        <v>455</v>
      </c>
      <c r="C290" s="23" t="s">
        <v>62</v>
      </c>
      <c r="D290" s="23" t="s">
        <v>472</v>
      </c>
      <c r="E290" s="26" t="s">
        <v>6</v>
      </c>
      <c r="F290" s="25">
        <f>F291</f>
        <v>2500000</v>
      </c>
      <c r="G290" s="25">
        <f>G291</f>
        <v>1500000</v>
      </c>
    </row>
    <row r="291" spans="1:8" ht="36.700000000000003" outlineLevel="1" x14ac:dyDescent="0.25">
      <c r="A291" s="24" t="s">
        <v>15</v>
      </c>
      <c r="B291" s="23" t="s">
        <v>455</v>
      </c>
      <c r="C291" s="23" t="s">
        <v>62</v>
      </c>
      <c r="D291" s="23" t="s">
        <v>472</v>
      </c>
      <c r="E291" s="26" t="s">
        <v>16</v>
      </c>
      <c r="F291" s="25">
        <f>F292</f>
        <v>2500000</v>
      </c>
      <c r="G291" s="25">
        <f>G292</f>
        <v>1500000</v>
      </c>
    </row>
    <row r="292" spans="1:8" ht="36.700000000000003" outlineLevel="1" x14ac:dyDescent="0.25">
      <c r="A292" s="24" t="s">
        <v>17</v>
      </c>
      <c r="B292" s="23" t="s">
        <v>455</v>
      </c>
      <c r="C292" s="23" t="s">
        <v>62</v>
      </c>
      <c r="D292" s="23" t="s">
        <v>472</v>
      </c>
      <c r="E292" s="26" t="s">
        <v>18</v>
      </c>
      <c r="F292" s="30">
        <v>2500000</v>
      </c>
      <c r="G292" s="30">
        <v>1500000</v>
      </c>
    </row>
    <row r="293" spans="1:8" s="76" customFormat="1" ht="73.400000000000006" outlineLevel="1" x14ac:dyDescent="0.25">
      <c r="A293" s="37" t="s">
        <v>473</v>
      </c>
      <c r="B293" s="38" t="s">
        <v>455</v>
      </c>
      <c r="C293" s="38" t="s">
        <v>62</v>
      </c>
      <c r="D293" s="38" t="s">
        <v>474</v>
      </c>
      <c r="E293" s="39" t="s">
        <v>6</v>
      </c>
      <c r="F293" s="25">
        <f>F294+F302</f>
        <v>19974076.27</v>
      </c>
      <c r="G293" s="25">
        <f>G294+G302</f>
        <v>20709227.807</v>
      </c>
      <c r="H293" s="75"/>
    </row>
    <row r="294" spans="1:8" s="76" customFormat="1" ht="55.05" outlineLevel="1" x14ac:dyDescent="0.25">
      <c r="A294" s="37" t="s">
        <v>501</v>
      </c>
      <c r="B294" s="38" t="s">
        <v>455</v>
      </c>
      <c r="C294" s="38" t="s">
        <v>62</v>
      </c>
      <c r="D294" s="38" t="s">
        <v>502</v>
      </c>
      <c r="E294" s="39" t="s">
        <v>6</v>
      </c>
      <c r="F294" s="25">
        <f>F295+F299</f>
        <v>6616389.0700000003</v>
      </c>
      <c r="G294" s="25">
        <f>G295+G299</f>
        <v>7351540.5999999996</v>
      </c>
      <c r="H294" s="75"/>
    </row>
    <row r="295" spans="1:8" ht="36.700000000000003" outlineLevel="1" x14ac:dyDescent="0.25">
      <c r="A295" s="24" t="s">
        <v>500</v>
      </c>
      <c r="B295" s="23" t="s">
        <v>455</v>
      </c>
      <c r="C295" s="23" t="s">
        <v>62</v>
      </c>
      <c r="D295" s="23" t="s">
        <v>503</v>
      </c>
      <c r="E295" s="26" t="s">
        <v>6</v>
      </c>
      <c r="F295" s="25">
        <f t="shared" ref="F295:G297" si="18">F296</f>
        <v>6616389.0700000003</v>
      </c>
      <c r="G295" s="25">
        <f t="shared" si="18"/>
        <v>7351540.5999999996</v>
      </c>
    </row>
    <row r="296" spans="1:8" ht="36.700000000000003" outlineLevel="1" x14ac:dyDescent="0.25">
      <c r="A296" s="24" t="s">
        <v>499</v>
      </c>
      <c r="B296" s="23" t="s">
        <v>455</v>
      </c>
      <c r="C296" s="23" t="s">
        <v>62</v>
      </c>
      <c r="D296" s="23" t="s">
        <v>504</v>
      </c>
      <c r="E296" s="26" t="s">
        <v>6</v>
      </c>
      <c r="F296" s="25">
        <f t="shared" si="18"/>
        <v>6616389.0700000003</v>
      </c>
      <c r="G296" s="25">
        <f t="shared" si="18"/>
        <v>7351540.5999999996</v>
      </c>
    </row>
    <row r="297" spans="1:8" ht="36.700000000000003" outlineLevel="1" x14ac:dyDescent="0.25">
      <c r="A297" s="24" t="s">
        <v>15</v>
      </c>
      <c r="B297" s="23" t="s">
        <v>455</v>
      </c>
      <c r="C297" s="23" t="s">
        <v>62</v>
      </c>
      <c r="D297" s="23" t="s">
        <v>504</v>
      </c>
      <c r="E297" s="26" t="s">
        <v>16</v>
      </c>
      <c r="F297" s="25">
        <f t="shared" si="18"/>
        <v>6616389.0700000003</v>
      </c>
      <c r="G297" s="25">
        <f t="shared" si="18"/>
        <v>7351540.5999999996</v>
      </c>
    </row>
    <row r="298" spans="1:8" ht="52.5" customHeight="1" outlineLevel="1" x14ac:dyDescent="0.25">
      <c r="A298" s="24" t="s">
        <v>17</v>
      </c>
      <c r="B298" s="23" t="s">
        <v>455</v>
      </c>
      <c r="C298" s="23" t="s">
        <v>62</v>
      </c>
      <c r="D298" s="23" t="s">
        <v>504</v>
      </c>
      <c r="E298" s="26" t="s">
        <v>18</v>
      </c>
      <c r="F298" s="25">
        <f>6583307.11+33081.96</f>
        <v>6616389.0700000003</v>
      </c>
      <c r="G298" s="25">
        <f>7314782.8+36757.8</f>
        <v>7351540.5999999996</v>
      </c>
    </row>
    <row r="299" spans="1:8" ht="55.05" outlineLevel="1" x14ac:dyDescent="0.25">
      <c r="A299" s="12" t="s">
        <v>614</v>
      </c>
      <c r="B299" s="23" t="s">
        <v>455</v>
      </c>
      <c r="C299" s="23" t="s">
        <v>62</v>
      </c>
      <c r="D299" s="23" t="s">
        <v>655</v>
      </c>
      <c r="E299" s="23" t="s">
        <v>6</v>
      </c>
      <c r="F299" s="25">
        <f>F300</f>
        <v>0</v>
      </c>
      <c r="G299" s="25">
        <f>G300</f>
        <v>0</v>
      </c>
    </row>
    <row r="300" spans="1:8" ht="36.700000000000003" outlineLevel="1" x14ac:dyDescent="0.25">
      <c r="A300" s="24" t="s">
        <v>15</v>
      </c>
      <c r="B300" s="23" t="s">
        <v>455</v>
      </c>
      <c r="C300" s="23" t="s">
        <v>62</v>
      </c>
      <c r="D300" s="23" t="s">
        <v>655</v>
      </c>
      <c r="E300" s="23" t="s">
        <v>16</v>
      </c>
      <c r="F300" s="25">
        <f>F301</f>
        <v>0</v>
      </c>
      <c r="G300" s="25">
        <f>G301</f>
        <v>0</v>
      </c>
    </row>
    <row r="301" spans="1:8" ht="36.700000000000003" outlineLevel="1" x14ac:dyDescent="0.25">
      <c r="A301" s="24" t="s">
        <v>17</v>
      </c>
      <c r="B301" s="23" t="s">
        <v>455</v>
      </c>
      <c r="C301" s="23" t="s">
        <v>62</v>
      </c>
      <c r="D301" s="23" t="s">
        <v>655</v>
      </c>
      <c r="E301" s="23" t="s">
        <v>18</v>
      </c>
      <c r="F301" s="25"/>
      <c r="G301" s="25"/>
    </row>
    <row r="302" spans="1:8" s="76" customFormat="1" ht="55.05" outlineLevel="1" x14ac:dyDescent="0.25">
      <c r="A302" s="45" t="s">
        <v>505</v>
      </c>
      <c r="B302" s="23" t="s">
        <v>455</v>
      </c>
      <c r="C302" s="23" t="s">
        <v>62</v>
      </c>
      <c r="D302" s="38" t="s">
        <v>507</v>
      </c>
      <c r="E302" s="39" t="s">
        <v>6</v>
      </c>
      <c r="F302" s="25">
        <f>F303</f>
        <v>13357687.199999999</v>
      </c>
      <c r="G302" s="25">
        <f>G303</f>
        <v>13357687.207</v>
      </c>
      <c r="H302" s="75"/>
    </row>
    <row r="303" spans="1:8" s="76" customFormat="1" ht="41.95" customHeight="1" outlineLevel="1" x14ac:dyDescent="0.25">
      <c r="A303" s="45" t="s">
        <v>506</v>
      </c>
      <c r="B303" s="23" t="s">
        <v>455</v>
      </c>
      <c r="C303" s="23" t="s">
        <v>62</v>
      </c>
      <c r="D303" s="38" t="s">
        <v>508</v>
      </c>
      <c r="E303" s="39" t="s">
        <v>6</v>
      </c>
      <c r="F303" s="28">
        <f>F304+F307+F310+F313</f>
        <v>13357687.199999999</v>
      </c>
      <c r="G303" s="28">
        <f>G304+G307+G310+G313</f>
        <v>13357687.207</v>
      </c>
      <c r="H303" s="75"/>
    </row>
    <row r="304" spans="1:8" s="76" customFormat="1" ht="78.8" customHeight="1" outlineLevel="1" x14ac:dyDescent="0.25">
      <c r="A304" s="12" t="s">
        <v>516</v>
      </c>
      <c r="B304" s="23" t="s">
        <v>455</v>
      </c>
      <c r="C304" s="23" t="s">
        <v>62</v>
      </c>
      <c r="D304" s="23" t="s">
        <v>531</v>
      </c>
      <c r="E304" s="26" t="s">
        <v>6</v>
      </c>
      <c r="F304" s="25">
        <f>F305</f>
        <v>12956956.59</v>
      </c>
      <c r="G304" s="25">
        <f>G305</f>
        <v>12956956.59</v>
      </c>
      <c r="H304" s="75"/>
    </row>
    <row r="305" spans="1:8" s="76" customFormat="1" ht="36.700000000000003" outlineLevel="1" x14ac:dyDescent="0.25">
      <c r="A305" s="24" t="s">
        <v>15</v>
      </c>
      <c r="B305" s="23" t="s">
        <v>455</v>
      </c>
      <c r="C305" s="23" t="s">
        <v>62</v>
      </c>
      <c r="D305" s="23" t="s">
        <v>531</v>
      </c>
      <c r="E305" s="26" t="s">
        <v>16</v>
      </c>
      <c r="F305" s="25">
        <f>F306</f>
        <v>12956956.59</v>
      </c>
      <c r="G305" s="25">
        <f>G306</f>
        <v>12956956.59</v>
      </c>
      <c r="H305" s="75"/>
    </row>
    <row r="306" spans="1:8" s="76" customFormat="1" ht="36.700000000000003" outlineLevel="1" x14ac:dyDescent="0.25">
      <c r="A306" s="24" t="s">
        <v>17</v>
      </c>
      <c r="B306" s="23" t="s">
        <v>455</v>
      </c>
      <c r="C306" s="23" t="s">
        <v>62</v>
      </c>
      <c r="D306" s="23" t="s">
        <v>531</v>
      </c>
      <c r="E306" s="26" t="s">
        <v>18</v>
      </c>
      <c r="F306" s="25">
        <v>12956956.59</v>
      </c>
      <c r="G306" s="25">
        <v>12956956.59</v>
      </c>
      <c r="H306" s="75"/>
    </row>
    <row r="307" spans="1:8" ht="40.75" customHeight="1" outlineLevel="1" x14ac:dyDescent="0.25">
      <c r="A307" s="12" t="s">
        <v>510</v>
      </c>
      <c r="B307" s="23" t="s">
        <v>455</v>
      </c>
      <c r="C307" s="23" t="s">
        <v>62</v>
      </c>
      <c r="D307" s="23" t="s">
        <v>509</v>
      </c>
      <c r="E307" s="26" t="s">
        <v>6</v>
      </c>
      <c r="F307" s="25">
        <f>F308</f>
        <v>400730.61</v>
      </c>
      <c r="G307" s="25">
        <f>G308</f>
        <v>400730.61699999997</v>
      </c>
    </row>
    <row r="308" spans="1:8" ht="36.700000000000003" outlineLevel="1" x14ac:dyDescent="0.25">
      <c r="A308" s="24" t="s">
        <v>15</v>
      </c>
      <c r="B308" s="23" t="s">
        <v>455</v>
      </c>
      <c r="C308" s="23" t="s">
        <v>62</v>
      </c>
      <c r="D308" s="23" t="s">
        <v>509</v>
      </c>
      <c r="E308" s="26" t="s">
        <v>16</v>
      </c>
      <c r="F308" s="25">
        <f>F309</f>
        <v>400730.61</v>
      </c>
      <c r="G308" s="25">
        <f>G309</f>
        <v>400730.61699999997</v>
      </c>
    </row>
    <row r="309" spans="1:8" ht="54.7" customHeight="1" outlineLevel="1" x14ac:dyDescent="0.25">
      <c r="A309" s="24" t="s">
        <v>17</v>
      </c>
      <c r="B309" s="23" t="s">
        <v>455</v>
      </c>
      <c r="C309" s="23" t="s">
        <v>62</v>
      </c>
      <c r="D309" s="23" t="s">
        <v>509</v>
      </c>
      <c r="E309" s="26" t="s">
        <v>18</v>
      </c>
      <c r="F309" s="30">
        <f>377047.43+23683.18</f>
        <v>400730.61</v>
      </c>
      <c r="G309" s="30">
        <f>377047.437+23683.18</f>
        <v>400730.61699999997</v>
      </c>
    </row>
    <row r="310" spans="1:8" ht="54" customHeight="1" outlineLevel="1" x14ac:dyDescent="0.25">
      <c r="A310" s="24" t="s">
        <v>614</v>
      </c>
      <c r="B310" s="23" t="s">
        <v>455</v>
      </c>
      <c r="C310" s="23" t="s">
        <v>62</v>
      </c>
      <c r="D310" s="23" t="s">
        <v>613</v>
      </c>
      <c r="E310" s="23" t="s">
        <v>6</v>
      </c>
      <c r="F310" s="25">
        <f>F311</f>
        <v>0</v>
      </c>
      <c r="G310" s="25">
        <f>G311</f>
        <v>0</v>
      </c>
    </row>
    <row r="311" spans="1:8" ht="36.700000000000003" outlineLevel="1" x14ac:dyDescent="0.25">
      <c r="A311" s="24" t="s">
        <v>15</v>
      </c>
      <c r="B311" s="23" t="s">
        <v>455</v>
      </c>
      <c r="C311" s="23" t="s">
        <v>62</v>
      </c>
      <c r="D311" s="23" t="s">
        <v>613</v>
      </c>
      <c r="E311" s="23" t="s">
        <v>16</v>
      </c>
      <c r="F311" s="25">
        <f>F312</f>
        <v>0</v>
      </c>
      <c r="G311" s="25">
        <f>G312</f>
        <v>0</v>
      </c>
    </row>
    <row r="312" spans="1:8" ht="36.700000000000003" outlineLevel="1" x14ac:dyDescent="0.25">
      <c r="A312" s="24" t="s">
        <v>17</v>
      </c>
      <c r="B312" s="23" t="s">
        <v>455</v>
      </c>
      <c r="C312" s="23" t="s">
        <v>62</v>
      </c>
      <c r="D312" s="23" t="s">
        <v>613</v>
      </c>
      <c r="E312" s="23" t="s">
        <v>18</v>
      </c>
      <c r="F312" s="30"/>
      <c r="G312" s="30"/>
    </row>
    <row r="313" spans="1:8" ht="43.5" customHeight="1" outlineLevel="1" x14ac:dyDescent="0.25">
      <c r="A313" s="24" t="s">
        <v>616</v>
      </c>
      <c r="B313" s="23" t="s">
        <v>455</v>
      </c>
      <c r="C313" s="23" t="s">
        <v>62</v>
      </c>
      <c r="D313" s="23" t="s">
        <v>682</v>
      </c>
      <c r="E313" s="23" t="s">
        <v>6</v>
      </c>
      <c r="F313" s="25">
        <f>F314</f>
        <v>0</v>
      </c>
      <c r="G313" s="25">
        <f>G314</f>
        <v>0</v>
      </c>
    </row>
    <row r="314" spans="1:8" s="76" customFormat="1" ht="36.700000000000003" outlineLevel="1" x14ac:dyDescent="0.25">
      <c r="A314" s="24" t="s">
        <v>15</v>
      </c>
      <c r="B314" s="23" t="s">
        <v>455</v>
      </c>
      <c r="C314" s="23" t="s">
        <v>62</v>
      </c>
      <c r="D314" s="23" t="s">
        <v>682</v>
      </c>
      <c r="E314" s="23" t="s">
        <v>16</v>
      </c>
      <c r="F314" s="25">
        <f>F315</f>
        <v>0</v>
      </c>
      <c r="G314" s="25">
        <f>G315</f>
        <v>0</v>
      </c>
      <c r="H314" s="75"/>
    </row>
    <row r="315" spans="1:8" ht="36.700000000000003" outlineLevel="1" x14ac:dyDescent="0.25">
      <c r="A315" s="24" t="s">
        <v>17</v>
      </c>
      <c r="B315" s="23" t="s">
        <v>455</v>
      </c>
      <c r="C315" s="23" t="s">
        <v>62</v>
      </c>
      <c r="D315" s="23" t="s">
        <v>682</v>
      </c>
      <c r="E315" s="23" t="s">
        <v>18</v>
      </c>
      <c r="F315" s="30"/>
      <c r="G315" s="30"/>
    </row>
    <row r="316" spans="1:8" ht="36.700000000000003" outlineLevel="1" x14ac:dyDescent="0.25">
      <c r="A316" s="24" t="s">
        <v>284</v>
      </c>
      <c r="B316" s="23" t="s">
        <v>455</v>
      </c>
      <c r="C316" s="23" t="s">
        <v>285</v>
      </c>
      <c r="D316" s="23" t="s">
        <v>126</v>
      </c>
      <c r="E316" s="26" t="s">
        <v>6</v>
      </c>
      <c r="F316" s="30">
        <f>F317</f>
        <v>300000</v>
      </c>
      <c r="G316" s="30">
        <f>G317</f>
        <v>300000</v>
      </c>
    </row>
    <row r="317" spans="1:8" ht="73.400000000000006" outlineLevel="1" x14ac:dyDescent="0.25">
      <c r="A317" s="37" t="s">
        <v>392</v>
      </c>
      <c r="B317" s="38" t="s">
        <v>455</v>
      </c>
      <c r="C317" s="38" t="s">
        <v>285</v>
      </c>
      <c r="D317" s="38" t="s">
        <v>134</v>
      </c>
      <c r="E317" s="39" t="s">
        <v>6</v>
      </c>
      <c r="F317" s="46">
        <f>F318</f>
        <v>300000</v>
      </c>
      <c r="G317" s="46">
        <f>G318</f>
        <v>300000</v>
      </c>
    </row>
    <row r="318" spans="1:8" ht="51.8" customHeight="1" outlineLevel="1" x14ac:dyDescent="0.25">
      <c r="A318" s="24" t="s">
        <v>738</v>
      </c>
      <c r="B318" s="23" t="s">
        <v>455</v>
      </c>
      <c r="C318" s="23" t="s">
        <v>285</v>
      </c>
      <c r="D318" s="23" t="s">
        <v>335</v>
      </c>
      <c r="E318" s="26" t="s">
        <v>6</v>
      </c>
      <c r="F318" s="30">
        <f>F319+F322</f>
        <v>300000</v>
      </c>
      <c r="G318" s="30">
        <f>G319+G322</f>
        <v>300000</v>
      </c>
    </row>
    <row r="319" spans="1:8" ht="37.549999999999997" customHeight="1" outlineLevel="1" x14ac:dyDescent="0.25">
      <c r="A319" s="31" t="s">
        <v>514</v>
      </c>
      <c r="B319" s="23" t="s">
        <v>455</v>
      </c>
      <c r="C319" s="23" t="s">
        <v>285</v>
      </c>
      <c r="D319" s="23" t="s">
        <v>532</v>
      </c>
      <c r="E319" s="23" t="s">
        <v>6</v>
      </c>
      <c r="F319" s="30">
        <f>F320</f>
        <v>0</v>
      </c>
      <c r="G319" s="30">
        <f>G320</f>
        <v>0</v>
      </c>
    </row>
    <row r="320" spans="1:8" outlineLevel="1" x14ac:dyDescent="0.25">
      <c r="A320" s="24" t="s">
        <v>19</v>
      </c>
      <c r="B320" s="23" t="s">
        <v>455</v>
      </c>
      <c r="C320" s="23" t="s">
        <v>285</v>
      </c>
      <c r="D320" s="23" t="s">
        <v>532</v>
      </c>
      <c r="E320" s="23" t="s">
        <v>20</v>
      </c>
      <c r="F320" s="30">
        <f>F321</f>
        <v>0</v>
      </c>
      <c r="G320" s="30">
        <f>G321</f>
        <v>0</v>
      </c>
    </row>
    <row r="321" spans="1:8" ht="55.05" outlineLevel="1" x14ac:dyDescent="0.25">
      <c r="A321" s="24" t="s">
        <v>47</v>
      </c>
      <c r="B321" s="23" t="s">
        <v>455</v>
      </c>
      <c r="C321" s="23" t="s">
        <v>285</v>
      </c>
      <c r="D321" s="23" t="s">
        <v>532</v>
      </c>
      <c r="E321" s="23" t="s">
        <v>48</v>
      </c>
      <c r="F321" s="30">
        <v>0</v>
      </c>
      <c r="G321" s="30">
        <v>0</v>
      </c>
    </row>
    <row r="322" spans="1:8" s="76" customFormat="1" ht="18.7" customHeight="1" outlineLevel="1" x14ac:dyDescent="0.25">
      <c r="A322" s="24" t="s">
        <v>295</v>
      </c>
      <c r="B322" s="23" t="s">
        <v>455</v>
      </c>
      <c r="C322" s="23" t="s">
        <v>285</v>
      </c>
      <c r="D322" s="23" t="s">
        <v>341</v>
      </c>
      <c r="E322" s="26" t="s">
        <v>6</v>
      </c>
      <c r="F322" s="30">
        <f>F323</f>
        <v>300000</v>
      </c>
      <c r="G322" s="30">
        <f>G323</f>
        <v>300000</v>
      </c>
      <c r="H322" s="75"/>
    </row>
    <row r="323" spans="1:8" outlineLevel="2" x14ac:dyDescent="0.25">
      <c r="A323" s="24" t="s">
        <v>19</v>
      </c>
      <c r="B323" s="23" t="s">
        <v>455</v>
      </c>
      <c r="C323" s="23" t="s">
        <v>285</v>
      </c>
      <c r="D323" s="23" t="s">
        <v>341</v>
      </c>
      <c r="E323" s="26" t="s">
        <v>20</v>
      </c>
      <c r="F323" s="30">
        <f>F324</f>
        <v>300000</v>
      </c>
      <c r="G323" s="30">
        <f>G324</f>
        <v>300000</v>
      </c>
    </row>
    <row r="324" spans="1:8" s="76" customFormat="1" ht="41.3" customHeight="1" outlineLevel="3" x14ac:dyDescent="0.25">
      <c r="A324" s="24" t="s">
        <v>47</v>
      </c>
      <c r="B324" s="23" t="s">
        <v>455</v>
      </c>
      <c r="C324" s="23" t="s">
        <v>285</v>
      </c>
      <c r="D324" s="23" t="s">
        <v>341</v>
      </c>
      <c r="E324" s="26" t="s">
        <v>48</v>
      </c>
      <c r="F324" s="51">
        <v>300000</v>
      </c>
      <c r="G324" s="51">
        <v>300000</v>
      </c>
      <c r="H324" s="75"/>
    </row>
    <row r="325" spans="1:8" ht="26.5" customHeight="1" outlineLevel="3" x14ac:dyDescent="0.25">
      <c r="A325" s="37" t="s">
        <v>64</v>
      </c>
      <c r="B325" s="23" t="s">
        <v>455</v>
      </c>
      <c r="C325" s="38" t="s">
        <v>65</v>
      </c>
      <c r="D325" s="38" t="s">
        <v>126</v>
      </c>
      <c r="E325" s="39" t="s">
        <v>6</v>
      </c>
      <c r="F325" s="28">
        <f>F326</f>
        <v>515000</v>
      </c>
      <c r="G325" s="28">
        <f>G326</f>
        <v>515000</v>
      </c>
    </row>
    <row r="326" spans="1:8" ht="23.3" customHeight="1" outlineLevel="3" x14ac:dyDescent="0.25">
      <c r="A326" s="24" t="s">
        <v>66</v>
      </c>
      <c r="B326" s="23" t="s">
        <v>455</v>
      </c>
      <c r="C326" s="23" t="s">
        <v>67</v>
      </c>
      <c r="D326" s="23" t="s">
        <v>126</v>
      </c>
      <c r="E326" s="26" t="s">
        <v>6</v>
      </c>
      <c r="F326" s="25">
        <f>F327+F336</f>
        <v>515000</v>
      </c>
      <c r="G326" s="25">
        <f>G327+G336</f>
        <v>515000</v>
      </c>
    </row>
    <row r="327" spans="1:8" ht="59.95" customHeight="1" outlineLevel="3" x14ac:dyDescent="0.25">
      <c r="A327" s="37" t="s">
        <v>735</v>
      </c>
      <c r="B327" s="38" t="s">
        <v>455</v>
      </c>
      <c r="C327" s="38" t="s">
        <v>67</v>
      </c>
      <c r="D327" s="38" t="s">
        <v>135</v>
      </c>
      <c r="E327" s="39" t="s">
        <v>6</v>
      </c>
      <c r="F327" s="28">
        <f>F328+F332</f>
        <v>470000</v>
      </c>
      <c r="G327" s="28">
        <f>G328+G332</f>
        <v>470000</v>
      </c>
    </row>
    <row r="328" spans="1:8" ht="59.95" customHeight="1" outlineLevel="3" x14ac:dyDescent="0.25">
      <c r="A328" s="24" t="s">
        <v>736</v>
      </c>
      <c r="B328" s="23" t="s">
        <v>455</v>
      </c>
      <c r="C328" s="23" t="s">
        <v>67</v>
      </c>
      <c r="D328" s="23" t="s">
        <v>371</v>
      </c>
      <c r="E328" s="26" t="s">
        <v>6</v>
      </c>
      <c r="F328" s="25">
        <f t="shared" ref="F328:G330" si="19">F329</f>
        <v>440000</v>
      </c>
      <c r="G328" s="25">
        <f t="shared" si="19"/>
        <v>440000</v>
      </c>
    </row>
    <row r="329" spans="1:8" ht="36.700000000000003" outlineLevel="7" x14ac:dyDescent="0.25">
      <c r="A329" s="24" t="s">
        <v>240</v>
      </c>
      <c r="B329" s="23" t="s">
        <v>455</v>
      </c>
      <c r="C329" s="23" t="s">
        <v>67</v>
      </c>
      <c r="D329" s="23" t="s">
        <v>344</v>
      </c>
      <c r="E329" s="26" t="s">
        <v>6</v>
      </c>
      <c r="F329" s="25">
        <f t="shared" si="19"/>
        <v>440000</v>
      </c>
      <c r="G329" s="25">
        <f t="shared" si="19"/>
        <v>440000</v>
      </c>
    </row>
    <row r="330" spans="1:8" ht="25.5" customHeight="1" outlineLevel="5" x14ac:dyDescent="0.25">
      <c r="A330" s="24" t="s">
        <v>15</v>
      </c>
      <c r="B330" s="23" t="s">
        <v>455</v>
      </c>
      <c r="C330" s="23" t="s">
        <v>67</v>
      </c>
      <c r="D330" s="23" t="s">
        <v>344</v>
      </c>
      <c r="E330" s="26" t="s">
        <v>16</v>
      </c>
      <c r="F330" s="25">
        <f t="shared" si="19"/>
        <v>440000</v>
      </c>
      <c r="G330" s="25">
        <f t="shared" si="19"/>
        <v>440000</v>
      </c>
    </row>
    <row r="331" spans="1:8" ht="36.700000000000003" outlineLevel="6" x14ac:dyDescent="0.25">
      <c r="A331" s="24" t="s">
        <v>17</v>
      </c>
      <c r="B331" s="23" t="s">
        <v>455</v>
      </c>
      <c r="C331" s="23" t="s">
        <v>67</v>
      </c>
      <c r="D331" s="23" t="s">
        <v>344</v>
      </c>
      <c r="E331" s="26" t="s">
        <v>18</v>
      </c>
      <c r="F331" s="25">
        <v>440000</v>
      </c>
      <c r="G331" s="25">
        <v>440000</v>
      </c>
    </row>
    <row r="332" spans="1:8" ht="38.25" customHeight="1" outlineLevel="7" x14ac:dyDescent="0.25">
      <c r="A332" s="24" t="s">
        <v>345</v>
      </c>
      <c r="B332" s="23" t="s">
        <v>455</v>
      </c>
      <c r="C332" s="23" t="s">
        <v>67</v>
      </c>
      <c r="D332" s="23" t="s">
        <v>242</v>
      </c>
      <c r="E332" s="26" t="s">
        <v>6</v>
      </c>
      <c r="F332" s="30">
        <f t="shared" ref="F332:G334" si="20">F333</f>
        <v>30000</v>
      </c>
      <c r="G332" s="30">
        <f t="shared" si="20"/>
        <v>30000</v>
      </c>
    </row>
    <row r="333" spans="1:8" s="76" customFormat="1" ht="23.95" customHeight="1" outlineLevel="3" x14ac:dyDescent="0.25">
      <c r="A333" s="24" t="s">
        <v>68</v>
      </c>
      <c r="B333" s="23" t="s">
        <v>455</v>
      </c>
      <c r="C333" s="23" t="s">
        <v>67</v>
      </c>
      <c r="D333" s="23" t="s">
        <v>241</v>
      </c>
      <c r="E333" s="26" t="s">
        <v>6</v>
      </c>
      <c r="F333" s="25">
        <f t="shared" si="20"/>
        <v>30000</v>
      </c>
      <c r="G333" s="25">
        <f t="shared" si="20"/>
        <v>30000</v>
      </c>
      <c r="H333" s="75"/>
    </row>
    <row r="334" spans="1:8" ht="36.700000000000003" outlineLevel="5" x14ac:dyDescent="0.25">
      <c r="A334" s="24" t="s">
        <v>15</v>
      </c>
      <c r="B334" s="23" t="s">
        <v>455</v>
      </c>
      <c r="C334" s="23" t="s">
        <v>67</v>
      </c>
      <c r="D334" s="23" t="s">
        <v>241</v>
      </c>
      <c r="E334" s="26" t="s">
        <v>16</v>
      </c>
      <c r="F334" s="25">
        <f t="shared" si="20"/>
        <v>30000</v>
      </c>
      <c r="G334" s="25">
        <f t="shared" si="20"/>
        <v>30000</v>
      </c>
    </row>
    <row r="335" spans="1:8" ht="36.700000000000003" outlineLevel="5" x14ac:dyDescent="0.25">
      <c r="A335" s="24" t="s">
        <v>17</v>
      </c>
      <c r="B335" s="23" t="s">
        <v>455</v>
      </c>
      <c r="C335" s="23" t="s">
        <v>67</v>
      </c>
      <c r="D335" s="23" t="s">
        <v>241</v>
      </c>
      <c r="E335" s="26" t="s">
        <v>18</v>
      </c>
      <c r="F335" s="25">
        <v>30000</v>
      </c>
      <c r="G335" s="25">
        <v>30000</v>
      </c>
    </row>
    <row r="336" spans="1:8" ht="91.7" outlineLevel="6" x14ac:dyDescent="0.25">
      <c r="A336" s="37" t="s">
        <v>734</v>
      </c>
      <c r="B336" s="38" t="s">
        <v>455</v>
      </c>
      <c r="C336" s="38" t="s">
        <v>67</v>
      </c>
      <c r="D336" s="38" t="s">
        <v>346</v>
      </c>
      <c r="E336" s="39" t="s">
        <v>6</v>
      </c>
      <c r="F336" s="28">
        <f>F337</f>
        <v>45000</v>
      </c>
      <c r="G336" s="28">
        <f>G337</f>
        <v>45000</v>
      </c>
    </row>
    <row r="337" spans="1:8" ht="42.8" customHeight="1" outlineLevel="7" x14ac:dyDescent="0.25">
      <c r="A337" s="24" t="s">
        <v>347</v>
      </c>
      <c r="B337" s="23" t="s">
        <v>455</v>
      </c>
      <c r="C337" s="23" t="s">
        <v>67</v>
      </c>
      <c r="D337" s="23" t="s">
        <v>348</v>
      </c>
      <c r="E337" s="26" t="s">
        <v>6</v>
      </c>
      <c r="F337" s="25">
        <f>F339</f>
        <v>45000</v>
      </c>
      <c r="G337" s="25">
        <f>G339</f>
        <v>45000</v>
      </c>
    </row>
    <row r="338" spans="1:8" s="76" customFormat="1" ht="36.700000000000003" outlineLevel="1" x14ac:dyDescent="0.25">
      <c r="A338" s="24" t="s">
        <v>349</v>
      </c>
      <c r="B338" s="23" t="s">
        <v>455</v>
      </c>
      <c r="C338" s="23" t="s">
        <v>67</v>
      </c>
      <c r="D338" s="23" t="s">
        <v>350</v>
      </c>
      <c r="E338" s="26" t="s">
        <v>6</v>
      </c>
      <c r="F338" s="25">
        <f>F339</f>
        <v>45000</v>
      </c>
      <c r="G338" s="25">
        <f>G339</f>
        <v>45000</v>
      </c>
      <c r="H338" s="75"/>
    </row>
    <row r="339" spans="1:8" ht="36.700000000000003" outlineLevel="2" x14ac:dyDescent="0.25">
      <c r="A339" s="24" t="s">
        <v>15</v>
      </c>
      <c r="B339" s="23" t="s">
        <v>455</v>
      </c>
      <c r="C339" s="23" t="s">
        <v>67</v>
      </c>
      <c r="D339" s="23" t="s">
        <v>350</v>
      </c>
      <c r="E339" s="26" t="s">
        <v>16</v>
      </c>
      <c r="F339" s="25">
        <f>F340</f>
        <v>45000</v>
      </c>
      <c r="G339" s="25">
        <f>G340</f>
        <v>45000</v>
      </c>
    </row>
    <row r="340" spans="1:8" s="76" customFormat="1" ht="36.700000000000003" outlineLevel="3" x14ac:dyDescent="0.25">
      <c r="A340" s="24" t="s">
        <v>17</v>
      </c>
      <c r="B340" s="23" t="s">
        <v>455</v>
      </c>
      <c r="C340" s="23" t="s">
        <v>67</v>
      </c>
      <c r="D340" s="23" t="s">
        <v>350</v>
      </c>
      <c r="E340" s="26" t="s">
        <v>18</v>
      </c>
      <c r="F340" s="30">
        <v>45000</v>
      </c>
      <c r="G340" s="30">
        <v>45000</v>
      </c>
      <c r="H340" s="75"/>
    </row>
    <row r="341" spans="1:8" outlineLevel="3" x14ac:dyDescent="0.25">
      <c r="A341" s="37" t="s">
        <v>69</v>
      </c>
      <c r="B341" s="38" t="s">
        <v>455</v>
      </c>
      <c r="C341" s="38" t="s">
        <v>70</v>
      </c>
      <c r="D341" s="38" t="s">
        <v>126</v>
      </c>
      <c r="E341" s="39" t="s">
        <v>6</v>
      </c>
      <c r="F341" s="28">
        <f t="shared" ref="F341:G346" si="21">F342</f>
        <v>23547089.976</v>
      </c>
      <c r="G341" s="28">
        <f t="shared" si="21"/>
        <v>19955093.399999999</v>
      </c>
    </row>
    <row r="342" spans="1:8" outlineLevel="5" x14ac:dyDescent="0.25">
      <c r="A342" s="24" t="s">
        <v>251</v>
      </c>
      <c r="B342" s="23" t="s">
        <v>455</v>
      </c>
      <c r="C342" s="23" t="s">
        <v>250</v>
      </c>
      <c r="D342" s="23" t="s">
        <v>126</v>
      </c>
      <c r="E342" s="26" t="s">
        <v>6</v>
      </c>
      <c r="F342" s="25">
        <f t="shared" si="21"/>
        <v>23547089.976</v>
      </c>
      <c r="G342" s="25">
        <f t="shared" si="21"/>
        <v>19955093.399999999</v>
      </c>
    </row>
    <row r="343" spans="1:8" ht="55.05" outlineLevel="6" x14ac:dyDescent="0.25">
      <c r="A343" s="37" t="s">
        <v>733</v>
      </c>
      <c r="B343" s="38" t="s">
        <v>455</v>
      </c>
      <c r="C343" s="38" t="s">
        <v>250</v>
      </c>
      <c r="D343" s="38" t="s">
        <v>136</v>
      </c>
      <c r="E343" s="39" t="s">
        <v>6</v>
      </c>
      <c r="F343" s="28">
        <f>F344+F351</f>
        <v>23547089.976</v>
      </c>
      <c r="G343" s="28">
        <f>G344+G351</f>
        <v>19955093.399999999</v>
      </c>
    </row>
    <row r="344" spans="1:8" ht="42.8" customHeight="1" outlineLevel="7" x14ac:dyDescent="0.3">
      <c r="A344" s="47" t="s">
        <v>351</v>
      </c>
      <c r="B344" s="23" t="s">
        <v>455</v>
      </c>
      <c r="C344" s="23" t="s">
        <v>250</v>
      </c>
      <c r="D344" s="23" t="s">
        <v>225</v>
      </c>
      <c r="E344" s="26" t="s">
        <v>6</v>
      </c>
      <c r="F344" s="25">
        <f>F345+F348</f>
        <v>19052341.359999999</v>
      </c>
      <c r="G344" s="25">
        <f>G345+G348</f>
        <v>19955093.399999999</v>
      </c>
    </row>
    <row r="345" spans="1:8" ht="55.05" outlineLevel="7" x14ac:dyDescent="0.25">
      <c r="A345" s="24" t="s">
        <v>73</v>
      </c>
      <c r="B345" s="23" t="s">
        <v>455</v>
      </c>
      <c r="C345" s="23" t="s">
        <v>250</v>
      </c>
      <c r="D345" s="23" t="s">
        <v>137</v>
      </c>
      <c r="E345" s="26" t="s">
        <v>6</v>
      </c>
      <c r="F345" s="25">
        <f t="shared" si="21"/>
        <v>18953228.359999999</v>
      </c>
      <c r="G345" s="25">
        <f t="shared" si="21"/>
        <v>19955093.399999999</v>
      </c>
    </row>
    <row r="346" spans="1:8" ht="36.700000000000003" outlineLevel="7" x14ac:dyDescent="0.25">
      <c r="A346" s="24" t="s">
        <v>37</v>
      </c>
      <c r="B346" s="23" t="s">
        <v>455</v>
      </c>
      <c r="C346" s="23" t="s">
        <v>250</v>
      </c>
      <c r="D346" s="23" t="s">
        <v>137</v>
      </c>
      <c r="E346" s="26" t="s">
        <v>38</v>
      </c>
      <c r="F346" s="25">
        <f t="shared" si="21"/>
        <v>18953228.359999999</v>
      </c>
      <c r="G346" s="25">
        <f t="shared" si="21"/>
        <v>19955093.399999999</v>
      </c>
    </row>
    <row r="347" spans="1:8" ht="20.25" customHeight="1" outlineLevel="7" x14ac:dyDescent="0.3">
      <c r="A347" s="47" t="s">
        <v>74</v>
      </c>
      <c r="B347" s="23" t="s">
        <v>455</v>
      </c>
      <c r="C347" s="23" t="s">
        <v>250</v>
      </c>
      <c r="D347" s="23" t="s">
        <v>137</v>
      </c>
      <c r="E347" s="26" t="s">
        <v>75</v>
      </c>
      <c r="F347" s="25">
        <f>19052341.36-99113</f>
        <v>18953228.359999999</v>
      </c>
      <c r="G347" s="25">
        <v>19955093.399999999</v>
      </c>
    </row>
    <row r="348" spans="1:8" ht="77.95" customHeight="1" outlineLevel="7" x14ac:dyDescent="0.3">
      <c r="A348" s="47" t="s">
        <v>641</v>
      </c>
      <c r="B348" s="23" t="s">
        <v>455</v>
      </c>
      <c r="C348" s="23" t="s">
        <v>250</v>
      </c>
      <c r="D348" s="23" t="s">
        <v>642</v>
      </c>
      <c r="E348" s="26" t="s">
        <v>6</v>
      </c>
      <c r="F348" s="25">
        <f>F349</f>
        <v>99113</v>
      </c>
      <c r="G348" s="25">
        <f>G349</f>
        <v>0</v>
      </c>
    </row>
    <row r="349" spans="1:8" s="76" customFormat="1" ht="36.700000000000003" outlineLevel="1" x14ac:dyDescent="0.25">
      <c r="A349" s="24" t="s">
        <v>37</v>
      </c>
      <c r="B349" s="23" t="s">
        <v>455</v>
      </c>
      <c r="C349" s="23" t="s">
        <v>250</v>
      </c>
      <c r="D349" s="23" t="s">
        <v>642</v>
      </c>
      <c r="E349" s="26" t="s">
        <v>38</v>
      </c>
      <c r="F349" s="25">
        <f>F350</f>
        <v>99113</v>
      </c>
      <c r="G349" s="25">
        <f>G350</f>
        <v>0</v>
      </c>
      <c r="H349" s="75"/>
    </row>
    <row r="350" spans="1:8" outlineLevel="2" x14ac:dyDescent="0.3">
      <c r="A350" s="47" t="s">
        <v>74</v>
      </c>
      <c r="B350" s="23" t="s">
        <v>455</v>
      </c>
      <c r="C350" s="23" t="s">
        <v>250</v>
      </c>
      <c r="D350" s="23" t="s">
        <v>642</v>
      </c>
      <c r="E350" s="26" t="s">
        <v>75</v>
      </c>
      <c r="F350" s="25">
        <v>99113</v>
      </c>
      <c r="G350" s="25">
        <v>0</v>
      </c>
    </row>
    <row r="351" spans="1:8" s="76" customFormat="1" outlineLevel="3" x14ac:dyDescent="0.25">
      <c r="A351" s="45" t="s">
        <v>541</v>
      </c>
      <c r="B351" s="38" t="s">
        <v>455</v>
      </c>
      <c r="C351" s="38" t="s">
        <v>250</v>
      </c>
      <c r="D351" s="38" t="s">
        <v>542</v>
      </c>
      <c r="E351" s="39" t="s">
        <v>6</v>
      </c>
      <c r="F351" s="25">
        <f t="shared" ref="F351:G353" si="22">F352</f>
        <v>4494748.6160000004</v>
      </c>
      <c r="G351" s="25">
        <f t="shared" si="22"/>
        <v>0</v>
      </c>
      <c r="H351" s="75"/>
    </row>
    <row r="352" spans="1:8" ht="101.25" customHeight="1" outlineLevel="3" x14ac:dyDescent="0.25">
      <c r="A352" s="24" t="s">
        <v>521</v>
      </c>
      <c r="B352" s="23" t="s">
        <v>455</v>
      </c>
      <c r="C352" s="23" t="s">
        <v>250</v>
      </c>
      <c r="D352" s="23" t="s">
        <v>543</v>
      </c>
      <c r="E352" s="23" t="s">
        <v>6</v>
      </c>
      <c r="F352" s="25">
        <f t="shared" si="22"/>
        <v>4494748.6160000004</v>
      </c>
      <c r="G352" s="25">
        <f t="shared" si="22"/>
        <v>0</v>
      </c>
    </row>
    <row r="353" spans="1:7" ht="36.700000000000003" outlineLevel="7" x14ac:dyDescent="0.25">
      <c r="A353" s="24" t="s">
        <v>37</v>
      </c>
      <c r="B353" s="23" t="s">
        <v>455</v>
      </c>
      <c r="C353" s="23" t="s">
        <v>250</v>
      </c>
      <c r="D353" s="23" t="s">
        <v>543</v>
      </c>
      <c r="E353" s="23" t="s">
        <v>38</v>
      </c>
      <c r="F353" s="25">
        <f t="shared" si="22"/>
        <v>4494748.6160000004</v>
      </c>
      <c r="G353" s="25">
        <f t="shared" si="22"/>
        <v>0</v>
      </c>
    </row>
    <row r="354" spans="1:7" outlineLevel="7" x14ac:dyDescent="0.25">
      <c r="A354" s="24" t="s">
        <v>74</v>
      </c>
      <c r="B354" s="23" t="s">
        <v>455</v>
      </c>
      <c r="C354" s="23" t="s">
        <v>250</v>
      </c>
      <c r="D354" s="23" t="s">
        <v>543</v>
      </c>
      <c r="E354" s="23" t="s">
        <v>75</v>
      </c>
      <c r="F354" s="25">
        <f>4367650+127098.616</f>
        <v>4494748.6160000004</v>
      </c>
      <c r="G354" s="25">
        <v>0</v>
      </c>
    </row>
    <row r="355" spans="1:7" outlineLevel="7" x14ac:dyDescent="0.25">
      <c r="A355" s="37" t="s">
        <v>79</v>
      </c>
      <c r="B355" s="38" t="s">
        <v>455</v>
      </c>
      <c r="C355" s="38" t="s">
        <v>80</v>
      </c>
      <c r="D355" s="38" t="s">
        <v>126</v>
      </c>
      <c r="E355" s="39" t="s">
        <v>6</v>
      </c>
      <c r="F355" s="28">
        <f>F356+F380</f>
        <v>39865848.490000002</v>
      </c>
      <c r="G355" s="28">
        <f>G356+G380</f>
        <v>38332823.850000001</v>
      </c>
    </row>
    <row r="356" spans="1:7" outlineLevel="7" x14ac:dyDescent="0.25">
      <c r="A356" s="24" t="s">
        <v>81</v>
      </c>
      <c r="B356" s="23" t="s">
        <v>455</v>
      </c>
      <c r="C356" s="23" t="s">
        <v>82</v>
      </c>
      <c r="D356" s="23" t="s">
        <v>126</v>
      </c>
      <c r="E356" s="26" t="s">
        <v>6</v>
      </c>
      <c r="F356" s="25">
        <f>F357</f>
        <v>36253940.93</v>
      </c>
      <c r="G356" s="25">
        <f>G357</f>
        <v>38332823.850000001</v>
      </c>
    </row>
    <row r="357" spans="1:7" ht="55.05" outlineLevel="7" x14ac:dyDescent="0.25">
      <c r="A357" s="37" t="s">
        <v>733</v>
      </c>
      <c r="B357" s="38" t="s">
        <v>455</v>
      </c>
      <c r="C357" s="38" t="s">
        <v>82</v>
      </c>
      <c r="D357" s="38" t="s">
        <v>136</v>
      </c>
      <c r="E357" s="39" t="s">
        <v>6</v>
      </c>
      <c r="F357" s="28">
        <f>F358+F375+F362</f>
        <v>36253940.93</v>
      </c>
      <c r="G357" s="28">
        <f>G358+G375+G362</f>
        <v>38332823.850000001</v>
      </c>
    </row>
    <row r="358" spans="1:7" ht="39.25" customHeight="1" outlineLevel="7" x14ac:dyDescent="0.25">
      <c r="A358" s="24" t="s">
        <v>353</v>
      </c>
      <c r="B358" s="23" t="s">
        <v>455</v>
      </c>
      <c r="C358" s="23" t="s">
        <v>82</v>
      </c>
      <c r="D358" s="23" t="s">
        <v>224</v>
      </c>
      <c r="E358" s="26" t="s">
        <v>6</v>
      </c>
      <c r="F358" s="25">
        <f>F372+F369+F359</f>
        <v>9978834.7300000004</v>
      </c>
      <c r="G358" s="25">
        <f>G372+G369+G359</f>
        <v>10589257.890000001</v>
      </c>
    </row>
    <row r="359" spans="1:7" ht="55.05" outlineLevel="7" x14ac:dyDescent="0.25">
      <c r="A359" s="12" t="s">
        <v>84</v>
      </c>
      <c r="B359" s="23" t="s">
        <v>455</v>
      </c>
      <c r="C359" s="23" t="s">
        <v>82</v>
      </c>
      <c r="D359" s="23" t="s">
        <v>141</v>
      </c>
      <c r="E359" s="26" t="s">
        <v>6</v>
      </c>
      <c r="F359" s="25">
        <f>F360</f>
        <v>9805789.5800000001</v>
      </c>
      <c r="G359" s="25">
        <f>G360</f>
        <v>10416212.74</v>
      </c>
    </row>
    <row r="360" spans="1:7" ht="36.700000000000003" outlineLevel="7" x14ac:dyDescent="0.25">
      <c r="A360" s="24" t="s">
        <v>37</v>
      </c>
      <c r="B360" s="23" t="s">
        <v>455</v>
      </c>
      <c r="C360" s="23" t="s">
        <v>82</v>
      </c>
      <c r="D360" s="23" t="s">
        <v>141</v>
      </c>
      <c r="E360" s="26" t="s">
        <v>38</v>
      </c>
      <c r="F360" s="25">
        <f>F361</f>
        <v>9805789.5800000001</v>
      </c>
      <c r="G360" s="25">
        <f>G361</f>
        <v>10416212.74</v>
      </c>
    </row>
    <row r="361" spans="1:7" outlineLevel="7" x14ac:dyDescent="0.25">
      <c r="A361" s="24" t="s">
        <v>74</v>
      </c>
      <c r="B361" s="23" t="s">
        <v>455</v>
      </c>
      <c r="C361" s="23" t="s">
        <v>82</v>
      </c>
      <c r="D361" s="23" t="s">
        <v>141</v>
      </c>
      <c r="E361" s="26" t="s">
        <v>75</v>
      </c>
      <c r="F361" s="51">
        <v>9805789.5800000001</v>
      </c>
      <c r="G361" s="51">
        <v>10416212.74</v>
      </c>
    </row>
    <row r="362" spans="1:7" ht="36.700000000000003" outlineLevel="7" x14ac:dyDescent="0.25">
      <c r="A362" s="24" t="s">
        <v>612</v>
      </c>
      <c r="B362" s="23" t="s">
        <v>455</v>
      </c>
      <c r="C362" s="23" t="s">
        <v>82</v>
      </c>
      <c r="D362" s="23" t="s">
        <v>611</v>
      </c>
      <c r="E362" s="26" t="s">
        <v>6</v>
      </c>
      <c r="F362" s="25">
        <f>F363+F366</f>
        <v>25737149.199999999</v>
      </c>
      <c r="G362" s="25">
        <f>G363+G366</f>
        <v>26997065.960000001</v>
      </c>
    </row>
    <row r="363" spans="1:7" ht="36.700000000000003" customHeight="1" outlineLevel="3" x14ac:dyDescent="0.25">
      <c r="A363" s="12" t="s">
        <v>84</v>
      </c>
      <c r="B363" s="23" t="s">
        <v>455</v>
      </c>
      <c r="C363" s="23" t="s">
        <v>82</v>
      </c>
      <c r="D363" s="23" t="s">
        <v>610</v>
      </c>
      <c r="E363" s="26" t="s">
        <v>6</v>
      </c>
      <c r="F363" s="25">
        <f>F364</f>
        <v>25737149.199999999</v>
      </c>
      <c r="G363" s="25">
        <f>G364</f>
        <v>26997065.960000001</v>
      </c>
    </row>
    <row r="364" spans="1:7" ht="36.700000000000003" outlineLevel="3" x14ac:dyDescent="0.25">
      <c r="A364" s="24" t="s">
        <v>37</v>
      </c>
      <c r="B364" s="23" t="s">
        <v>455</v>
      </c>
      <c r="C364" s="23" t="s">
        <v>82</v>
      </c>
      <c r="D364" s="23" t="s">
        <v>610</v>
      </c>
      <c r="E364" s="26" t="s">
        <v>38</v>
      </c>
      <c r="F364" s="25">
        <f>F365</f>
        <v>25737149.199999999</v>
      </c>
      <c r="G364" s="25">
        <f>G365</f>
        <v>26997065.960000001</v>
      </c>
    </row>
    <row r="365" spans="1:7" ht="19.7" customHeight="1" outlineLevel="3" x14ac:dyDescent="0.25">
      <c r="A365" s="24" t="s">
        <v>74</v>
      </c>
      <c r="B365" s="23" t="s">
        <v>455</v>
      </c>
      <c r="C365" s="23" t="s">
        <v>82</v>
      </c>
      <c r="D365" s="23" t="s">
        <v>610</v>
      </c>
      <c r="E365" s="26" t="s">
        <v>75</v>
      </c>
      <c r="F365" s="51">
        <v>25737149.199999999</v>
      </c>
      <c r="G365" s="51">
        <v>26997065.960000001</v>
      </c>
    </row>
    <row r="366" spans="1:7" ht="102.6" customHeight="1" outlineLevel="7" x14ac:dyDescent="0.3">
      <c r="A366" s="47" t="s">
        <v>641</v>
      </c>
      <c r="B366" s="23" t="s">
        <v>455</v>
      </c>
      <c r="C366" s="23" t="s">
        <v>82</v>
      </c>
      <c r="D366" s="23" t="s">
        <v>643</v>
      </c>
      <c r="E366" s="26" t="s">
        <v>6</v>
      </c>
      <c r="F366" s="25">
        <f>F367</f>
        <v>0</v>
      </c>
      <c r="G366" s="25">
        <f>G367</f>
        <v>0</v>
      </c>
    </row>
    <row r="367" spans="1:7" ht="31.95" customHeight="1" outlineLevel="5" x14ac:dyDescent="0.25">
      <c r="A367" s="24" t="s">
        <v>37</v>
      </c>
      <c r="B367" s="23" t="s">
        <v>455</v>
      </c>
      <c r="C367" s="23" t="s">
        <v>82</v>
      </c>
      <c r="D367" s="23" t="s">
        <v>643</v>
      </c>
      <c r="E367" s="26" t="s">
        <v>38</v>
      </c>
      <c r="F367" s="25">
        <f>F368</f>
        <v>0</v>
      </c>
      <c r="G367" s="25">
        <f>G368</f>
        <v>0</v>
      </c>
    </row>
    <row r="368" spans="1:7" outlineLevel="6" x14ac:dyDescent="0.3">
      <c r="A368" s="47" t="s">
        <v>74</v>
      </c>
      <c r="B368" s="23" t="s">
        <v>455</v>
      </c>
      <c r="C368" s="23" t="s">
        <v>82</v>
      </c>
      <c r="D368" s="23" t="s">
        <v>643</v>
      </c>
      <c r="E368" s="26" t="s">
        <v>75</v>
      </c>
      <c r="F368" s="51">
        <v>0</v>
      </c>
      <c r="G368" s="51">
        <v>0</v>
      </c>
    </row>
    <row r="369" spans="1:8" ht="91.7" outlineLevel="7" x14ac:dyDescent="0.25">
      <c r="A369" s="31" t="s">
        <v>372</v>
      </c>
      <c r="B369" s="23" t="s">
        <v>455</v>
      </c>
      <c r="C369" s="23" t="s">
        <v>82</v>
      </c>
      <c r="D369" s="23" t="s">
        <v>286</v>
      </c>
      <c r="E369" s="26" t="s">
        <v>6</v>
      </c>
      <c r="F369" s="25">
        <f>F370</f>
        <v>168005</v>
      </c>
      <c r="G369" s="25">
        <f>G370</f>
        <v>168005</v>
      </c>
    </row>
    <row r="370" spans="1:8" ht="36.700000000000003" outlineLevel="7" x14ac:dyDescent="0.25">
      <c r="A370" s="24" t="s">
        <v>37</v>
      </c>
      <c r="B370" s="23" t="s">
        <v>455</v>
      </c>
      <c r="C370" s="23" t="s">
        <v>82</v>
      </c>
      <c r="D370" s="23" t="s">
        <v>286</v>
      </c>
      <c r="E370" s="26" t="s">
        <v>38</v>
      </c>
      <c r="F370" s="25">
        <f>F371</f>
        <v>168005</v>
      </c>
      <c r="G370" s="25">
        <f>G371</f>
        <v>168005</v>
      </c>
    </row>
    <row r="371" spans="1:8" outlineLevel="7" x14ac:dyDescent="0.25">
      <c r="A371" s="24" t="s">
        <v>74</v>
      </c>
      <c r="B371" s="23" t="s">
        <v>455</v>
      </c>
      <c r="C371" s="23" t="s">
        <v>82</v>
      </c>
      <c r="D371" s="23" t="s">
        <v>286</v>
      </c>
      <c r="E371" s="26" t="s">
        <v>75</v>
      </c>
      <c r="F371" s="51">
        <v>168005</v>
      </c>
      <c r="G371" s="51">
        <v>168005</v>
      </c>
    </row>
    <row r="372" spans="1:8" ht="73.400000000000006" outlineLevel="7" x14ac:dyDescent="0.25">
      <c r="A372" s="24" t="s">
        <v>296</v>
      </c>
      <c r="B372" s="23" t="s">
        <v>455</v>
      </c>
      <c r="C372" s="23" t="s">
        <v>82</v>
      </c>
      <c r="D372" s="23" t="s">
        <v>297</v>
      </c>
      <c r="E372" s="26" t="s">
        <v>6</v>
      </c>
      <c r="F372" s="25">
        <f>F373</f>
        <v>5040.1499999999996</v>
      </c>
      <c r="G372" s="25">
        <f>G373</f>
        <v>5040.1499999999996</v>
      </c>
    </row>
    <row r="373" spans="1:8" ht="36.700000000000003" outlineLevel="7" x14ac:dyDescent="0.25">
      <c r="A373" s="24" t="s">
        <v>37</v>
      </c>
      <c r="B373" s="23" t="s">
        <v>455</v>
      </c>
      <c r="C373" s="23" t="s">
        <v>82</v>
      </c>
      <c r="D373" s="23" t="s">
        <v>297</v>
      </c>
      <c r="E373" s="26" t="s">
        <v>38</v>
      </c>
      <c r="F373" s="25">
        <f>F374</f>
        <v>5040.1499999999996</v>
      </c>
      <c r="G373" s="25">
        <f>G374</f>
        <v>5040.1499999999996</v>
      </c>
    </row>
    <row r="374" spans="1:8" outlineLevel="7" x14ac:dyDescent="0.25">
      <c r="A374" s="24" t="s">
        <v>74</v>
      </c>
      <c r="B374" s="23" t="s">
        <v>455</v>
      </c>
      <c r="C374" s="23" t="s">
        <v>82</v>
      </c>
      <c r="D374" s="23" t="s">
        <v>297</v>
      </c>
      <c r="E374" s="26" t="s">
        <v>75</v>
      </c>
      <c r="F374" s="30">
        <v>5040.1499999999996</v>
      </c>
      <c r="G374" s="30">
        <v>5040.1499999999996</v>
      </c>
    </row>
    <row r="375" spans="1:8" ht="36.700000000000003" outlineLevel="7" x14ac:dyDescent="0.25">
      <c r="A375" s="24" t="s">
        <v>208</v>
      </c>
      <c r="B375" s="23" t="s">
        <v>455</v>
      </c>
      <c r="C375" s="23" t="s">
        <v>82</v>
      </c>
      <c r="D375" s="23" t="s">
        <v>226</v>
      </c>
      <c r="E375" s="26" t="s">
        <v>6</v>
      </c>
      <c r="F375" s="30">
        <f>F376</f>
        <v>537957</v>
      </c>
      <c r="G375" s="30">
        <f>G376</f>
        <v>746500</v>
      </c>
    </row>
    <row r="376" spans="1:8" outlineLevel="7" x14ac:dyDescent="0.25">
      <c r="A376" s="24" t="s">
        <v>83</v>
      </c>
      <c r="B376" s="23" t="s">
        <v>455</v>
      </c>
      <c r="C376" s="23" t="s">
        <v>82</v>
      </c>
      <c r="D376" s="23" t="s">
        <v>140</v>
      </c>
      <c r="E376" s="26" t="s">
        <v>6</v>
      </c>
      <c r="F376" s="25">
        <f>F377</f>
        <v>537957</v>
      </c>
      <c r="G376" s="25">
        <f>G377</f>
        <v>746500</v>
      </c>
    </row>
    <row r="377" spans="1:8" s="76" customFormat="1" ht="36.700000000000003" outlineLevel="1" x14ac:dyDescent="0.25">
      <c r="A377" s="24" t="s">
        <v>37</v>
      </c>
      <c r="B377" s="23" t="s">
        <v>455</v>
      </c>
      <c r="C377" s="23" t="s">
        <v>82</v>
      </c>
      <c r="D377" s="23" t="s">
        <v>140</v>
      </c>
      <c r="E377" s="26" t="s">
        <v>38</v>
      </c>
      <c r="F377" s="25">
        <f>F378+F379</f>
        <v>537957</v>
      </c>
      <c r="G377" s="25">
        <f>G378+G379</f>
        <v>746500</v>
      </c>
      <c r="H377" s="75"/>
    </row>
    <row r="378" spans="1:8" outlineLevel="2" x14ac:dyDescent="0.25">
      <c r="A378" s="24" t="s">
        <v>74</v>
      </c>
      <c r="B378" s="23" t="s">
        <v>455</v>
      </c>
      <c r="C378" s="23" t="s">
        <v>82</v>
      </c>
      <c r="D378" s="23" t="s">
        <v>140</v>
      </c>
      <c r="E378" s="26" t="s">
        <v>75</v>
      </c>
      <c r="F378" s="25">
        <f>632500-208543</f>
        <v>423957</v>
      </c>
      <c r="G378" s="25">
        <v>632500</v>
      </c>
    </row>
    <row r="379" spans="1:8" ht="55.55" customHeight="1" outlineLevel="4" x14ac:dyDescent="0.25">
      <c r="A379" s="24" t="s">
        <v>354</v>
      </c>
      <c r="B379" s="23" t="s">
        <v>455</v>
      </c>
      <c r="C379" s="23" t="s">
        <v>82</v>
      </c>
      <c r="D379" s="23" t="s">
        <v>140</v>
      </c>
      <c r="E379" s="26" t="s">
        <v>248</v>
      </c>
      <c r="F379" s="25">
        <v>114000</v>
      </c>
      <c r="G379" s="25">
        <v>114000</v>
      </c>
    </row>
    <row r="380" spans="1:8" ht="35.5" customHeight="1" outlineLevel="5" x14ac:dyDescent="0.25">
      <c r="A380" s="24" t="s">
        <v>476</v>
      </c>
      <c r="B380" s="23" t="s">
        <v>455</v>
      </c>
      <c r="C380" s="23" t="s">
        <v>477</v>
      </c>
      <c r="D380" s="23" t="s">
        <v>126</v>
      </c>
      <c r="E380" s="23" t="s">
        <v>6</v>
      </c>
      <c r="F380" s="25">
        <f>F381+F389</f>
        <v>3611907.56</v>
      </c>
      <c r="G380" s="25">
        <f t="shared" ref="F380:G384" si="23">G381</f>
        <v>0</v>
      </c>
    </row>
    <row r="381" spans="1:8" ht="54.7" customHeight="1" outlineLevel="6" x14ac:dyDescent="0.25">
      <c r="A381" s="24" t="s">
        <v>352</v>
      </c>
      <c r="B381" s="23" t="s">
        <v>455</v>
      </c>
      <c r="C381" s="23" t="s">
        <v>477</v>
      </c>
      <c r="D381" s="23" t="s">
        <v>136</v>
      </c>
      <c r="E381" s="23" t="s">
        <v>6</v>
      </c>
      <c r="F381" s="25">
        <f t="shared" si="23"/>
        <v>208543</v>
      </c>
      <c r="G381" s="25">
        <f t="shared" si="23"/>
        <v>0</v>
      </c>
    </row>
    <row r="382" spans="1:8" ht="41.3" customHeight="1" outlineLevel="7" x14ac:dyDescent="0.25">
      <c r="A382" s="24" t="s">
        <v>208</v>
      </c>
      <c r="B382" s="23" t="s">
        <v>455</v>
      </c>
      <c r="C382" s="23" t="s">
        <v>477</v>
      </c>
      <c r="D382" s="23" t="s">
        <v>226</v>
      </c>
      <c r="E382" s="23" t="s">
        <v>6</v>
      </c>
      <c r="F382" s="25">
        <f>F383+F386</f>
        <v>208543</v>
      </c>
      <c r="G382" s="25">
        <f>G383+G386</f>
        <v>0</v>
      </c>
    </row>
    <row r="383" spans="1:8" ht="87.65" customHeight="1" outlineLevel="7" x14ac:dyDescent="0.25">
      <c r="A383" s="24" t="s">
        <v>753</v>
      </c>
      <c r="B383" s="23" t="s">
        <v>455</v>
      </c>
      <c r="C383" s="23" t="s">
        <v>477</v>
      </c>
      <c r="D383" s="23" t="s">
        <v>752</v>
      </c>
      <c r="E383" s="23" t="s">
        <v>6</v>
      </c>
      <c r="F383" s="25">
        <f t="shared" si="23"/>
        <v>0</v>
      </c>
      <c r="G383" s="25">
        <f t="shared" si="23"/>
        <v>0</v>
      </c>
    </row>
    <row r="384" spans="1:8" s="76" customFormat="1" ht="48.25" customHeight="1" outlineLevel="7" x14ac:dyDescent="0.25">
      <c r="A384" s="24" t="s">
        <v>37</v>
      </c>
      <c r="B384" s="23" t="s">
        <v>455</v>
      </c>
      <c r="C384" s="23" t="s">
        <v>477</v>
      </c>
      <c r="D384" s="23" t="s">
        <v>752</v>
      </c>
      <c r="E384" s="23" t="s">
        <v>38</v>
      </c>
      <c r="F384" s="25">
        <f t="shared" si="23"/>
        <v>0</v>
      </c>
      <c r="G384" s="25">
        <f t="shared" si="23"/>
        <v>0</v>
      </c>
      <c r="H384" s="75"/>
    </row>
    <row r="385" spans="1:8" ht="23.3" customHeight="1" outlineLevel="7" x14ac:dyDescent="0.25">
      <c r="A385" s="24" t="s">
        <v>74</v>
      </c>
      <c r="B385" s="23" t="s">
        <v>455</v>
      </c>
      <c r="C385" s="23" t="s">
        <v>477</v>
      </c>
      <c r="D385" s="23" t="s">
        <v>752</v>
      </c>
      <c r="E385" s="23" t="s">
        <v>75</v>
      </c>
      <c r="F385" s="25">
        <v>0</v>
      </c>
      <c r="G385" s="25"/>
    </row>
    <row r="386" spans="1:8" ht="59.3" customHeight="1" outlineLevel="7" x14ac:dyDescent="0.25">
      <c r="A386" s="24" t="s">
        <v>478</v>
      </c>
      <c r="B386" s="23" t="s">
        <v>455</v>
      </c>
      <c r="C386" s="23" t="s">
        <v>477</v>
      </c>
      <c r="D386" s="23" t="s">
        <v>479</v>
      </c>
      <c r="E386" s="23" t="s">
        <v>6</v>
      </c>
      <c r="F386" s="25">
        <f>F387</f>
        <v>208543</v>
      </c>
      <c r="G386" s="25">
        <f>G387</f>
        <v>0</v>
      </c>
    </row>
    <row r="387" spans="1:8" ht="57.25" customHeight="1" outlineLevel="7" x14ac:dyDescent="0.25">
      <c r="A387" s="24" t="s">
        <v>37</v>
      </c>
      <c r="B387" s="23" t="s">
        <v>455</v>
      </c>
      <c r="C387" s="23" t="s">
        <v>477</v>
      </c>
      <c r="D387" s="23" t="s">
        <v>479</v>
      </c>
      <c r="E387" s="23" t="s">
        <v>38</v>
      </c>
      <c r="F387" s="25">
        <f>F388</f>
        <v>208543</v>
      </c>
      <c r="G387" s="25">
        <f>G388</f>
        <v>0</v>
      </c>
    </row>
    <row r="388" spans="1:8" ht="28.55" customHeight="1" outlineLevel="7" x14ac:dyDescent="0.25">
      <c r="A388" s="24" t="s">
        <v>74</v>
      </c>
      <c r="B388" s="23" t="s">
        <v>455</v>
      </c>
      <c r="C388" s="23" t="s">
        <v>477</v>
      </c>
      <c r="D388" s="23" t="s">
        <v>479</v>
      </c>
      <c r="E388" s="23" t="s">
        <v>75</v>
      </c>
      <c r="F388" s="25">
        <v>208543</v>
      </c>
      <c r="G388" s="25">
        <v>0</v>
      </c>
    </row>
    <row r="389" spans="1:8" ht="62.5" customHeight="1" outlineLevel="7" x14ac:dyDescent="0.25">
      <c r="A389" s="37" t="s">
        <v>741</v>
      </c>
      <c r="B389" s="38" t="s">
        <v>455</v>
      </c>
      <c r="C389" s="38" t="s">
        <v>477</v>
      </c>
      <c r="D389" s="38" t="s">
        <v>319</v>
      </c>
      <c r="E389" s="38" t="s">
        <v>6</v>
      </c>
      <c r="F389" s="25">
        <f>F390</f>
        <v>3403364.56</v>
      </c>
      <c r="G389" s="25">
        <v>0</v>
      </c>
    </row>
    <row r="390" spans="1:8" ht="39.4" customHeight="1" outlineLevel="7" x14ac:dyDescent="0.25">
      <c r="A390" s="24" t="s">
        <v>332</v>
      </c>
      <c r="B390" s="23" t="s">
        <v>455</v>
      </c>
      <c r="C390" s="23" t="s">
        <v>477</v>
      </c>
      <c r="D390" s="23" t="s">
        <v>320</v>
      </c>
      <c r="E390" s="23" t="s">
        <v>6</v>
      </c>
      <c r="F390" s="25">
        <f>F391</f>
        <v>3403364.56</v>
      </c>
      <c r="G390" s="25">
        <v>0</v>
      </c>
    </row>
    <row r="391" spans="1:8" ht="20.25" customHeight="1" outlineLevel="7" x14ac:dyDescent="0.25">
      <c r="A391" s="24" t="s">
        <v>786</v>
      </c>
      <c r="B391" s="23" t="s">
        <v>455</v>
      </c>
      <c r="C391" s="23" t="s">
        <v>477</v>
      </c>
      <c r="D391" s="23" t="s">
        <v>785</v>
      </c>
      <c r="E391" s="23" t="s">
        <v>6</v>
      </c>
      <c r="F391" s="25">
        <f>F392</f>
        <v>3403364.56</v>
      </c>
      <c r="G391" s="25">
        <v>0</v>
      </c>
    </row>
    <row r="392" spans="1:8" ht="20.25" customHeight="1" outlineLevel="7" x14ac:dyDescent="0.25">
      <c r="A392" s="24" t="s">
        <v>15</v>
      </c>
      <c r="B392" s="23" t="s">
        <v>455</v>
      </c>
      <c r="C392" s="23" t="s">
        <v>477</v>
      </c>
      <c r="D392" s="23" t="s">
        <v>785</v>
      </c>
      <c r="E392" s="23" t="s">
        <v>16</v>
      </c>
      <c r="F392" s="25">
        <f>F393</f>
        <v>3403364.56</v>
      </c>
      <c r="G392" s="25">
        <v>0</v>
      </c>
    </row>
    <row r="393" spans="1:8" ht="20.25" customHeight="1" outlineLevel="7" x14ac:dyDescent="0.25">
      <c r="A393" s="24" t="s">
        <v>17</v>
      </c>
      <c r="B393" s="23" t="s">
        <v>455</v>
      </c>
      <c r="C393" s="23" t="s">
        <v>477</v>
      </c>
      <c r="D393" s="23" t="s">
        <v>785</v>
      </c>
      <c r="E393" s="23" t="s">
        <v>18</v>
      </c>
      <c r="F393" s="25">
        <f>3301263.62+102100.94</f>
        <v>3403364.56</v>
      </c>
      <c r="G393" s="25">
        <v>0</v>
      </c>
    </row>
    <row r="394" spans="1:8" outlineLevel="7" x14ac:dyDescent="0.25">
      <c r="A394" s="37" t="s">
        <v>85</v>
      </c>
      <c r="B394" s="38" t="s">
        <v>455</v>
      </c>
      <c r="C394" s="38" t="s">
        <v>86</v>
      </c>
      <c r="D394" s="38" t="s">
        <v>126</v>
      </c>
      <c r="E394" s="39" t="s">
        <v>6</v>
      </c>
      <c r="F394" s="28" t="e">
        <f>F395+F400+F415</f>
        <v>#REF!</v>
      </c>
      <c r="G394" s="28">
        <f>G395+G400+G415</f>
        <v>66246024.810000002</v>
      </c>
    </row>
    <row r="395" spans="1:8" outlineLevel="7" x14ac:dyDescent="0.25">
      <c r="A395" s="24" t="s">
        <v>87</v>
      </c>
      <c r="B395" s="23" t="s">
        <v>455</v>
      </c>
      <c r="C395" s="23" t="s">
        <v>88</v>
      </c>
      <c r="D395" s="23" t="s">
        <v>126</v>
      </c>
      <c r="E395" s="26" t="s">
        <v>6</v>
      </c>
      <c r="F395" s="25">
        <f t="shared" ref="F395:G398" si="24">F396</f>
        <v>5386176</v>
      </c>
      <c r="G395" s="25">
        <f t="shared" si="24"/>
        <v>5386176</v>
      </c>
    </row>
    <row r="396" spans="1:8" ht="36.700000000000003" outlineLevel="7" x14ac:dyDescent="0.25">
      <c r="A396" s="37" t="s">
        <v>132</v>
      </c>
      <c r="B396" s="38" t="s">
        <v>455</v>
      </c>
      <c r="C396" s="38" t="s">
        <v>88</v>
      </c>
      <c r="D396" s="38" t="s">
        <v>127</v>
      </c>
      <c r="E396" s="39" t="s">
        <v>6</v>
      </c>
      <c r="F396" s="28">
        <f t="shared" si="24"/>
        <v>5386176</v>
      </c>
      <c r="G396" s="28">
        <f t="shared" si="24"/>
        <v>5386176</v>
      </c>
    </row>
    <row r="397" spans="1:8" s="76" customFormat="1" ht="26.5" customHeight="1" outlineLevel="7" x14ac:dyDescent="0.25">
      <c r="A397" s="24" t="s">
        <v>89</v>
      </c>
      <c r="B397" s="23" t="s">
        <v>455</v>
      </c>
      <c r="C397" s="23" t="s">
        <v>88</v>
      </c>
      <c r="D397" s="23" t="s">
        <v>142</v>
      </c>
      <c r="E397" s="26" t="s">
        <v>6</v>
      </c>
      <c r="F397" s="25">
        <f t="shared" si="24"/>
        <v>5386176</v>
      </c>
      <c r="G397" s="25">
        <f t="shared" si="24"/>
        <v>5386176</v>
      </c>
      <c r="H397" s="75"/>
    </row>
    <row r="398" spans="1:8" ht="25.5" customHeight="1" outlineLevel="7" x14ac:dyDescent="0.25">
      <c r="A398" s="24" t="s">
        <v>90</v>
      </c>
      <c r="B398" s="23" t="s">
        <v>455</v>
      </c>
      <c r="C398" s="23" t="s">
        <v>88</v>
      </c>
      <c r="D398" s="23" t="s">
        <v>142</v>
      </c>
      <c r="E398" s="26" t="s">
        <v>91</v>
      </c>
      <c r="F398" s="25">
        <f t="shared" si="24"/>
        <v>5386176</v>
      </c>
      <c r="G398" s="25">
        <f t="shared" si="24"/>
        <v>5386176</v>
      </c>
    </row>
    <row r="399" spans="1:8" ht="36.700000000000003" outlineLevel="7" x14ac:dyDescent="0.25">
      <c r="A399" s="24" t="s">
        <v>92</v>
      </c>
      <c r="B399" s="23" t="s">
        <v>455</v>
      </c>
      <c r="C399" s="23" t="s">
        <v>88</v>
      </c>
      <c r="D399" s="23" t="s">
        <v>142</v>
      </c>
      <c r="E399" s="26" t="s">
        <v>93</v>
      </c>
      <c r="F399" s="51">
        <v>5386176</v>
      </c>
      <c r="G399" s="51">
        <v>5386176</v>
      </c>
    </row>
    <row r="400" spans="1:8" outlineLevel="7" x14ac:dyDescent="0.25">
      <c r="A400" s="24" t="s">
        <v>94</v>
      </c>
      <c r="B400" s="23" t="s">
        <v>455</v>
      </c>
      <c r="C400" s="23" t="s">
        <v>95</v>
      </c>
      <c r="D400" s="23" t="s">
        <v>126</v>
      </c>
      <c r="E400" s="26" t="s">
        <v>6</v>
      </c>
      <c r="F400" s="25" t="e">
        <f>F401+F411+F406</f>
        <v>#REF!</v>
      </c>
      <c r="G400" s="25">
        <f>G401+G411+G406</f>
        <v>1030535.6699999999</v>
      </c>
    </row>
    <row r="401" spans="1:7" ht="55.05" outlineLevel="7" x14ac:dyDescent="0.25">
      <c r="A401" s="37" t="s">
        <v>801</v>
      </c>
      <c r="B401" s="23" t="s">
        <v>455</v>
      </c>
      <c r="C401" s="38" t="s">
        <v>95</v>
      </c>
      <c r="D401" s="38" t="s">
        <v>129</v>
      </c>
      <c r="E401" s="39" t="s">
        <v>6</v>
      </c>
      <c r="F401" s="28">
        <f t="shared" ref="F401:G404" si="25">F402</f>
        <v>150000</v>
      </c>
      <c r="G401" s="28">
        <f t="shared" si="25"/>
        <v>150000</v>
      </c>
    </row>
    <row r="402" spans="1:7" ht="44.5" customHeight="1" outlineLevel="7" x14ac:dyDescent="0.25">
      <c r="A402" s="24" t="s">
        <v>355</v>
      </c>
      <c r="B402" s="23" t="s">
        <v>455</v>
      </c>
      <c r="C402" s="23" t="s">
        <v>95</v>
      </c>
      <c r="D402" s="23" t="s">
        <v>404</v>
      </c>
      <c r="E402" s="26" t="s">
        <v>6</v>
      </c>
      <c r="F402" s="25">
        <f t="shared" si="25"/>
        <v>150000</v>
      </c>
      <c r="G402" s="25">
        <f t="shared" si="25"/>
        <v>150000</v>
      </c>
    </row>
    <row r="403" spans="1:7" ht="36.700000000000003" outlineLevel="7" x14ac:dyDescent="0.25">
      <c r="A403" s="24" t="s">
        <v>99</v>
      </c>
      <c r="B403" s="23" t="s">
        <v>455</v>
      </c>
      <c r="C403" s="23" t="s">
        <v>95</v>
      </c>
      <c r="D403" s="23" t="s">
        <v>388</v>
      </c>
      <c r="E403" s="26" t="s">
        <v>6</v>
      </c>
      <c r="F403" s="25">
        <f t="shared" si="25"/>
        <v>150000</v>
      </c>
      <c r="G403" s="25">
        <f t="shared" si="25"/>
        <v>150000</v>
      </c>
    </row>
    <row r="404" spans="1:7" outlineLevel="7" x14ac:dyDescent="0.25">
      <c r="A404" s="24" t="s">
        <v>90</v>
      </c>
      <c r="B404" s="23" t="s">
        <v>455</v>
      </c>
      <c r="C404" s="23" t="s">
        <v>95</v>
      </c>
      <c r="D404" s="23" t="s">
        <v>388</v>
      </c>
      <c r="E404" s="26" t="s">
        <v>91</v>
      </c>
      <c r="F404" s="25">
        <f t="shared" si="25"/>
        <v>150000</v>
      </c>
      <c r="G404" s="25">
        <f t="shared" si="25"/>
        <v>150000</v>
      </c>
    </row>
    <row r="405" spans="1:7" ht="36.700000000000003" outlineLevel="7" x14ac:dyDescent="0.25">
      <c r="A405" s="24" t="s">
        <v>97</v>
      </c>
      <c r="B405" s="23" t="s">
        <v>455</v>
      </c>
      <c r="C405" s="23" t="s">
        <v>95</v>
      </c>
      <c r="D405" s="23" t="s">
        <v>388</v>
      </c>
      <c r="E405" s="26" t="s">
        <v>98</v>
      </c>
      <c r="F405" s="51">
        <v>150000</v>
      </c>
      <c r="G405" s="51">
        <v>150000</v>
      </c>
    </row>
    <row r="406" spans="1:7" ht="55.05" outlineLevel="1" x14ac:dyDescent="0.25">
      <c r="A406" s="37" t="s">
        <v>749</v>
      </c>
      <c r="B406" s="23" t="s">
        <v>455</v>
      </c>
      <c r="C406" s="38" t="s">
        <v>95</v>
      </c>
      <c r="D406" s="38" t="s">
        <v>356</v>
      </c>
      <c r="E406" s="39" t="s">
        <v>6</v>
      </c>
      <c r="F406" s="46">
        <f t="shared" ref="F406:G409" si="26">F407</f>
        <v>735609.95000000007</v>
      </c>
      <c r="G406" s="46">
        <f t="shared" si="26"/>
        <v>780535.66999999993</v>
      </c>
    </row>
    <row r="407" spans="1:7" ht="62.5" customHeight="1" outlineLevel="1" x14ac:dyDescent="0.25">
      <c r="A407" s="24" t="s">
        <v>373</v>
      </c>
      <c r="B407" s="23" t="s">
        <v>455</v>
      </c>
      <c r="C407" s="23" t="s">
        <v>95</v>
      </c>
      <c r="D407" s="23" t="s">
        <v>357</v>
      </c>
      <c r="E407" s="26" t="s">
        <v>6</v>
      </c>
      <c r="F407" s="30">
        <f t="shared" si="26"/>
        <v>735609.95000000007</v>
      </c>
      <c r="G407" s="30">
        <f t="shared" si="26"/>
        <v>780535.66999999993</v>
      </c>
    </row>
    <row r="408" spans="1:7" ht="36.700000000000003" outlineLevel="1" x14ac:dyDescent="0.25">
      <c r="A408" s="24" t="s">
        <v>96</v>
      </c>
      <c r="B408" s="23" t="s">
        <v>455</v>
      </c>
      <c r="C408" s="23" t="s">
        <v>95</v>
      </c>
      <c r="D408" s="23" t="s">
        <v>358</v>
      </c>
      <c r="E408" s="26" t="s">
        <v>6</v>
      </c>
      <c r="F408" s="25">
        <f t="shared" si="26"/>
        <v>735609.95000000007</v>
      </c>
      <c r="G408" s="25">
        <f t="shared" si="26"/>
        <v>780535.66999999993</v>
      </c>
    </row>
    <row r="409" spans="1:7" outlineLevel="1" x14ac:dyDescent="0.25">
      <c r="A409" s="24" t="s">
        <v>90</v>
      </c>
      <c r="B409" s="23" t="s">
        <v>455</v>
      </c>
      <c r="C409" s="23" t="s">
        <v>95</v>
      </c>
      <c r="D409" s="23" t="s">
        <v>358</v>
      </c>
      <c r="E409" s="26" t="s">
        <v>91</v>
      </c>
      <c r="F409" s="30">
        <f t="shared" si="26"/>
        <v>735609.95000000007</v>
      </c>
      <c r="G409" s="30">
        <f t="shared" si="26"/>
        <v>780535.66999999993</v>
      </c>
    </row>
    <row r="410" spans="1:7" ht="36.700000000000003" outlineLevel="1" x14ac:dyDescent="0.25">
      <c r="A410" s="24" t="s">
        <v>97</v>
      </c>
      <c r="B410" s="23" t="s">
        <v>455</v>
      </c>
      <c r="C410" s="23" t="s">
        <v>95</v>
      </c>
      <c r="D410" s="23" t="s">
        <v>358</v>
      </c>
      <c r="E410" s="26" t="s">
        <v>98</v>
      </c>
      <c r="F410" s="25">
        <f>628827.65+173500-66717.7</f>
        <v>735609.95000000007</v>
      </c>
      <c r="G410" s="25">
        <f>686133.22+173500-79097.55</f>
        <v>780535.66999999993</v>
      </c>
    </row>
    <row r="411" spans="1:7" ht="36.700000000000003" outlineLevel="1" x14ac:dyDescent="0.25">
      <c r="A411" s="37" t="s">
        <v>132</v>
      </c>
      <c r="B411" s="38" t="s">
        <v>455</v>
      </c>
      <c r="C411" s="38" t="s">
        <v>95</v>
      </c>
      <c r="D411" s="38" t="s">
        <v>127</v>
      </c>
      <c r="E411" s="39" t="s">
        <v>6</v>
      </c>
      <c r="F411" s="46" t="e">
        <f t="shared" ref="F411:G413" si="27">F412</f>
        <v>#REF!</v>
      </c>
      <c r="G411" s="46">
        <f t="shared" si="27"/>
        <v>100000</v>
      </c>
    </row>
    <row r="412" spans="1:7" ht="36.700000000000003" outlineLevel="1" x14ac:dyDescent="0.25">
      <c r="A412" s="24" t="s">
        <v>480</v>
      </c>
      <c r="B412" s="23" t="s">
        <v>455</v>
      </c>
      <c r="C412" s="23" t="s">
        <v>95</v>
      </c>
      <c r="D412" s="23" t="s">
        <v>493</v>
      </c>
      <c r="E412" s="26" t="s">
        <v>6</v>
      </c>
      <c r="F412" s="30" t="e">
        <f t="shared" si="27"/>
        <v>#REF!</v>
      </c>
      <c r="G412" s="30">
        <f t="shared" si="27"/>
        <v>100000</v>
      </c>
    </row>
    <row r="413" spans="1:7" outlineLevel="1" x14ac:dyDescent="0.25">
      <c r="A413" s="24" t="s">
        <v>90</v>
      </c>
      <c r="B413" s="23" t="s">
        <v>455</v>
      </c>
      <c r="C413" s="23" t="s">
        <v>95</v>
      </c>
      <c r="D413" s="23" t="s">
        <v>493</v>
      </c>
      <c r="E413" s="26" t="s">
        <v>91</v>
      </c>
      <c r="F413" s="30" t="e">
        <f t="shared" si="27"/>
        <v>#REF!</v>
      </c>
      <c r="G413" s="30">
        <f t="shared" si="27"/>
        <v>100000</v>
      </c>
    </row>
    <row r="414" spans="1:7" ht="20.25" customHeight="1" outlineLevel="1" x14ac:dyDescent="0.25">
      <c r="A414" s="24" t="s">
        <v>298</v>
      </c>
      <c r="B414" s="23" t="s">
        <v>455</v>
      </c>
      <c r="C414" s="23" t="s">
        <v>95</v>
      </c>
      <c r="D414" s="23" t="s">
        <v>493</v>
      </c>
      <c r="E414" s="26" t="s">
        <v>299</v>
      </c>
      <c r="F414" s="25" t="e">
        <f>#REF!</f>
        <v>#REF!</v>
      </c>
      <c r="G414" s="25">
        <v>100000</v>
      </c>
    </row>
    <row r="415" spans="1:7" outlineLevel="1" x14ac:dyDescent="0.25">
      <c r="A415" s="24" t="s">
        <v>123</v>
      </c>
      <c r="B415" s="23" t="s">
        <v>455</v>
      </c>
      <c r="C415" s="23" t="s">
        <v>124</v>
      </c>
      <c r="D415" s="23" t="s">
        <v>126</v>
      </c>
      <c r="E415" s="26" t="s">
        <v>6</v>
      </c>
      <c r="F415" s="30">
        <f>F416</f>
        <v>59124839</v>
      </c>
      <c r="G415" s="30">
        <f>G416</f>
        <v>59829313.140000001</v>
      </c>
    </row>
    <row r="416" spans="1:7" ht="36.700000000000003" outlineLevel="1" x14ac:dyDescent="0.25">
      <c r="A416" s="37" t="s">
        <v>132</v>
      </c>
      <c r="B416" s="38" t="s">
        <v>455</v>
      </c>
      <c r="C416" s="38" t="s">
        <v>124</v>
      </c>
      <c r="D416" s="38" t="s">
        <v>127</v>
      </c>
      <c r="E416" s="39" t="s">
        <v>6</v>
      </c>
      <c r="F416" s="46">
        <f>F417</f>
        <v>59124839</v>
      </c>
      <c r="G416" s="46">
        <f>G417</f>
        <v>59829313.140000001</v>
      </c>
    </row>
    <row r="417" spans="1:8" outlineLevel="1" x14ac:dyDescent="0.25">
      <c r="A417" s="24" t="s">
        <v>269</v>
      </c>
      <c r="B417" s="23" t="s">
        <v>455</v>
      </c>
      <c r="C417" s="23" t="s">
        <v>124</v>
      </c>
      <c r="D417" s="23" t="s">
        <v>268</v>
      </c>
      <c r="E417" s="26" t="s">
        <v>6</v>
      </c>
      <c r="F417" s="30">
        <f>F430+F418+F421+F427+F433</f>
        <v>59124839</v>
      </c>
      <c r="G417" s="30">
        <f>G430+G418+G421+G427+G433</f>
        <v>59829313.140000001</v>
      </c>
    </row>
    <row r="418" spans="1:8" ht="95.3" customHeight="1" outlineLevel="1" x14ac:dyDescent="0.25">
      <c r="A418" s="24" t="s">
        <v>396</v>
      </c>
      <c r="B418" s="23" t="s">
        <v>455</v>
      </c>
      <c r="C418" s="23" t="s">
        <v>124</v>
      </c>
      <c r="D418" s="23" t="s">
        <v>397</v>
      </c>
      <c r="E418" s="26" t="s">
        <v>6</v>
      </c>
      <c r="F418" s="25">
        <f>F419</f>
        <v>0</v>
      </c>
      <c r="G418" s="25">
        <f>G419</f>
        <v>0</v>
      </c>
    </row>
    <row r="419" spans="1:8" outlineLevel="1" x14ac:dyDescent="0.25">
      <c r="A419" s="24" t="s">
        <v>90</v>
      </c>
      <c r="B419" s="23" t="s">
        <v>455</v>
      </c>
      <c r="C419" s="23" t="s">
        <v>124</v>
      </c>
      <c r="D419" s="23" t="s">
        <v>397</v>
      </c>
      <c r="E419" s="26" t="s">
        <v>91</v>
      </c>
      <c r="F419" s="25">
        <f>F420</f>
        <v>0</v>
      </c>
      <c r="G419" s="25">
        <f>G420</f>
        <v>0</v>
      </c>
    </row>
    <row r="420" spans="1:8" ht="36.700000000000003" outlineLevel="1" x14ac:dyDescent="0.25">
      <c r="A420" s="24" t="s">
        <v>92</v>
      </c>
      <c r="B420" s="23" t="s">
        <v>455</v>
      </c>
      <c r="C420" s="23" t="s">
        <v>124</v>
      </c>
      <c r="D420" s="23" t="s">
        <v>397</v>
      </c>
      <c r="E420" s="26" t="s">
        <v>93</v>
      </c>
      <c r="F420" s="25">
        <f>1325680.27-1325680.27</f>
        <v>0</v>
      </c>
      <c r="G420" s="25">
        <f>1378706.84-1378706.84</f>
        <v>0</v>
      </c>
    </row>
    <row r="421" spans="1:8" s="76" customFormat="1" ht="110.05" outlineLevel="1" x14ac:dyDescent="0.25">
      <c r="A421" s="31" t="s">
        <v>398</v>
      </c>
      <c r="B421" s="23" t="s">
        <v>455</v>
      </c>
      <c r="C421" s="23" t="s">
        <v>124</v>
      </c>
      <c r="D421" s="23" t="s">
        <v>399</v>
      </c>
      <c r="E421" s="26" t="s">
        <v>6</v>
      </c>
      <c r="F421" s="25">
        <f>F422+F424</f>
        <v>22604954.34</v>
      </c>
      <c r="G421" s="25">
        <f>G422+G424</f>
        <v>23309428.48</v>
      </c>
      <c r="H421" s="75"/>
    </row>
    <row r="422" spans="1:8" ht="36.700000000000003" outlineLevel="1" x14ac:dyDescent="0.25">
      <c r="A422" s="24" t="s">
        <v>15</v>
      </c>
      <c r="B422" s="23" t="s">
        <v>455</v>
      </c>
      <c r="C422" s="23" t="s">
        <v>124</v>
      </c>
      <c r="D422" s="23" t="s">
        <v>399</v>
      </c>
      <c r="E422" s="26" t="s">
        <v>16</v>
      </c>
      <c r="F422" s="25">
        <f>F423</f>
        <v>130000</v>
      </c>
      <c r="G422" s="25">
        <f>G423</f>
        <v>130000</v>
      </c>
    </row>
    <row r="423" spans="1:8" s="76" customFormat="1" ht="37.549999999999997" customHeight="1" outlineLevel="1" x14ac:dyDescent="0.25">
      <c r="A423" s="24" t="s">
        <v>17</v>
      </c>
      <c r="B423" s="23" t="s">
        <v>455</v>
      </c>
      <c r="C423" s="23" t="s">
        <v>124</v>
      </c>
      <c r="D423" s="23" t="s">
        <v>399</v>
      </c>
      <c r="E423" s="26" t="s">
        <v>18</v>
      </c>
      <c r="F423" s="25">
        <v>130000</v>
      </c>
      <c r="G423" s="25">
        <v>130000</v>
      </c>
      <c r="H423" s="75"/>
    </row>
    <row r="424" spans="1:8" outlineLevel="1" x14ac:dyDescent="0.25">
      <c r="A424" s="24" t="s">
        <v>90</v>
      </c>
      <c r="B424" s="23" t="s">
        <v>455</v>
      </c>
      <c r="C424" s="23" t="s">
        <v>124</v>
      </c>
      <c r="D424" s="23" t="s">
        <v>399</v>
      </c>
      <c r="E424" s="26" t="s">
        <v>91</v>
      </c>
      <c r="F424" s="25">
        <f>F425+F426</f>
        <v>22474954.34</v>
      </c>
      <c r="G424" s="25">
        <f>G425+G426</f>
        <v>23179428.48</v>
      </c>
    </row>
    <row r="425" spans="1:8" ht="21.25" customHeight="1" outlineLevel="1" x14ac:dyDescent="0.25">
      <c r="A425" s="24" t="s">
        <v>92</v>
      </c>
      <c r="B425" s="23" t="s">
        <v>455</v>
      </c>
      <c r="C425" s="23" t="s">
        <v>124</v>
      </c>
      <c r="D425" s="23" t="s">
        <v>399</v>
      </c>
      <c r="E425" s="26" t="s">
        <v>93</v>
      </c>
      <c r="F425" s="25">
        <v>20474954.34</v>
      </c>
      <c r="G425" s="25">
        <v>21179428.48</v>
      </c>
    </row>
    <row r="426" spans="1:8" ht="35.5" customHeight="1" outlineLevel="1" x14ac:dyDescent="0.25">
      <c r="A426" s="24" t="s">
        <v>97</v>
      </c>
      <c r="B426" s="23" t="s">
        <v>455</v>
      </c>
      <c r="C426" s="23" t="s">
        <v>124</v>
      </c>
      <c r="D426" s="23" t="s">
        <v>399</v>
      </c>
      <c r="E426" s="26" t="s">
        <v>98</v>
      </c>
      <c r="F426" s="25">
        <v>2000000</v>
      </c>
      <c r="G426" s="25">
        <v>2000000</v>
      </c>
    </row>
    <row r="427" spans="1:8" ht="0.7" customHeight="1" outlineLevel="1" x14ac:dyDescent="0.25">
      <c r="A427" s="31" t="s">
        <v>679</v>
      </c>
      <c r="B427" s="23" t="s">
        <v>455</v>
      </c>
      <c r="C427" s="23" t="s">
        <v>124</v>
      </c>
      <c r="D427" s="23" t="s">
        <v>287</v>
      </c>
      <c r="E427" s="26" t="s">
        <v>6</v>
      </c>
      <c r="F427" s="25">
        <f>F428</f>
        <v>0</v>
      </c>
      <c r="G427" s="25">
        <f>G428</f>
        <v>0</v>
      </c>
    </row>
    <row r="428" spans="1:8" ht="18" customHeight="1" outlineLevel="1" x14ac:dyDescent="0.25">
      <c r="A428" s="24" t="s">
        <v>258</v>
      </c>
      <c r="B428" s="23" t="s">
        <v>455</v>
      </c>
      <c r="C428" s="23" t="s">
        <v>124</v>
      </c>
      <c r="D428" s="23" t="s">
        <v>287</v>
      </c>
      <c r="E428" s="26" t="s">
        <v>259</v>
      </c>
      <c r="F428" s="25">
        <f>F429</f>
        <v>0</v>
      </c>
      <c r="G428" s="25">
        <f>G429</f>
        <v>0</v>
      </c>
    </row>
    <row r="429" spans="1:8" ht="18" customHeight="1" outlineLevel="1" x14ac:dyDescent="0.25">
      <c r="A429" s="24" t="s">
        <v>260</v>
      </c>
      <c r="B429" s="23" t="s">
        <v>455</v>
      </c>
      <c r="C429" s="23" t="s">
        <v>124</v>
      </c>
      <c r="D429" s="23" t="s">
        <v>287</v>
      </c>
      <c r="E429" s="26" t="s">
        <v>261</v>
      </c>
      <c r="F429" s="25">
        <v>0</v>
      </c>
      <c r="G429" s="25">
        <v>0</v>
      </c>
    </row>
    <row r="430" spans="1:8" ht="115.5" customHeight="1" outlineLevel="1" x14ac:dyDescent="0.25">
      <c r="A430" s="31" t="s">
        <v>593</v>
      </c>
      <c r="B430" s="23" t="s">
        <v>455</v>
      </c>
      <c r="C430" s="23" t="s">
        <v>124</v>
      </c>
      <c r="D430" s="23" t="s">
        <v>287</v>
      </c>
      <c r="E430" s="26" t="s">
        <v>6</v>
      </c>
      <c r="F430" s="30">
        <f>F431</f>
        <v>20305313.620000001</v>
      </c>
      <c r="G430" s="30">
        <f>G431</f>
        <v>20305313.620000001</v>
      </c>
    </row>
    <row r="431" spans="1:8" ht="55.05" outlineLevel="1" x14ac:dyDescent="0.25">
      <c r="A431" s="24" t="s">
        <v>258</v>
      </c>
      <c r="B431" s="23" t="s">
        <v>455</v>
      </c>
      <c r="C431" s="23" t="s">
        <v>124</v>
      </c>
      <c r="D431" s="23" t="s">
        <v>287</v>
      </c>
      <c r="E431" s="26" t="s">
        <v>259</v>
      </c>
      <c r="F431" s="30">
        <f>F432</f>
        <v>20305313.620000001</v>
      </c>
      <c r="G431" s="30">
        <f>G432</f>
        <v>20305313.620000001</v>
      </c>
    </row>
    <row r="432" spans="1:8" outlineLevel="1" x14ac:dyDescent="0.25">
      <c r="A432" s="24" t="s">
        <v>260</v>
      </c>
      <c r="B432" s="23" t="s">
        <v>455</v>
      </c>
      <c r="C432" s="23" t="s">
        <v>124</v>
      </c>
      <c r="D432" s="23" t="s">
        <v>287</v>
      </c>
      <c r="E432" s="26" t="s">
        <v>261</v>
      </c>
      <c r="F432" s="25">
        <v>20305313.620000001</v>
      </c>
      <c r="G432" s="25">
        <v>20305313.620000001</v>
      </c>
    </row>
    <row r="433" spans="1:8" ht="101.25" customHeight="1" outlineLevel="1" x14ac:dyDescent="0.25">
      <c r="A433" s="31" t="s">
        <v>678</v>
      </c>
      <c r="B433" s="23" t="s">
        <v>455</v>
      </c>
      <c r="C433" s="23" t="s">
        <v>124</v>
      </c>
      <c r="D433" s="23" t="s">
        <v>699</v>
      </c>
      <c r="E433" s="26" t="s">
        <v>6</v>
      </c>
      <c r="F433" s="25">
        <f>F434</f>
        <v>16214571.039999999</v>
      </c>
      <c r="G433" s="25">
        <f>G434</f>
        <v>16214571.039999999</v>
      </c>
    </row>
    <row r="434" spans="1:8" ht="55.05" outlineLevel="1" x14ac:dyDescent="0.25">
      <c r="A434" s="24" t="s">
        <v>258</v>
      </c>
      <c r="B434" s="23" t="s">
        <v>455</v>
      </c>
      <c r="C434" s="23" t="s">
        <v>124</v>
      </c>
      <c r="D434" s="23" t="s">
        <v>699</v>
      </c>
      <c r="E434" s="26" t="s">
        <v>259</v>
      </c>
      <c r="F434" s="25">
        <f>F435</f>
        <v>16214571.039999999</v>
      </c>
      <c r="G434" s="25">
        <f>G435</f>
        <v>16214571.039999999</v>
      </c>
    </row>
    <row r="435" spans="1:8" outlineLevel="1" x14ac:dyDescent="0.25">
      <c r="A435" s="24" t="s">
        <v>260</v>
      </c>
      <c r="B435" s="23" t="s">
        <v>455</v>
      </c>
      <c r="C435" s="23" t="s">
        <v>124</v>
      </c>
      <c r="D435" s="23" t="s">
        <v>699</v>
      </c>
      <c r="E435" s="26" t="s">
        <v>261</v>
      </c>
      <c r="F435" s="25">
        <v>16214571.039999999</v>
      </c>
      <c r="G435" s="25">
        <v>16214571.039999999</v>
      </c>
    </row>
    <row r="436" spans="1:8" outlineLevel="1" x14ac:dyDescent="0.25">
      <c r="A436" s="37" t="s">
        <v>100</v>
      </c>
      <c r="B436" s="38" t="s">
        <v>455</v>
      </c>
      <c r="C436" s="38" t="s">
        <v>101</v>
      </c>
      <c r="D436" s="38" t="s">
        <v>126</v>
      </c>
      <c r="E436" s="39" t="s">
        <v>6</v>
      </c>
      <c r="F436" s="46">
        <f>F437</f>
        <v>1973229.4</v>
      </c>
      <c r="G436" s="46">
        <f>G437</f>
        <v>1035459.8</v>
      </c>
    </row>
    <row r="437" spans="1:8" ht="22.75" customHeight="1" outlineLevel="1" x14ac:dyDescent="0.25">
      <c r="A437" s="24" t="s">
        <v>291</v>
      </c>
      <c r="B437" s="23" t="s">
        <v>455</v>
      </c>
      <c r="C437" s="23" t="s">
        <v>290</v>
      </c>
      <c r="D437" s="23" t="s">
        <v>126</v>
      </c>
      <c r="E437" s="26" t="s">
        <v>6</v>
      </c>
      <c r="F437" s="30">
        <f>F438+F458</f>
        <v>1973229.4</v>
      </c>
      <c r="G437" s="30">
        <f>G438+G458</f>
        <v>1035459.8</v>
      </c>
    </row>
    <row r="438" spans="1:8" ht="20.25" customHeight="1" outlineLevel="1" x14ac:dyDescent="0.25">
      <c r="A438" s="37" t="s">
        <v>359</v>
      </c>
      <c r="B438" s="38" t="s">
        <v>455</v>
      </c>
      <c r="C438" s="38" t="s">
        <v>290</v>
      </c>
      <c r="D438" s="38" t="s">
        <v>198</v>
      </c>
      <c r="E438" s="39" t="s">
        <v>6</v>
      </c>
      <c r="F438" s="46">
        <f>F439+F445</f>
        <v>1923229.4</v>
      </c>
      <c r="G438" s="46">
        <f>G439+G445</f>
        <v>985459.8</v>
      </c>
    </row>
    <row r="439" spans="1:8" ht="55.05" outlineLevel="1" x14ac:dyDescent="0.25">
      <c r="A439" s="24" t="s">
        <v>210</v>
      </c>
      <c r="B439" s="23" t="s">
        <v>455</v>
      </c>
      <c r="C439" s="23" t="s">
        <v>290</v>
      </c>
      <c r="D439" s="23" t="s">
        <v>227</v>
      </c>
      <c r="E439" s="26" t="s">
        <v>6</v>
      </c>
      <c r="F439" s="30">
        <f>F440</f>
        <v>661000</v>
      </c>
      <c r="G439" s="30">
        <f>G440</f>
        <v>661000</v>
      </c>
    </row>
    <row r="440" spans="1:8" ht="20.25" customHeight="1" outlineLevel="1" x14ac:dyDescent="0.25">
      <c r="A440" s="24" t="s">
        <v>102</v>
      </c>
      <c r="B440" s="23" t="s">
        <v>455</v>
      </c>
      <c r="C440" s="23" t="s">
        <v>290</v>
      </c>
      <c r="D440" s="23" t="s">
        <v>199</v>
      </c>
      <c r="E440" s="26" t="s">
        <v>6</v>
      </c>
      <c r="F440" s="30">
        <f>F441+F443</f>
        <v>661000</v>
      </c>
      <c r="G440" s="30">
        <f>G441+G443</f>
        <v>661000</v>
      </c>
    </row>
    <row r="441" spans="1:8" ht="21.25" customHeight="1" outlineLevel="1" x14ac:dyDescent="0.25">
      <c r="A441" s="24" t="s">
        <v>15</v>
      </c>
      <c r="B441" s="23" t="s">
        <v>455</v>
      </c>
      <c r="C441" s="23" t="s">
        <v>290</v>
      </c>
      <c r="D441" s="23" t="s">
        <v>199</v>
      </c>
      <c r="E441" s="26" t="s">
        <v>16</v>
      </c>
      <c r="F441" s="30">
        <f>F442</f>
        <v>631000</v>
      </c>
      <c r="G441" s="30">
        <f>G442</f>
        <v>631000</v>
      </c>
    </row>
    <row r="442" spans="1:8" s="76" customFormat="1" ht="36.700000000000003" outlineLevel="1" x14ac:dyDescent="0.25">
      <c r="A442" s="24" t="s">
        <v>17</v>
      </c>
      <c r="B442" s="23" t="s">
        <v>455</v>
      </c>
      <c r="C442" s="23" t="s">
        <v>290</v>
      </c>
      <c r="D442" s="23" t="s">
        <v>199</v>
      </c>
      <c r="E442" s="26" t="s">
        <v>18</v>
      </c>
      <c r="F442" s="51">
        <v>631000</v>
      </c>
      <c r="G442" s="51">
        <v>631000</v>
      </c>
      <c r="H442" s="75"/>
    </row>
    <row r="443" spans="1:8" ht="24.8" customHeight="1" outlineLevel="2" x14ac:dyDescent="0.25">
      <c r="A443" s="24" t="s">
        <v>265</v>
      </c>
      <c r="B443" s="23" t="s">
        <v>455</v>
      </c>
      <c r="C443" s="23" t="s">
        <v>290</v>
      </c>
      <c r="D443" s="23" t="s">
        <v>199</v>
      </c>
      <c r="E443" s="26" t="s">
        <v>20</v>
      </c>
      <c r="F443" s="30">
        <f>F444</f>
        <v>30000</v>
      </c>
      <c r="G443" s="30">
        <f>G444</f>
        <v>30000</v>
      </c>
    </row>
    <row r="444" spans="1:8" s="76" customFormat="1" ht="27.7" customHeight="1" outlineLevel="3" x14ac:dyDescent="0.25">
      <c r="A444" s="24" t="s">
        <v>266</v>
      </c>
      <c r="B444" s="23" t="s">
        <v>455</v>
      </c>
      <c r="C444" s="23" t="s">
        <v>290</v>
      </c>
      <c r="D444" s="23" t="s">
        <v>199</v>
      </c>
      <c r="E444" s="26" t="s">
        <v>22</v>
      </c>
      <c r="F444" s="30">
        <v>30000</v>
      </c>
      <c r="G444" s="30">
        <v>30000</v>
      </c>
      <c r="H444" s="75"/>
    </row>
    <row r="445" spans="1:8" ht="27.7" customHeight="1" outlineLevel="4" x14ac:dyDescent="0.25">
      <c r="A445" s="24" t="s">
        <v>360</v>
      </c>
      <c r="B445" s="23" t="s">
        <v>455</v>
      </c>
      <c r="C445" s="23" t="s">
        <v>290</v>
      </c>
      <c r="D445" s="23" t="s">
        <v>293</v>
      </c>
      <c r="E445" s="26" t="s">
        <v>6</v>
      </c>
      <c r="F445" s="25">
        <f>F446+F452+F455+F449</f>
        <v>1262229.3999999999</v>
      </c>
      <c r="G445" s="25">
        <f>G446+G452+G455</f>
        <v>324459.8</v>
      </c>
    </row>
    <row r="446" spans="1:8" ht="36.700000000000003" outlineLevel="5" x14ac:dyDescent="0.25">
      <c r="A446" s="24" t="s">
        <v>273</v>
      </c>
      <c r="B446" s="23" t="s">
        <v>455</v>
      </c>
      <c r="C446" s="23" t="s">
        <v>290</v>
      </c>
      <c r="D446" s="23" t="s">
        <v>292</v>
      </c>
      <c r="E446" s="26" t="s">
        <v>6</v>
      </c>
      <c r="F446" s="25">
        <f>F447</f>
        <v>0</v>
      </c>
      <c r="G446" s="25">
        <f>G447</f>
        <v>0</v>
      </c>
    </row>
    <row r="447" spans="1:8" ht="55.05" outlineLevel="6" x14ac:dyDescent="0.25">
      <c r="A447" s="24" t="s">
        <v>258</v>
      </c>
      <c r="B447" s="23" t="s">
        <v>455</v>
      </c>
      <c r="C447" s="23" t="s">
        <v>290</v>
      </c>
      <c r="D447" s="23" t="s">
        <v>292</v>
      </c>
      <c r="E447" s="26" t="s">
        <v>259</v>
      </c>
      <c r="F447" s="25">
        <f>F448</f>
        <v>0</v>
      </c>
      <c r="G447" s="25">
        <f>G448</f>
        <v>0</v>
      </c>
    </row>
    <row r="448" spans="1:8" outlineLevel="7" x14ac:dyDescent="0.25">
      <c r="A448" s="24" t="s">
        <v>260</v>
      </c>
      <c r="B448" s="23" t="s">
        <v>455</v>
      </c>
      <c r="C448" s="23" t="s">
        <v>290</v>
      </c>
      <c r="D448" s="23" t="s">
        <v>292</v>
      </c>
      <c r="E448" s="26" t="s">
        <v>261</v>
      </c>
      <c r="F448" s="30"/>
      <c r="G448" s="30"/>
    </row>
    <row r="449" spans="1:8" ht="36.700000000000003" outlineLevel="7" x14ac:dyDescent="0.25">
      <c r="A449" s="24" t="s">
        <v>273</v>
      </c>
      <c r="B449" s="23" t="s">
        <v>455</v>
      </c>
      <c r="C449" s="23" t="s">
        <v>290</v>
      </c>
      <c r="D449" s="23" t="s">
        <v>292</v>
      </c>
      <c r="E449" s="26" t="s">
        <v>6</v>
      </c>
      <c r="F449" s="30">
        <f>F450</f>
        <v>1093747.2</v>
      </c>
      <c r="G449" s="30">
        <v>0</v>
      </c>
    </row>
    <row r="450" spans="1:8" ht="55.05" outlineLevel="7" x14ac:dyDescent="0.25">
      <c r="A450" s="24" t="s">
        <v>258</v>
      </c>
      <c r="B450" s="23" t="s">
        <v>455</v>
      </c>
      <c r="C450" s="23" t="s">
        <v>290</v>
      </c>
      <c r="D450" s="23" t="s">
        <v>292</v>
      </c>
      <c r="E450" s="26" t="s">
        <v>259</v>
      </c>
      <c r="F450" s="30">
        <f>F451</f>
        <v>1093747.2</v>
      </c>
      <c r="G450" s="30">
        <v>0</v>
      </c>
    </row>
    <row r="451" spans="1:8" outlineLevel="7" x14ac:dyDescent="0.25">
      <c r="A451" s="24" t="s">
        <v>260</v>
      </c>
      <c r="B451" s="23" t="s">
        <v>455</v>
      </c>
      <c r="C451" s="23" t="s">
        <v>290</v>
      </c>
      <c r="D451" s="23" t="s">
        <v>292</v>
      </c>
      <c r="E451" s="26" t="s">
        <v>261</v>
      </c>
      <c r="F451" s="30">
        <v>1093747.2</v>
      </c>
      <c r="G451" s="30">
        <v>0</v>
      </c>
    </row>
    <row r="452" spans="1:8" ht="59.3" customHeight="1" outlineLevel="7" x14ac:dyDescent="0.25">
      <c r="A452" s="24" t="s">
        <v>687</v>
      </c>
      <c r="B452" s="23" t="s">
        <v>455</v>
      </c>
      <c r="C452" s="23" t="s">
        <v>290</v>
      </c>
      <c r="D452" s="23" t="s">
        <v>701</v>
      </c>
      <c r="E452" s="26" t="s">
        <v>6</v>
      </c>
      <c r="F452" s="30">
        <f>F453</f>
        <v>163718</v>
      </c>
      <c r="G452" s="30">
        <f>G453</f>
        <v>315285</v>
      </c>
    </row>
    <row r="453" spans="1:8" ht="36.700000000000003" outlineLevel="7" x14ac:dyDescent="0.25">
      <c r="A453" s="24" t="s">
        <v>15</v>
      </c>
      <c r="B453" s="23" t="s">
        <v>455</v>
      </c>
      <c r="C453" s="23" t="s">
        <v>290</v>
      </c>
      <c r="D453" s="23" t="s">
        <v>701</v>
      </c>
      <c r="E453" s="26" t="s">
        <v>16</v>
      </c>
      <c r="F453" s="30">
        <f>F454</f>
        <v>163718</v>
      </c>
      <c r="G453" s="30">
        <f>G454</f>
        <v>315285</v>
      </c>
    </row>
    <row r="454" spans="1:8" ht="36.700000000000003" outlineLevel="7" x14ac:dyDescent="0.25">
      <c r="A454" s="24" t="s">
        <v>17</v>
      </c>
      <c r="B454" s="23" t="s">
        <v>455</v>
      </c>
      <c r="C454" s="23" t="s">
        <v>290</v>
      </c>
      <c r="D454" s="23" t="s">
        <v>701</v>
      </c>
      <c r="E454" s="26" t="s">
        <v>18</v>
      </c>
      <c r="F454" s="30">
        <v>163718</v>
      </c>
      <c r="G454" s="30">
        <v>315285</v>
      </c>
    </row>
    <row r="455" spans="1:8" ht="73.400000000000006" outlineLevel="7" x14ac:dyDescent="0.25">
      <c r="A455" s="24" t="s">
        <v>787</v>
      </c>
      <c r="B455" s="23" t="s">
        <v>455</v>
      </c>
      <c r="C455" s="23" t="s">
        <v>290</v>
      </c>
      <c r="D455" s="23" t="s">
        <v>702</v>
      </c>
      <c r="E455" s="26" t="s">
        <v>6</v>
      </c>
      <c r="F455" s="30">
        <f>F456</f>
        <v>4764.2</v>
      </c>
      <c r="G455" s="30">
        <f>G456</f>
        <v>9174.7999999999993</v>
      </c>
    </row>
    <row r="456" spans="1:8" ht="36.700000000000003" outlineLevel="7" x14ac:dyDescent="0.25">
      <c r="A456" s="24" t="s">
        <v>15</v>
      </c>
      <c r="B456" s="23" t="s">
        <v>455</v>
      </c>
      <c r="C456" s="23" t="s">
        <v>290</v>
      </c>
      <c r="D456" s="23" t="s">
        <v>702</v>
      </c>
      <c r="E456" s="26" t="s">
        <v>16</v>
      </c>
      <c r="F456" s="30">
        <f>F457</f>
        <v>4764.2</v>
      </c>
      <c r="G456" s="30">
        <f>G457</f>
        <v>9174.7999999999993</v>
      </c>
    </row>
    <row r="457" spans="1:8" ht="36.700000000000003" outlineLevel="7" x14ac:dyDescent="0.25">
      <c r="A457" s="24" t="s">
        <v>17</v>
      </c>
      <c r="B457" s="23" t="s">
        <v>455</v>
      </c>
      <c r="C457" s="23" t="s">
        <v>290</v>
      </c>
      <c r="D457" s="23" t="s">
        <v>702</v>
      </c>
      <c r="E457" s="26" t="s">
        <v>18</v>
      </c>
      <c r="F457" s="30">
        <v>4764.2</v>
      </c>
      <c r="G457" s="30">
        <v>9174.7999999999993</v>
      </c>
    </row>
    <row r="458" spans="1:8" s="74" customFormat="1" ht="65.25" customHeight="1" x14ac:dyDescent="0.25">
      <c r="A458" s="41" t="s">
        <v>722</v>
      </c>
      <c r="B458" s="38" t="s">
        <v>455</v>
      </c>
      <c r="C458" s="38" t="s">
        <v>290</v>
      </c>
      <c r="D458" s="38" t="s">
        <v>419</v>
      </c>
      <c r="E458" s="39" t="s">
        <v>6</v>
      </c>
      <c r="F458" s="25">
        <f t="shared" ref="F458:G461" si="28">F459</f>
        <v>50000</v>
      </c>
      <c r="G458" s="25">
        <f t="shared" si="28"/>
        <v>50000</v>
      </c>
      <c r="H458" s="73"/>
    </row>
    <row r="459" spans="1:8" ht="31.75" customHeight="1" outlineLevel="1" x14ac:dyDescent="0.25">
      <c r="A459" s="48" t="s">
        <v>420</v>
      </c>
      <c r="B459" s="23" t="s">
        <v>455</v>
      </c>
      <c r="C459" s="23" t="s">
        <v>290</v>
      </c>
      <c r="D459" s="23" t="s">
        <v>421</v>
      </c>
      <c r="E459" s="26" t="s">
        <v>6</v>
      </c>
      <c r="F459" s="25">
        <f t="shared" si="28"/>
        <v>50000</v>
      </c>
      <c r="G459" s="25">
        <f t="shared" si="28"/>
        <v>50000</v>
      </c>
    </row>
    <row r="460" spans="1:8" ht="37.549999999999997" customHeight="1" outlineLevel="2" x14ac:dyDescent="0.25">
      <c r="A460" s="24" t="s">
        <v>422</v>
      </c>
      <c r="B460" s="23" t="s">
        <v>455</v>
      </c>
      <c r="C460" s="23" t="s">
        <v>290</v>
      </c>
      <c r="D460" s="23" t="s">
        <v>423</v>
      </c>
      <c r="E460" s="26" t="s">
        <v>6</v>
      </c>
      <c r="F460" s="25">
        <f t="shared" si="28"/>
        <v>50000</v>
      </c>
      <c r="G460" s="25">
        <f t="shared" si="28"/>
        <v>50000</v>
      </c>
    </row>
    <row r="461" spans="1:8" ht="36.700000000000003" outlineLevel="4" x14ac:dyDescent="0.25">
      <c r="A461" s="24" t="s">
        <v>15</v>
      </c>
      <c r="B461" s="23" t="s">
        <v>455</v>
      </c>
      <c r="C461" s="23" t="s">
        <v>290</v>
      </c>
      <c r="D461" s="23" t="s">
        <v>423</v>
      </c>
      <c r="E461" s="26" t="s">
        <v>16</v>
      </c>
      <c r="F461" s="25">
        <f t="shared" si="28"/>
        <v>50000</v>
      </c>
      <c r="G461" s="25">
        <f t="shared" si="28"/>
        <v>50000</v>
      </c>
    </row>
    <row r="462" spans="1:8" ht="36.700000000000003" outlineLevel="5" x14ac:dyDescent="0.25">
      <c r="A462" s="24" t="s">
        <v>17</v>
      </c>
      <c r="B462" s="23" t="s">
        <v>455</v>
      </c>
      <c r="C462" s="23" t="s">
        <v>290</v>
      </c>
      <c r="D462" s="23" t="s">
        <v>423</v>
      </c>
      <c r="E462" s="26" t="s">
        <v>18</v>
      </c>
      <c r="F462" s="30">
        <v>50000</v>
      </c>
      <c r="G462" s="30">
        <v>50000</v>
      </c>
    </row>
    <row r="463" spans="1:8" outlineLevel="6" x14ac:dyDescent="0.25">
      <c r="A463" s="37" t="s">
        <v>103</v>
      </c>
      <c r="B463" s="23" t="s">
        <v>455</v>
      </c>
      <c r="C463" s="38" t="s">
        <v>104</v>
      </c>
      <c r="D463" s="38" t="s">
        <v>126</v>
      </c>
      <c r="E463" s="39" t="s">
        <v>6</v>
      </c>
      <c r="F463" s="28" t="e">
        <f t="shared" ref="F463:G468" si="29">F464</f>
        <v>#REF!</v>
      </c>
      <c r="G463" s="28">
        <f t="shared" si="29"/>
        <v>2500000</v>
      </c>
    </row>
    <row r="464" spans="1:8" outlineLevel="7" x14ac:dyDescent="0.25">
      <c r="A464" s="24" t="s">
        <v>105</v>
      </c>
      <c r="B464" s="23" t="s">
        <v>455</v>
      </c>
      <c r="C464" s="23" t="s">
        <v>106</v>
      </c>
      <c r="D464" s="23" t="s">
        <v>126</v>
      </c>
      <c r="E464" s="26" t="s">
        <v>6</v>
      </c>
      <c r="F464" s="25" t="e">
        <f t="shared" si="29"/>
        <v>#REF!</v>
      </c>
      <c r="G464" s="25">
        <f t="shared" si="29"/>
        <v>2500000</v>
      </c>
    </row>
    <row r="465" spans="1:7" ht="55.05" outlineLevel="5" x14ac:dyDescent="0.25">
      <c r="A465" s="37" t="s">
        <v>723</v>
      </c>
      <c r="B465" s="23" t="s">
        <v>455</v>
      </c>
      <c r="C465" s="38" t="s">
        <v>106</v>
      </c>
      <c r="D465" s="38" t="s">
        <v>305</v>
      </c>
      <c r="E465" s="39" t="s">
        <v>6</v>
      </c>
      <c r="F465" s="28" t="e">
        <f>F466</f>
        <v>#REF!</v>
      </c>
      <c r="G465" s="28">
        <f>G466</f>
        <v>2500000</v>
      </c>
    </row>
    <row r="466" spans="1:7" s="67" customFormat="1" ht="36.700000000000003" outlineLevel="6" x14ac:dyDescent="0.25">
      <c r="A466" s="40" t="s">
        <v>315</v>
      </c>
      <c r="B466" s="23" t="s">
        <v>455</v>
      </c>
      <c r="C466" s="23" t="s">
        <v>106</v>
      </c>
      <c r="D466" s="23" t="s">
        <v>306</v>
      </c>
      <c r="E466" s="26" t="s">
        <v>6</v>
      </c>
      <c r="F466" s="25" t="e">
        <f t="shared" si="29"/>
        <v>#REF!</v>
      </c>
      <c r="G466" s="25">
        <f t="shared" si="29"/>
        <v>2500000</v>
      </c>
    </row>
    <row r="467" spans="1:7" s="67" customFormat="1" ht="55.05" outlineLevel="7" x14ac:dyDescent="0.25">
      <c r="A467" s="24" t="s">
        <v>107</v>
      </c>
      <c r="B467" s="23" t="s">
        <v>455</v>
      </c>
      <c r="C467" s="23" t="s">
        <v>106</v>
      </c>
      <c r="D467" s="23" t="s">
        <v>307</v>
      </c>
      <c r="E467" s="26" t="s">
        <v>6</v>
      </c>
      <c r="F467" s="25" t="e">
        <f t="shared" si="29"/>
        <v>#REF!</v>
      </c>
      <c r="G467" s="25">
        <f t="shared" si="29"/>
        <v>2500000</v>
      </c>
    </row>
    <row r="468" spans="1:7" s="67" customFormat="1" ht="36.700000000000003" outlineLevel="6" x14ac:dyDescent="0.25">
      <c r="A468" s="24" t="s">
        <v>37</v>
      </c>
      <c r="B468" s="23" t="s">
        <v>455</v>
      </c>
      <c r="C468" s="23" t="s">
        <v>106</v>
      </c>
      <c r="D468" s="23" t="s">
        <v>307</v>
      </c>
      <c r="E468" s="26" t="s">
        <v>38</v>
      </c>
      <c r="F468" s="25" t="e">
        <f t="shared" si="29"/>
        <v>#REF!</v>
      </c>
      <c r="G468" s="25">
        <f t="shared" si="29"/>
        <v>2500000</v>
      </c>
    </row>
    <row r="469" spans="1:7" s="67" customFormat="1" ht="20.25" customHeight="1" outlineLevel="7" x14ac:dyDescent="0.25">
      <c r="A469" s="24" t="s">
        <v>39</v>
      </c>
      <c r="B469" s="23" t="s">
        <v>455</v>
      </c>
      <c r="C469" s="23" t="s">
        <v>106</v>
      </c>
      <c r="D469" s="23" t="s">
        <v>307</v>
      </c>
      <c r="E469" s="26" t="s">
        <v>40</v>
      </c>
      <c r="F469" s="25" t="e">
        <f>#REF!</f>
        <v>#REF!</v>
      </c>
      <c r="G469" s="25">
        <v>2500000</v>
      </c>
    </row>
    <row r="470" spans="1:7" s="67" customFormat="1" ht="36.700000000000003" outlineLevel="6" x14ac:dyDescent="0.25">
      <c r="A470" s="34" t="s">
        <v>481</v>
      </c>
      <c r="B470" s="35" t="s">
        <v>456</v>
      </c>
      <c r="C470" s="35" t="s">
        <v>5</v>
      </c>
      <c r="D470" s="35" t="s">
        <v>126</v>
      </c>
      <c r="E470" s="36" t="s">
        <v>6</v>
      </c>
      <c r="F470" s="50">
        <f>F471</f>
        <v>5805481.6399999997</v>
      </c>
      <c r="G470" s="50">
        <f>G471</f>
        <v>6014949.9699999997</v>
      </c>
    </row>
    <row r="471" spans="1:7" s="67" customFormat="1" outlineLevel="7" x14ac:dyDescent="0.25">
      <c r="A471" s="24" t="s">
        <v>7</v>
      </c>
      <c r="B471" s="23" t="s">
        <v>456</v>
      </c>
      <c r="C471" s="23" t="s">
        <v>8</v>
      </c>
      <c r="D471" s="23" t="s">
        <v>126</v>
      </c>
      <c r="E471" s="26" t="s">
        <v>6</v>
      </c>
      <c r="F471" s="25">
        <f>F472+F487+F492</f>
        <v>5805481.6399999997</v>
      </c>
      <c r="G471" s="25">
        <f>G472+G487+G492</f>
        <v>6014949.9699999997</v>
      </c>
    </row>
    <row r="472" spans="1:7" s="67" customFormat="1" ht="73.400000000000006" outlineLevel="5" x14ac:dyDescent="0.25">
      <c r="A472" s="24" t="s">
        <v>108</v>
      </c>
      <c r="B472" s="23" t="s">
        <v>456</v>
      </c>
      <c r="C472" s="23" t="s">
        <v>109</v>
      </c>
      <c r="D472" s="23" t="s">
        <v>126</v>
      </c>
      <c r="E472" s="26" t="s">
        <v>6</v>
      </c>
      <c r="F472" s="25">
        <f>F473</f>
        <v>5668201.6399999997</v>
      </c>
      <c r="G472" s="25">
        <f>G473</f>
        <v>5877669.9699999997</v>
      </c>
    </row>
    <row r="473" spans="1:7" s="67" customFormat="1" ht="36.700000000000003" outlineLevel="6" x14ac:dyDescent="0.25">
      <c r="A473" s="24" t="s">
        <v>132</v>
      </c>
      <c r="B473" s="23" t="s">
        <v>456</v>
      </c>
      <c r="C473" s="23" t="s">
        <v>109</v>
      </c>
      <c r="D473" s="23" t="s">
        <v>127</v>
      </c>
      <c r="E473" s="26" t="s">
        <v>6</v>
      </c>
      <c r="F473" s="25">
        <f>F474+F477+F484</f>
        <v>5668201.6399999997</v>
      </c>
      <c r="G473" s="25">
        <f>G474+G477+G484</f>
        <v>5877669.9699999997</v>
      </c>
    </row>
    <row r="474" spans="1:7" s="67" customFormat="1" ht="36.700000000000003" outlineLevel="7" x14ac:dyDescent="0.25">
      <c r="A474" s="24" t="s">
        <v>482</v>
      </c>
      <c r="B474" s="23" t="s">
        <v>456</v>
      </c>
      <c r="C474" s="23" t="s">
        <v>109</v>
      </c>
      <c r="D474" s="23" t="s">
        <v>483</v>
      </c>
      <c r="E474" s="26" t="s">
        <v>6</v>
      </c>
      <c r="F474" s="25">
        <f>F475</f>
        <v>2618572.2799999998</v>
      </c>
      <c r="G474" s="25">
        <f>G475</f>
        <v>2723315.17</v>
      </c>
    </row>
    <row r="475" spans="1:7" s="67" customFormat="1" ht="37.549999999999997" customHeight="1" outlineLevel="2" x14ac:dyDescent="0.25">
      <c r="A475" s="24" t="s">
        <v>11</v>
      </c>
      <c r="B475" s="23" t="s">
        <v>456</v>
      </c>
      <c r="C475" s="23" t="s">
        <v>109</v>
      </c>
      <c r="D475" s="23" t="s">
        <v>483</v>
      </c>
      <c r="E475" s="26" t="s">
        <v>12</v>
      </c>
      <c r="F475" s="25">
        <f>F476</f>
        <v>2618572.2799999998</v>
      </c>
      <c r="G475" s="25">
        <f>G476</f>
        <v>2723315.17</v>
      </c>
    </row>
    <row r="476" spans="1:7" s="67" customFormat="1" ht="36.700000000000003" outlineLevel="4" x14ac:dyDescent="0.25">
      <c r="A476" s="24" t="s">
        <v>13</v>
      </c>
      <c r="B476" s="23" t="s">
        <v>456</v>
      </c>
      <c r="C476" s="23" t="s">
        <v>109</v>
      </c>
      <c r="D476" s="23" t="s">
        <v>483</v>
      </c>
      <c r="E476" s="26" t="s">
        <v>14</v>
      </c>
      <c r="F476" s="30">
        <v>2618572.2799999998</v>
      </c>
      <c r="G476" s="30">
        <v>2723315.17</v>
      </c>
    </row>
    <row r="477" spans="1:7" s="67" customFormat="1" ht="55.05" outlineLevel="5" x14ac:dyDescent="0.25">
      <c r="A477" s="24" t="s">
        <v>449</v>
      </c>
      <c r="B477" s="23" t="s">
        <v>456</v>
      </c>
      <c r="C477" s="23" t="s">
        <v>109</v>
      </c>
      <c r="D477" s="23" t="s">
        <v>450</v>
      </c>
      <c r="E477" s="26" t="s">
        <v>6</v>
      </c>
      <c r="F477" s="25">
        <f>F478+F480+F482</f>
        <v>2869629.36</v>
      </c>
      <c r="G477" s="25">
        <f>G478+G480+G482</f>
        <v>2974354.8</v>
      </c>
    </row>
    <row r="478" spans="1:7" s="67" customFormat="1" ht="91.7" outlineLevel="6" x14ac:dyDescent="0.25">
      <c r="A478" s="24" t="s">
        <v>11</v>
      </c>
      <c r="B478" s="23" t="s">
        <v>456</v>
      </c>
      <c r="C478" s="23" t="s">
        <v>109</v>
      </c>
      <c r="D478" s="23" t="s">
        <v>450</v>
      </c>
      <c r="E478" s="26" t="s">
        <v>12</v>
      </c>
      <c r="F478" s="25">
        <f>F479</f>
        <v>2618129.36</v>
      </c>
      <c r="G478" s="25">
        <f>G479</f>
        <v>2722854.8</v>
      </c>
    </row>
    <row r="479" spans="1:7" s="67" customFormat="1" ht="36.700000000000003" outlineLevel="7" x14ac:dyDescent="0.25">
      <c r="A479" s="24" t="s">
        <v>13</v>
      </c>
      <c r="B479" s="23" t="s">
        <v>456</v>
      </c>
      <c r="C479" s="23" t="s">
        <v>109</v>
      </c>
      <c r="D479" s="23" t="s">
        <v>450</v>
      </c>
      <c r="E479" s="26" t="s">
        <v>14</v>
      </c>
      <c r="F479" s="25">
        <v>2618129.36</v>
      </c>
      <c r="G479" s="25">
        <v>2722854.8</v>
      </c>
    </row>
    <row r="480" spans="1:7" s="67" customFormat="1" ht="36.700000000000003" outlineLevel="7" x14ac:dyDescent="0.25">
      <c r="A480" s="24" t="s">
        <v>15</v>
      </c>
      <c r="B480" s="23" t="s">
        <v>456</v>
      </c>
      <c r="C480" s="23" t="s">
        <v>109</v>
      </c>
      <c r="D480" s="23" t="s">
        <v>450</v>
      </c>
      <c r="E480" s="26" t="s">
        <v>16</v>
      </c>
      <c r="F480" s="25">
        <f>F481</f>
        <v>246000</v>
      </c>
      <c r="G480" s="25">
        <f>G481</f>
        <v>246000</v>
      </c>
    </row>
    <row r="481" spans="1:8" s="67" customFormat="1" ht="36.700000000000003" outlineLevel="7" x14ac:dyDescent="0.25">
      <c r="A481" s="24" t="s">
        <v>17</v>
      </c>
      <c r="B481" s="23" t="s">
        <v>456</v>
      </c>
      <c r="C481" s="23" t="s">
        <v>109</v>
      </c>
      <c r="D481" s="23" t="s">
        <v>450</v>
      </c>
      <c r="E481" s="26" t="s">
        <v>18</v>
      </c>
      <c r="F481" s="30">
        <v>246000</v>
      </c>
      <c r="G481" s="30">
        <v>246000</v>
      </c>
    </row>
    <row r="482" spans="1:8" outlineLevel="2" x14ac:dyDescent="0.25">
      <c r="A482" s="24" t="s">
        <v>19</v>
      </c>
      <c r="B482" s="23" t="s">
        <v>456</v>
      </c>
      <c r="C482" s="23" t="s">
        <v>109</v>
      </c>
      <c r="D482" s="23" t="s">
        <v>450</v>
      </c>
      <c r="E482" s="26" t="s">
        <v>20</v>
      </c>
      <c r="F482" s="25">
        <f>F483</f>
        <v>5500</v>
      </c>
      <c r="G482" s="25">
        <f>G483</f>
        <v>5500</v>
      </c>
    </row>
    <row r="483" spans="1:8" s="76" customFormat="1" outlineLevel="3" x14ac:dyDescent="0.25">
      <c r="A483" s="24" t="s">
        <v>21</v>
      </c>
      <c r="B483" s="23" t="s">
        <v>456</v>
      </c>
      <c r="C483" s="23" t="s">
        <v>109</v>
      </c>
      <c r="D483" s="23" t="s">
        <v>450</v>
      </c>
      <c r="E483" s="26" t="s">
        <v>22</v>
      </c>
      <c r="F483" s="30">
        <v>5500</v>
      </c>
      <c r="G483" s="30">
        <v>5500</v>
      </c>
      <c r="H483" s="75"/>
    </row>
    <row r="484" spans="1:8" outlineLevel="4" x14ac:dyDescent="0.25">
      <c r="A484" s="24" t="s">
        <v>485</v>
      </c>
      <c r="B484" s="23" t="s">
        <v>456</v>
      </c>
      <c r="C484" s="23" t="s">
        <v>109</v>
      </c>
      <c r="D484" s="23" t="s">
        <v>484</v>
      </c>
      <c r="E484" s="26" t="s">
        <v>6</v>
      </c>
      <c r="F484" s="25">
        <f>F485</f>
        <v>180000</v>
      </c>
      <c r="G484" s="25">
        <f>G485</f>
        <v>180000</v>
      </c>
    </row>
    <row r="485" spans="1:8" ht="91.7" outlineLevel="5" x14ac:dyDescent="0.25">
      <c r="A485" s="24" t="s">
        <v>11</v>
      </c>
      <c r="B485" s="23" t="s">
        <v>456</v>
      </c>
      <c r="C485" s="23" t="s">
        <v>109</v>
      </c>
      <c r="D485" s="23" t="s">
        <v>484</v>
      </c>
      <c r="E485" s="26" t="s">
        <v>12</v>
      </c>
      <c r="F485" s="25">
        <f>F486</f>
        <v>180000</v>
      </c>
      <c r="G485" s="25">
        <f>G486</f>
        <v>180000</v>
      </c>
    </row>
    <row r="486" spans="1:8" ht="32.950000000000003" customHeight="1" outlineLevel="6" x14ac:dyDescent="0.25">
      <c r="A486" s="24" t="s">
        <v>13</v>
      </c>
      <c r="B486" s="23" t="s">
        <v>456</v>
      </c>
      <c r="C486" s="23" t="s">
        <v>109</v>
      </c>
      <c r="D486" s="23" t="s">
        <v>484</v>
      </c>
      <c r="E486" s="26" t="s">
        <v>14</v>
      </c>
      <c r="F486" s="30">
        <v>180000</v>
      </c>
      <c r="G486" s="30">
        <v>180000</v>
      </c>
    </row>
    <row r="487" spans="1:8" ht="22.75" customHeight="1" outlineLevel="7" x14ac:dyDescent="0.25">
      <c r="A487" s="24" t="s">
        <v>9</v>
      </c>
      <c r="B487" s="23" t="s">
        <v>456</v>
      </c>
      <c r="C487" s="23" t="s">
        <v>10</v>
      </c>
      <c r="D487" s="23" t="s">
        <v>126</v>
      </c>
      <c r="E487" s="26" t="s">
        <v>6</v>
      </c>
      <c r="F487" s="25">
        <f t="shared" ref="F487:G490" si="30">F488</f>
        <v>0</v>
      </c>
      <c r="G487" s="25">
        <f t="shared" si="30"/>
        <v>0</v>
      </c>
    </row>
    <row r="488" spans="1:8" s="76" customFormat="1" ht="36.700000000000003" outlineLevel="7" x14ac:dyDescent="0.25">
      <c r="A488" s="24" t="s">
        <v>132</v>
      </c>
      <c r="B488" s="23" t="s">
        <v>456</v>
      </c>
      <c r="C488" s="23" t="s">
        <v>10</v>
      </c>
      <c r="D488" s="23" t="s">
        <v>127</v>
      </c>
      <c r="E488" s="26" t="s">
        <v>6</v>
      </c>
      <c r="F488" s="25">
        <f t="shared" si="30"/>
        <v>0</v>
      </c>
      <c r="G488" s="25">
        <f t="shared" si="30"/>
        <v>0</v>
      </c>
      <c r="H488" s="75"/>
    </row>
    <row r="489" spans="1:8" outlineLevel="7" x14ac:dyDescent="0.25">
      <c r="A489" s="24" t="s">
        <v>120</v>
      </c>
      <c r="B489" s="23" t="s">
        <v>456</v>
      </c>
      <c r="C489" s="23" t="s">
        <v>10</v>
      </c>
      <c r="D489" s="23" t="s">
        <v>143</v>
      </c>
      <c r="E489" s="26" t="s">
        <v>6</v>
      </c>
      <c r="F489" s="25">
        <f t="shared" si="30"/>
        <v>0</v>
      </c>
      <c r="G489" s="25">
        <f t="shared" si="30"/>
        <v>0</v>
      </c>
    </row>
    <row r="490" spans="1:8" ht="91.7" outlineLevel="7" x14ac:dyDescent="0.25">
      <c r="A490" s="24" t="s">
        <v>11</v>
      </c>
      <c r="B490" s="23" t="s">
        <v>456</v>
      </c>
      <c r="C490" s="23" t="s">
        <v>10</v>
      </c>
      <c r="D490" s="23" t="s">
        <v>143</v>
      </c>
      <c r="E490" s="26" t="s">
        <v>12</v>
      </c>
      <c r="F490" s="25">
        <f t="shared" si="30"/>
        <v>0</v>
      </c>
      <c r="G490" s="25">
        <f t="shared" si="30"/>
        <v>0</v>
      </c>
    </row>
    <row r="491" spans="1:8" ht="21.25" customHeight="1" outlineLevel="7" x14ac:dyDescent="0.25">
      <c r="A491" s="24" t="s">
        <v>13</v>
      </c>
      <c r="B491" s="23" t="s">
        <v>456</v>
      </c>
      <c r="C491" s="23" t="s">
        <v>10</v>
      </c>
      <c r="D491" s="23" t="s">
        <v>143</v>
      </c>
      <c r="E491" s="26" t="s">
        <v>14</v>
      </c>
      <c r="F491" s="25"/>
      <c r="G491" s="25"/>
    </row>
    <row r="492" spans="1:8" s="74" customFormat="1" x14ac:dyDescent="0.25">
      <c r="A492" s="24" t="s">
        <v>23</v>
      </c>
      <c r="B492" s="23" t="s">
        <v>456</v>
      </c>
      <c r="C492" s="23" t="s">
        <v>24</v>
      </c>
      <c r="D492" s="23" t="s">
        <v>126</v>
      </c>
      <c r="E492" s="26" t="s">
        <v>6</v>
      </c>
      <c r="F492" s="25">
        <f>F493+F498</f>
        <v>137280</v>
      </c>
      <c r="G492" s="25">
        <f>G493+G498</f>
        <v>137280</v>
      </c>
      <c r="H492" s="77"/>
    </row>
    <row r="493" spans="1:8" s="76" customFormat="1" ht="55.05" outlineLevel="1" x14ac:dyDescent="0.25">
      <c r="A493" s="37" t="s">
        <v>724</v>
      </c>
      <c r="B493" s="38" t="s">
        <v>456</v>
      </c>
      <c r="C493" s="38" t="s">
        <v>24</v>
      </c>
      <c r="D493" s="38" t="s">
        <v>128</v>
      </c>
      <c r="E493" s="39" t="s">
        <v>6</v>
      </c>
      <c r="F493" s="28">
        <f t="shared" ref="F493:G496" si="31">F494</f>
        <v>33280</v>
      </c>
      <c r="G493" s="28">
        <f t="shared" si="31"/>
        <v>33280</v>
      </c>
      <c r="H493" s="75"/>
    </row>
    <row r="494" spans="1:8" ht="55.05" outlineLevel="2" x14ac:dyDescent="0.25">
      <c r="A494" s="40" t="s">
        <v>729</v>
      </c>
      <c r="B494" s="23" t="s">
        <v>456</v>
      </c>
      <c r="C494" s="23" t="s">
        <v>24</v>
      </c>
      <c r="D494" s="23" t="s">
        <v>303</v>
      </c>
      <c r="E494" s="26" t="s">
        <v>6</v>
      </c>
      <c r="F494" s="25">
        <f t="shared" si="31"/>
        <v>33280</v>
      </c>
      <c r="G494" s="25">
        <f t="shared" si="31"/>
        <v>33280</v>
      </c>
    </row>
    <row r="495" spans="1:8" s="76" customFormat="1" outlineLevel="3" x14ac:dyDescent="0.25">
      <c r="A495" s="40" t="s">
        <v>309</v>
      </c>
      <c r="B495" s="23" t="s">
        <v>456</v>
      </c>
      <c r="C495" s="23" t="s">
        <v>24</v>
      </c>
      <c r="D495" s="23" t="s">
        <v>304</v>
      </c>
      <c r="E495" s="26" t="s">
        <v>6</v>
      </c>
      <c r="F495" s="25">
        <f t="shared" si="31"/>
        <v>33280</v>
      </c>
      <c r="G495" s="25">
        <f t="shared" si="31"/>
        <v>33280</v>
      </c>
      <c r="H495" s="75"/>
    </row>
    <row r="496" spans="1:8" ht="36.700000000000003" outlineLevel="4" x14ac:dyDescent="0.25">
      <c r="A496" s="24" t="s">
        <v>15</v>
      </c>
      <c r="B496" s="23" t="s">
        <v>456</v>
      </c>
      <c r="C496" s="23" t="s">
        <v>24</v>
      </c>
      <c r="D496" s="23" t="s">
        <v>304</v>
      </c>
      <c r="E496" s="26" t="s">
        <v>16</v>
      </c>
      <c r="F496" s="25">
        <f t="shared" si="31"/>
        <v>33280</v>
      </c>
      <c r="G496" s="25">
        <f t="shared" si="31"/>
        <v>33280</v>
      </c>
    </row>
    <row r="497" spans="1:7" ht="36.700000000000003" outlineLevel="4" x14ac:dyDescent="0.25">
      <c r="A497" s="24" t="s">
        <v>17</v>
      </c>
      <c r="B497" s="23" t="s">
        <v>456</v>
      </c>
      <c r="C497" s="23" t="s">
        <v>24</v>
      </c>
      <c r="D497" s="23" t="s">
        <v>304</v>
      </c>
      <c r="E497" s="26" t="s">
        <v>18</v>
      </c>
      <c r="F497" s="25">
        <v>33280</v>
      </c>
      <c r="G497" s="25">
        <v>33280</v>
      </c>
    </row>
    <row r="498" spans="1:7" s="67" customFormat="1" ht="36.700000000000003" outlineLevel="5" x14ac:dyDescent="0.25">
      <c r="A498" s="37" t="s">
        <v>132</v>
      </c>
      <c r="B498" s="38" t="s">
        <v>456</v>
      </c>
      <c r="C498" s="38" t="s">
        <v>24</v>
      </c>
      <c r="D498" s="38" t="s">
        <v>127</v>
      </c>
      <c r="E498" s="39" t="s">
        <v>6</v>
      </c>
      <c r="F498" s="53">
        <f t="shared" ref="F498:G500" si="32">F499</f>
        <v>104000</v>
      </c>
      <c r="G498" s="53">
        <f t="shared" si="32"/>
        <v>104000</v>
      </c>
    </row>
    <row r="499" spans="1:7" s="67" customFormat="1" ht="36.700000000000003" outlineLevel="6" x14ac:dyDescent="0.25">
      <c r="A499" s="24" t="s">
        <v>486</v>
      </c>
      <c r="B499" s="23" t="s">
        <v>456</v>
      </c>
      <c r="C499" s="23" t="s">
        <v>24</v>
      </c>
      <c r="D499" s="49">
        <v>9909970201</v>
      </c>
      <c r="E499" s="26" t="s">
        <v>6</v>
      </c>
      <c r="F499" s="51">
        <f t="shared" si="32"/>
        <v>104000</v>
      </c>
      <c r="G499" s="51">
        <f t="shared" si="32"/>
        <v>104000</v>
      </c>
    </row>
    <row r="500" spans="1:7" s="67" customFormat="1" ht="36.700000000000003" outlineLevel="7" x14ac:dyDescent="0.25">
      <c r="A500" s="24" t="s">
        <v>15</v>
      </c>
      <c r="B500" s="23" t="s">
        <v>456</v>
      </c>
      <c r="C500" s="23" t="s">
        <v>24</v>
      </c>
      <c r="D500" s="49">
        <v>9909970201</v>
      </c>
      <c r="E500" s="26" t="s">
        <v>16</v>
      </c>
      <c r="F500" s="51">
        <f t="shared" si="32"/>
        <v>104000</v>
      </c>
      <c r="G500" s="51">
        <f t="shared" si="32"/>
        <v>104000</v>
      </c>
    </row>
    <row r="501" spans="1:7" s="67" customFormat="1" ht="41.3" customHeight="1" outlineLevel="7" x14ac:dyDescent="0.25">
      <c r="A501" s="24" t="s">
        <v>17</v>
      </c>
      <c r="B501" s="23" t="s">
        <v>456</v>
      </c>
      <c r="C501" s="23" t="s">
        <v>24</v>
      </c>
      <c r="D501" s="49">
        <v>9909970201</v>
      </c>
      <c r="E501" s="26" t="s">
        <v>18</v>
      </c>
      <c r="F501" s="25">
        <v>104000</v>
      </c>
      <c r="G501" s="25">
        <v>104000</v>
      </c>
    </row>
    <row r="502" spans="1:7" s="67" customFormat="1" ht="55.05" outlineLevel="7" x14ac:dyDescent="0.25">
      <c r="A502" s="34" t="s">
        <v>498</v>
      </c>
      <c r="B502" s="35" t="s">
        <v>490</v>
      </c>
      <c r="C502" s="35" t="s">
        <v>5</v>
      </c>
      <c r="D502" s="35" t="s">
        <v>126</v>
      </c>
      <c r="E502" s="36" t="s">
        <v>6</v>
      </c>
      <c r="F502" s="50" t="e">
        <f>F503+F642+F658</f>
        <v>#REF!</v>
      </c>
      <c r="G502" s="50">
        <f>G503+G642+G658</f>
        <v>608475257.40999997</v>
      </c>
    </row>
    <row r="503" spans="1:7" s="67" customFormat="1" outlineLevel="7" x14ac:dyDescent="0.25">
      <c r="A503" s="37" t="s">
        <v>69</v>
      </c>
      <c r="B503" s="38" t="s">
        <v>490</v>
      </c>
      <c r="C503" s="38" t="s">
        <v>70</v>
      </c>
      <c r="D503" s="38" t="s">
        <v>126</v>
      </c>
      <c r="E503" s="39" t="s">
        <v>6</v>
      </c>
      <c r="F503" s="28" t="e">
        <f>F504+F540+F603+F622+F580</f>
        <v>#REF!</v>
      </c>
      <c r="G503" s="28">
        <f>G504+G540+G603+G622+G580</f>
        <v>603986188.40999997</v>
      </c>
    </row>
    <row r="504" spans="1:7" s="67" customFormat="1" outlineLevel="7" x14ac:dyDescent="0.25">
      <c r="A504" s="24" t="s">
        <v>110</v>
      </c>
      <c r="B504" s="23" t="s">
        <v>490</v>
      </c>
      <c r="C504" s="23" t="s">
        <v>111</v>
      </c>
      <c r="D504" s="23" t="s">
        <v>126</v>
      </c>
      <c r="E504" s="26" t="s">
        <v>6</v>
      </c>
      <c r="F504" s="25">
        <f>F505</f>
        <v>136647891</v>
      </c>
      <c r="G504" s="25">
        <f>G505</f>
        <v>141527643.09999999</v>
      </c>
    </row>
    <row r="505" spans="1:7" s="67" customFormat="1" ht="55.05" outlineLevel="7" x14ac:dyDescent="0.25">
      <c r="A505" s="37" t="s">
        <v>720</v>
      </c>
      <c r="B505" s="38" t="s">
        <v>490</v>
      </c>
      <c r="C505" s="38" t="s">
        <v>111</v>
      </c>
      <c r="D505" s="38" t="s">
        <v>138</v>
      </c>
      <c r="E505" s="39" t="s">
        <v>6</v>
      </c>
      <c r="F505" s="28">
        <f>F506</f>
        <v>136647891</v>
      </c>
      <c r="G505" s="28">
        <f>G506</f>
        <v>141527643.09999999</v>
      </c>
    </row>
    <row r="506" spans="1:7" s="67" customFormat="1" ht="55.05" outlineLevel="7" x14ac:dyDescent="0.25">
      <c r="A506" s="24" t="s">
        <v>728</v>
      </c>
      <c r="B506" s="23" t="s">
        <v>490</v>
      </c>
      <c r="C506" s="23" t="s">
        <v>111</v>
      </c>
      <c r="D506" s="23" t="s">
        <v>139</v>
      </c>
      <c r="E506" s="26" t="s">
        <v>6</v>
      </c>
      <c r="F506" s="25">
        <f>F507+F514</f>
        <v>136647891</v>
      </c>
      <c r="G506" s="25">
        <f>G507+G514</f>
        <v>141527643.09999999</v>
      </c>
    </row>
    <row r="507" spans="1:7" s="67" customFormat="1" ht="55.05" outlineLevel="7" x14ac:dyDescent="0.25">
      <c r="A507" s="40" t="s">
        <v>200</v>
      </c>
      <c r="B507" s="23" t="s">
        <v>490</v>
      </c>
      <c r="C507" s="23" t="s">
        <v>111</v>
      </c>
      <c r="D507" s="23" t="s">
        <v>216</v>
      </c>
      <c r="E507" s="26" t="s">
        <v>6</v>
      </c>
      <c r="F507" s="25">
        <f>F508+F511</f>
        <v>134240407.59999999</v>
      </c>
      <c r="G507" s="25">
        <f>G508+G511</f>
        <v>140978143.09999999</v>
      </c>
    </row>
    <row r="508" spans="1:7" s="67" customFormat="1" ht="55.05" outlineLevel="7" x14ac:dyDescent="0.25">
      <c r="A508" s="24" t="s">
        <v>113</v>
      </c>
      <c r="B508" s="23" t="s">
        <v>490</v>
      </c>
      <c r="C508" s="23" t="s">
        <v>111</v>
      </c>
      <c r="D508" s="23" t="s">
        <v>144</v>
      </c>
      <c r="E508" s="26" t="s">
        <v>6</v>
      </c>
      <c r="F508" s="25">
        <f>F509</f>
        <v>48316977.600000001</v>
      </c>
      <c r="G508" s="25">
        <f>G509</f>
        <v>50130008.100000001</v>
      </c>
    </row>
    <row r="509" spans="1:7" s="67" customFormat="1" ht="36.700000000000003" outlineLevel="7" x14ac:dyDescent="0.25">
      <c r="A509" s="24" t="s">
        <v>37</v>
      </c>
      <c r="B509" s="23" t="s">
        <v>490</v>
      </c>
      <c r="C509" s="23" t="s">
        <v>111</v>
      </c>
      <c r="D509" s="23" t="s">
        <v>144</v>
      </c>
      <c r="E509" s="26" t="s">
        <v>38</v>
      </c>
      <c r="F509" s="25">
        <f>F510</f>
        <v>48316977.600000001</v>
      </c>
      <c r="G509" s="25">
        <f>G510</f>
        <v>50130008.100000001</v>
      </c>
    </row>
    <row r="510" spans="1:7" s="67" customFormat="1" outlineLevel="7" x14ac:dyDescent="0.25">
      <c r="A510" s="24" t="s">
        <v>74</v>
      </c>
      <c r="B510" s="23" t="s">
        <v>490</v>
      </c>
      <c r="C510" s="23" t="s">
        <v>111</v>
      </c>
      <c r="D510" s="23" t="s">
        <v>144</v>
      </c>
      <c r="E510" s="26" t="s">
        <v>75</v>
      </c>
      <c r="F510" s="51">
        <f>48674961-357983.4</f>
        <v>48316977.600000001</v>
      </c>
      <c r="G510" s="51">
        <v>50130008.100000001</v>
      </c>
    </row>
    <row r="511" spans="1:7" s="67" customFormat="1" ht="110.05" outlineLevel="7" x14ac:dyDescent="0.25">
      <c r="A511" s="40" t="s">
        <v>375</v>
      </c>
      <c r="B511" s="23" t="s">
        <v>490</v>
      </c>
      <c r="C511" s="23" t="s">
        <v>111</v>
      </c>
      <c r="D511" s="23" t="s">
        <v>145</v>
      </c>
      <c r="E511" s="26" t="s">
        <v>6</v>
      </c>
      <c r="F511" s="25">
        <f>F512</f>
        <v>85923430</v>
      </c>
      <c r="G511" s="25">
        <f>G512</f>
        <v>90848135</v>
      </c>
    </row>
    <row r="512" spans="1:7" s="67" customFormat="1" ht="36.700000000000003" outlineLevel="7" x14ac:dyDescent="0.25">
      <c r="A512" s="24" t="s">
        <v>37</v>
      </c>
      <c r="B512" s="23" t="s">
        <v>490</v>
      </c>
      <c r="C512" s="23" t="s">
        <v>111</v>
      </c>
      <c r="D512" s="23" t="s">
        <v>145</v>
      </c>
      <c r="E512" s="26" t="s">
        <v>38</v>
      </c>
      <c r="F512" s="25">
        <f>F513</f>
        <v>85923430</v>
      </c>
      <c r="G512" s="25">
        <f>G513</f>
        <v>90848135</v>
      </c>
    </row>
    <row r="513" spans="1:8" s="67" customFormat="1" ht="24.8" customHeight="1" outlineLevel="7" x14ac:dyDescent="0.3">
      <c r="A513" s="24" t="s">
        <v>74</v>
      </c>
      <c r="B513" s="23" t="s">
        <v>490</v>
      </c>
      <c r="C513" s="23" t="s">
        <v>111</v>
      </c>
      <c r="D513" s="23" t="s">
        <v>145</v>
      </c>
      <c r="E513" s="26" t="s">
        <v>75</v>
      </c>
      <c r="F513" s="19">
        <v>85923430</v>
      </c>
      <c r="G513" s="19">
        <v>90848135</v>
      </c>
    </row>
    <row r="514" spans="1:8" s="67" customFormat="1" ht="36.700000000000003" outlineLevel="7" x14ac:dyDescent="0.25">
      <c r="A514" s="40" t="s">
        <v>201</v>
      </c>
      <c r="B514" s="23" t="s">
        <v>490</v>
      </c>
      <c r="C514" s="23" t="s">
        <v>111</v>
      </c>
      <c r="D514" s="23" t="s">
        <v>218</v>
      </c>
      <c r="E514" s="26" t="s">
        <v>6</v>
      </c>
      <c r="F514" s="30">
        <f>F533+F515+F518+F521+F524</f>
        <v>2407483.4</v>
      </c>
      <c r="G514" s="30">
        <f>G533+G515+G518+G521+G524</f>
        <v>549500</v>
      </c>
    </row>
    <row r="515" spans="1:8" s="67" customFormat="1" ht="39.75" customHeight="1" outlineLevel="7" x14ac:dyDescent="0.25">
      <c r="A515" s="24" t="s">
        <v>274</v>
      </c>
      <c r="B515" s="23" t="s">
        <v>490</v>
      </c>
      <c r="C515" s="23" t="s">
        <v>111</v>
      </c>
      <c r="D515" s="23" t="s">
        <v>275</v>
      </c>
      <c r="E515" s="26" t="s">
        <v>6</v>
      </c>
      <c r="F515" s="30">
        <f>F516</f>
        <v>97500</v>
      </c>
      <c r="G515" s="30">
        <f>G516</f>
        <v>97500</v>
      </c>
    </row>
    <row r="516" spans="1:8" s="67" customFormat="1" ht="0.7" customHeight="1" outlineLevel="7" x14ac:dyDescent="0.25">
      <c r="A516" s="24" t="s">
        <v>37</v>
      </c>
      <c r="B516" s="23" t="s">
        <v>490</v>
      </c>
      <c r="C516" s="23" t="s">
        <v>111</v>
      </c>
      <c r="D516" s="23" t="s">
        <v>275</v>
      </c>
      <c r="E516" s="26" t="s">
        <v>38</v>
      </c>
      <c r="F516" s="30">
        <f>F517</f>
        <v>97500</v>
      </c>
      <c r="G516" s="30">
        <f>G517</f>
        <v>97500</v>
      </c>
    </row>
    <row r="517" spans="1:8" s="67" customFormat="1" outlineLevel="7" x14ac:dyDescent="0.25">
      <c r="A517" s="24" t="s">
        <v>74</v>
      </c>
      <c r="B517" s="23" t="s">
        <v>490</v>
      </c>
      <c r="C517" s="23" t="s">
        <v>111</v>
      </c>
      <c r="D517" s="23" t="s">
        <v>275</v>
      </c>
      <c r="E517" s="26" t="s">
        <v>75</v>
      </c>
      <c r="F517" s="30">
        <v>97500</v>
      </c>
      <c r="G517" s="30">
        <v>97500</v>
      </c>
    </row>
    <row r="518" spans="1:8" s="67" customFormat="1" ht="36.700000000000003" outlineLevel="7" x14ac:dyDescent="0.25">
      <c r="A518" s="24" t="s">
        <v>262</v>
      </c>
      <c r="B518" s="23" t="s">
        <v>490</v>
      </c>
      <c r="C518" s="23" t="s">
        <v>111</v>
      </c>
      <c r="D518" s="23" t="s">
        <v>276</v>
      </c>
      <c r="E518" s="26" t="s">
        <v>6</v>
      </c>
      <c r="F518" s="51">
        <f>F519</f>
        <v>152000</v>
      </c>
      <c r="G518" s="51">
        <f>G519</f>
        <v>152000</v>
      </c>
    </row>
    <row r="519" spans="1:8" s="67" customFormat="1" ht="36.700000000000003" outlineLevel="7" x14ac:dyDescent="0.25">
      <c r="A519" s="24" t="s">
        <v>37</v>
      </c>
      <c r="B519" s="23" t="s">
        <v>490</v>
      </c>
      <c r="C519" s="23" t="s">
        <v>111</v>
      </c>
      <c r="D519" s="23" t="s">
        <v>276</v>
      </c>
      <c r="E519" s="26" t="s">
        <v>38</v>
      </c>
      <c r="F519" s="51">
        <f>F520</f>
        <v>152000</v>
      </c>
      <c r="G519" s="51">
        <f>G520</f>
        <v>152000</v>
      </c>
    </row>
    <row r="520" spans="1:8" s="67" customFormat="1" outlineLevel="7" x14ac:dyDescent="0.25">
      <c r="A520" s="24" t="s">
        <v>74</v>
      </c>
      <c r="B520" s="23" t="s">
        <v>490</v>
      </c>
      <c r="C520" s="23" t="s">
        <v>111</v>
      </c>
      <c r="D520" s="23" t="s">
        <v>276</v>
      </c>
      <c r="E520" s="26" t="s">
        <v>75</v>
      </c>
      <c r="F520" s="30">
        <v>152000</v>
      </c>
      <c r="G520" s="30">
        <v>152000</v>
      </c>
    </row>
    <row r="521" spans="1:8" s="67" customFormat="1" outlineLevel="7" x14ac:dyDescent="0.25">
      <c r="A521" s="24" t="s">
        <v>300</v>
      </c>
      <c r="B521" s="23" t="s">
        <v>490</v>
      </c>
      <c r="C521" s="23" t="s">
        <v>111</v>
      </c>
      <c r="D521" s="23" t="s">
        <v>488</v>
      </c>
      <c r="E521" s="23" t="s">
        <v>6</v>
      </c>
      <c r="F521" s="30">
        <f>F522</f>
        <v>400000</v>
      </c>
      <c r="G521" s="30">
        <f>G522</f>
        <v>200000</v>
      </c>
    </row>
    <row r="522" spans="1:8" s="67" customFormat="1" ht="36.700000000000003" outlineLevel="7" x14ac:dyDescent="0.25">
      <c r="A522" s="24" t="s">
        <v>37</v>
      </c>
      <c r="B522" s="23" t="s">
        <v>490</v>
      </c>
      <c r="C522" s="23" t="s">
        <v>111</v>
      </c>
      <c r="D522" s="23" t="s">
        <v>488</v>
      </c>
      <c r="E522" s="23" t="s">
        <v>38</v>
      </c>
      <c r="F522" s="30">
        <f>F523</f>
        <v>400000</v>
      </c>
      <c r="G522" s="30">
        <f>G523</f>
        <v>200000</v>
      </c>
    </row>
    <row r="523" spans="1:8" outlineLevel="7" x14ac:dyDescent="0.25">
      <c r="A523" s="24" t="s">
        <v>74</v>
      </c>
      <c r="B523" s="23" t="s">
        <v>490</v>
      </c>
      <c r="C523" s="23" t="s">
        <v>111</v>
      </c>
      <c r="D523" s="23" t="s">
        <v>488</v>
      </c>
      <c r="E523" s="23" t="s">
        <v>75</v>
      </c>
      <c r="F523" s="30">
        <v>400000</v>
      </c>
      <c r="G523" s="30">
        <v>200000</v>
      </c>
    </row>
    <row r="524" spans="1:8" ht="55.05" outlineLevel="7" x14ac:dyDescent="0.25">
      <c r="A524" s="40" t="s">
        <v>415</v>
      </c>
      <c r="B524" s="23" t="s">
        <v>490</v>
      </c>
      <c r="C524" s="23" t="s">
        <v>111</v>
      </c>
      <c r="D524" s="23" t="s">
        <v>416</v>
      </c>
      <c r="E524" s="23" t="s">
        <v>6</v>
      </c>
      <c r="F524" s="30">
        <f>F525</f>
        <v>1400000</v>
      </c>
      <c r="G524" s="30">
        <f>G525</f>
        <v>100000</v>
      </c>
    </row>
    <row r="525" spans="1:8" ht="36.700000000000003" outlineLevel="7" x14ac:dyDescent="0.25">
      <c r="A525" s="24" t="s">
        <v>37</v>
      </c>
      <c r="B525" s="23" t="s">
        <v>490</v>
      </c>
      <c r="C525" s="23" t="s">
        <v>111</v>
      </c>
      <c r="D525" s="23" t="s">
        <v>416</v>
      </c>
      <c r="E525" s="23" t="s">
        <v>38</v>
      </c>
      <c r="F525" s="30">
        <f>F526</f>
        <v>1400000</v>
      </c>
      <c r="G525" s="30">
        <f>G526</f>
        <v>100000</v>
      </c>
    </row>
    <row r="526" spans="1:8" ht="18.7" customHeight="1" outlineLevel="2" x14ac:dyDescent="0.25">
      <c r="A526" s="24" t="s">
        <v>74</v>
      </c>
      <c r="B526" s="23" t="s">
        <v>490</v>
      </c>
      <c r="C526" s="23" t="s">
        <v>111</v>
      </c>
      <c r="D526" s="23" t="s">
        <v>416</v>
      </c>
      <c r="E526" s="23" t="s">
        <v>75</v>
      </c>
      <c r="F526" s="30">
        <v>1400000</v>
      </c>
      <c r="G526" s="30">
        <v>100000</v>
      </c>
    </row>
    <row r="527" spans="1:8" s="76" customFormat="1" ht="21.25" customHeight="1" outlineLevel="3" x14ac:dyDescent="0.25">
      <c r="A527" s="24" t="s">
        <v>656</v>
      </c>
      <c r="B527" s="23" t="s">
        <v>490</v>
      </c>
      <c r="C527" s="23" t="s">
        <v>111</v>
      </c>
      <c r="D527" s="23" t="s">
        <v>657</v>
      </c>
      <c r="E527" s="23" t="s">
        <v>6</v>
      </c>
      <c r="F527" s="30">
        <f>F528</f>
        <v>0</v>
      </c>
      <c r="G527" s="30">
        <f>G528</f>
        <v>0</v>
      </c>
      <c r="H527" s="75"/>
    </row>
    <row r="528" spans="1:8" ht="28.55" customHeight="1" outlineLevel="4" x14ac:dyDescent="0.25">
      <c r="A528" s="24" t="s">
        <v>37</v>
      </c>
      <c r="B528" s="23" t="s">
        <v>490</v>
      </c>
      <c r="C528" s="23" t="s">
        <v>111</v>
      </c>
      <c r="D528" s="23" t="s">
        <v>657</v>
      </c>
      <c r="E528" s="23" t="s">
        <v>38</v>
      </c>
      <c r="F528" s="30">
        <f>F529</f>
        <v>0</v>
      </c>
      <c r="G528" s="30">
        <f>G529</f>
        <v>0</v>
      </c>
    </row>
    <row r="529" spans="1:7" ht="20.25" customHeight="1" outlineLevel="4" x14ac:dyDescent="0.25">
      <c r="A529" s="24" t="s">
        <v>74</v>
      </c>
      <c r="B529" s="23" t="s">
        <v>490</v>
      </c>
      <c r="C529" s="23" t="s">
        <v>111</v>
      </c>
      <c r="D529" s="23" t="s">
        <v>657</v>
      </c>
      <c r="E529" s="23" t="s">
        <v>75</v>
      </c>
      <c r="F529" s="30">
        <v>0</v>
      </c>
      <c r="G529" s="30"/>
    </row>
    <row r="530" spans="1:7" ht="83.25" customHeight="1" outlineLevel="4" x14ac:dyDescent="0.25">
      <c r="A530" s="31" t="s">
        <v>533</v>
      </c>
      <c r="B530" s="23" t="s">
        <v>490</v>
      </c>
      <c r="C530" s="23" t="s">
        <v>111</v>
      </c>
      <c r="D530" s="23" t="s">
        <v>534</v>
      </c>
      <c r="E530" s="23" t="s">
        <v>6</v>
      </c>
      <c r="F530" s="30">
        <f>F531</f>
        <v>0</v>
      </c>
      <c r="G530" s="30">
        <f>G531</f>
        <v>0</v>
      </c>
    </row>
    <row r="531" spans="1:7" ht="36.700000000000003" outlineLevel="4" x14ac:dyDescent="0.25">
      <c r="A531" s="24" t="s">
        <v>37</v>
      </c>
      <c r="B531" s="23" t="s">
        <v>490</v>
      </c>
      <c r="C531" s="23" t="s">
        <v>111</v>
      </c>
      <c r="D531" s="23" t="s">
        <v>534</v>
      </c>
      <c r="E531" s="23" t="s">
        <v>38</v>
      </c>
      <c r="F531" s="30">
        <f>F532</f>
        <v>0</v>
      </c>
      <c r="G531" s="30">
        <f>G532</f>
        <v>0</v>
      </c>
    </row>
    <row r="532" spans="1:7" outlineLevel="4" x14ac:dyDescent="0.25">
      <c r="A532" s="24" t="s">
        <v>74</v>
      </c>
      <c r="B532" s="23" t="s">
        <v>490</v>
      </c>
      <c r="C532" s="23" t="s">
        <v>111</v>
      </c>
      <c r="D532" s="23" t="s">
        <v>534</v>
      </c>
      <c r="E532" s="23" t="s">
        <v>75</v>
      </c>
      <c r="F532" s="30">
        <v>0</v>
      </c>
      <c r="G532" s="30">
        <v>0</v>
      </c>
    </row>
    <row r="533" spans="1:7" ht="64.2" customHeight="1" outlineLevel="5" x14ac:dyDescent="0.25">
      <c r="A533" s="24" t="s">
        <v>405</v>
      </c>
      <c r="B533" s="23" t="s">
        <v>490</v>
      </c>
      <c r="C533" s="23" t="s">
        <v>111</v>
      </c>
      <c r="D533" s="23" t="s">
        <v>406</v>
      </c>
      <c r="E533" s="26" t="s">
        <v>6</v>
      </c>
      <c r="F533" s="51">
        <f>F534</f>
        <v>357983.4</v>
      </c>
      <c r="G533" s="51">
        <f>G534</f>
        <v>0</v>
      </c>
    </row>
    <row r="534" spans="1:7" ht="36.700000000000003" customHeight="1" outlineLevel="6" x14ac:dyDescent="0.25">
      <c r="A534" s="24" t="s">
        <v>37</v>
      </c>
      <c r="B534" s="23" t="s">
        <v>490</v>
      </c>
      <c r="C534" s="23" t="s">
        <v>111</v>
      </c>
      <c r="D534" s="23" t="s">
        <v>406</v>
      </c>
      <c r="E534" s="26" t="s">
        <v>38</v>
      </c>
      <c r="F534" s="51">
        <f>F535</f>
        <v>357983.4</v>
      </c>
      <c r="G534" s="51">
        <f>G535</f>
        <v>0</v>
      </c>
    </row>
    <row r="535" spans="1:7" ht="27.2" customHeight="1" outlineLevel="7" x14ac:dyDescent="0.25">
      <c r="A535" s="24" t="s">
        <v>74</v>
      </c>
      <c r="B535" s="23" t="s">
        <v>490</v>
      </c>
      <c r="C535" s="23" t="s">
        <v>111</v>
      </c>
      <c r="D535" s="23" t="s">
        <v>406</v>
      </c>
      <c r="E535" s="26" t="s">
        <v>75</v>
      </c>
      <c r="F535" s="30">
        <v>357983.4</v>
      </c>
      <c r="G535" s="30"/>
    </row>
    <row r="536" spans="1:7" ht="25.15" customHeight="1" outlineLevel="5" x14ac:dyDescent="0.25">
      <c r="A536" s="41" t="s">
        <v>535</v>
      </c>
      <c r="B536" s="23" t="s">
        <v>490</v>
      </c>
      <c r="C536" s="23" t="s">
        <v>111</v>
      </c>
      <c r="D536" s="23" t="s">
        <v>536</v>
      </c>
      <c r="E536" s="23" t="s">
        <v>6</v>
      </c>
      <c r="F536" s="30">
        <f t="shared" ref="F536:G538" si="33">F537</f>
        <v>0</v>
      </c>
      <c r="G536" s="30">
        <f t="shared" si="33"/>
        <v>0</v>
      </c>
    </row>
    <row r="537" spans="1:7" ht="23.8" customHeight="1" outlineLevel="5" x14ac:dyDescent="0.25">
      <c r="A537" s="40" t="s">
        <v>513</v>
      </c>
      <c r="B537" s="23" t="s">
        <v>490</v>
      </c>
      <c r="C537" s="23" t="s">
        <v>111</v>
      </c>
      <c r="D537" s="23" t="s">
        <v>609</v>
      </c>
      <c r="E537" s="23" t="s">
        <v>6</v>
      </c>
      <c r="F537" s="30">
        <f t="shared" si="33"/>
        <v>0</v>
      </c>
      <c r="G537" s="30">
        <f t="shared" si="33"/>
        <v>0</v>
      </c>
    </row>
    <row r="538" spans="1:7" ht="39.75" customHeight="1" outlineLevel="5" x14ac:dyDescent="0.25">
      <c r="A538" s="24" t="s">
        <v>258</v>
      </c>
      <c r="B538" s="23" t="s">
        <v>490</v>
      </c>
      <c r="C538" s="23" t="s">
        <v>111</v>
      </c>
      <c r="D538" s="23" t="s">
        <v>609</v>
      </c>
      <c r="E538" s="23" t="s">
        <v>259</v>
      </c>
      <c r="F538" s="30">
        <f t="shared" si="33"/>
        <v>0</v>
      </c>
      <c r="G538" s="30">
        <f t="shared" si="33"/>
        <v>0</v>
      </c>
    </row>
    <row r="539" spans="1:7" s="67" customFormat="1" ht="4.75" customHeight="1" outlineLevel="5" x14ac:dyDescent="0.25">
      <c r="A539" s="24" t="s">
        <v>260</v>
      </c>
      <c r="B539" s="23" t="s">
        <v>490</v>
      </c>
      <c r="C539" s="23" t="s">
        <v>111</v>
      </c>
      <c r="D539" s="23" t="s">
        <v>609</v>
      </c>
      <c r="E539" s="23" t="s">
        <v>261</v>
      </c>
      <c r="F539" s="30">
        <v>0</v>
      </c>
      <c r="G539" s="30">
        <v>0</v>
      </c>
    </row>
    <row r="540" spans="1:7" s="67" customFormat="1" outlineLevel="5" x14ac:dyDescent="0.25">
      <c r="A540" s="24" t="s">
        <v>71</v>
      </c>
      <c r="B540" s="23" t="s">
        <v>490</v>
      </c>
      <c r="C540" s="23" t="s">
        <v>72</v>
      </c>
      <c r="D540" s="23" t="s">
        <v>126</v>
      </c>
      <c r="E540" s="26" t="s">
        <v>6</v>
      </c>
      <c r="F540" s="25">
        <f>F541</f>
        <v>391756723.39999998</v>
      </c>
      <c r="G540" s="25">
        <f>G541</f>
        <v>410357303.31</v>
      </c>
    </row>
    <row r="541" spans="1:7" s="67" customFormat="1" ht="55.05" outlineLevel="5" x14ac:dyDescent="0.25">
      <c r="A541" s="37" t="s">
        <v>720</v>
      </c>
      <c r="B541" s="38" t="s">
        <v>490</v>
      </c>
      <c r="C541" s="38" t="s">
        <v>72</v>
      </c>
      <c r="D541" s="38" t="s">
        <v>138</v>
      </c>
      <c r="E541" s="39" t="s">
        <v>6</v>
      </c>
      <c r="F541" s="28">
        <f>F542</f>
        <v>391756723.39999998</v>
      </c>
      <c r="G541" s="28">
        <f>G542</f>
        <v>410357303.31</v>
      </c>
    </row>
    <row r="542" spans="1:7" s="67" customFormat="1" ht="58.75" customHeight="1" outlineLevel="5" x14ac:dyDescent="0.25">
      <c r="A542" s="24" t="s">
        <v>725</v>
      </c>
      <c r="B542" s="23" t="s">
        <v>490</v>
      </c>
      <c r="C542" s="23" t="s">
        <v>72</v>
      </c>
      <c r="D542" s="23" t="s">
        <v>146</v>
      </c>
      <c r="E542" s="26" t="s">
        <v>6</v>
      </c>
      <c r="F542" s="25">
        <f>F543+F556+F572+F576</f>
        <v>391756723.39999998</v>
      </c>
      <c r="G542" s="25">
        <f>G543+G556+G572+G576</f>
        <v>410357303.31</v>
      </c>
    </row>
    <row r="543" spans="1:7" s="67" customFormat="1" ht="55.05" outlineLevel="5" x14ac:dyDescent="0.25">
      <c r="A543" s="40" t="s">
        <v>203</v>
      </c>
      <c r="B543" s="23" t="s">
        <v>490</v>
      </c>
      <c r="C543" s="23" t="s">
        <v>72</v>
      </c>
      <c r="D543" s="23" t="s">
        <v>219</v>
      </c>
      <c r="E543" s="26" t="s">
        <v>6</v>
      </c>
      <c r="F543" s="25">
        <f>F544+F547+F550+F553</f>
        <v>380525659.37</v>
      </c>
      <c r="G543" s="25">
        <f>G544+G547+G550+G553</f>
        <v>400929643</v>
      </c>
    </row>
    <row r="544" spans="1:7" s="67" customFormat="1" ht="73.400000000000006" outlineLevel="5" x14ac:dyDescent="0.25">
      <c r="A544" s="12" t="s">
        <v>537</v>
      </c>
      <c r="B544" s="23" t="s">
        <v>490</v>
      </c>
      <c r="C544" s="23" t="s">
        <v>72</v>
      </c>
      <c r="D544" s="23" t="s">
        <v>538</v>
      </c>
      <c r="E544" s="26" t="s">
        <v>6</v>
      </c>
      <c r="F544" s="25">
        <f>F545</f>
        <v>20475000</v>
      </c>
      <c r="G544" s="25">
        <f>G545</f>
        <v>23400000</v>
      </c>
    </row>
    <row r="545" spans="1:7" s="67" customFormat="1" ht="36.700000000000003" outlineLevel="5" x14ac:dyDescent="0.25">
      <c r="A545" s="24" t="s">
        <v>37</v>
      </c>
      <c r="B545" s="23" t="s">
        <v>490</v>
      </c>
      <c r="C545" s="23" t="s">
        <v>72</v>
      </c>
      <c r="D545" s="23" t="s">
        <v>538</v>
      </c>
      <c r="E545" s="26" t="s">
        <v>38</v>
      </c>
      <c r="F545" s="25">
        <f>F546</f>
        <v>20475000</v>
      </c>
      <c r="G545" s="25">
        <f>G546</f>
        <v>23400000</v>
      </c>
    </row>
    <row r="546" spans="1:7" s="67" customFormat="1" outlineLevel="5" x14ac:dyDescent="0.25">
      <c r="A546" s="24" t="s">
        <v>74</v>
      </c>
      <c r="B546" s="23" t="s">
        <v>490</v>
      </c>
      <c r="C546" s="23" t="s">
        <v>72</v>
      </c>
      <c r="D546" s="23" t="s">
        <v>538</v>
      </c>
      <c r="E546" s="26" t="s">
        <v>75</v>
      </c>
      <c r="F546" s="25">
        <v>20475000</v>
      </c>
      <c r="G546" s="25">
        <f>20475000+2925000</f>
        <v>23400000</v>
      </c>
    </row>
    <row r="547" spans="1:7" s="67" customFormat="1" ht="55.05" outlineLevel="5" x14ac:dyDescent="0.25">
      <c r="A547" s="24" t="s">
        <v>114</v>
      </c>
      <c r="B547" s="23" t="s">
        <v>490</v>
      </c>
      <c r="C547" s="23" t="s">
        <v>72</v>
      </c>
      <c r="D547" s="23" t="s">
        <v>147</v>
      </c>
      <c r="E547" s="26" t="s">
        <v>6</v>
      </c>
      <c r="F547" s="25">
        <f>F548</f>
        <v>95919169.370000005</v>
      </c>
      <c r="G547" s="25">
        <f>G548</f>
        <v>98303417</v>
      </c>
    </row>
    <row r="548" spans="1:7" s="67" customFormat="1" ht="36.700000000000003" outlineLevel="5" x14ac:dyDescent="0.25">
      <c r="A548" s="24" t="s">
        <v>37</v>
      </c>
      <c r="B548" s="23" t="s">
        <v>490</v>
      </c>
      <c r="C548" s="23" t="s">
        <v>72</v>
      </c>
      <c r="D548" s="23" t="s">
        <v>147</v>
      </c>
      <c r="E548" s="26" t="s">
        <v>38</v>
      </c>
      <c r="F548" s="25">
        <f>F549</f>
        <v>95919169.370000005</v>
      </c>
      <c r="G548" s="25">
        <f>G549</f>
        <v>98303417</v>
      </c>
    </row>
    <row r="549" spans="1:7" s="67" customFormat="1" outlineLevel="5" x14ac:dyDescent="0.3">
      <c r="A549" s="24" t="s">
        <v>74</v>
      </c>
      <c r="B549" s="23" t="s">
        <v>490</v>
      </c>
      <c r="C549" s="23" t="s">
        <v>72</v>
      </c>
      <c r="D549" s="23" t="s">
        <v>147</v>
      </c>
      <c r="E549" s="26" t="s">
        <v>75</v>
      </c>
      <c r="F549" s="19">
        <f>98708879.17-1327506.08-1103403.72-358800</f>
        <v>95919169.370000005</v>
      </c>
      <c r="G549" s="19">
        <v>98303417</v>
      </c>
    </row>
    <row r="550" spans="1:7" s="67" customFormat="1" ht="146.75" outlineLevel="5" x14ac:dyDescent="0.25">
      <c r="A550" s="40" t="s">
        <v>376</v>
      </c>
      <c r="B550" s="23" t="s">
        <v>490</v>
      </c>
      <c r="C550" s="23" t="s">
        <v>72</v>
      </c>
      <c r="D550" s="23" t="s">
        <v>148</v>
      </c>
      <c r="E550" s="26" t="s">
        <v>6</v>
      </c>
      <c r="F550" s="25">
        <f>F551</f>
        <v>253254890</v>
      </c>
      <c r="G550" s="25">
        <f>G551</f>
        <v>268349626</v>
      </c>
    </row>
    <row r="551" spans="1:7" s="67" customFormat="1" ht="36.700000000000003" outlineLevel="5" x14ac:dyDescent="0.25">
      <c r="A551" s="24" t="s">
        <v>37</v>
      </c>
      <c r="B551" s="23" t="s">
        <v>490</v>
      </c>
      <c r="C551" s="23" t="s">
        <v>72</v>
      </c>
      <c r="D551" s="23" t="s">
        <v>148</v>
      </c>
      <c r="E551" s="26" t="s">
        <v>38</v>
      </c>
      <c r="F551" s="25">
        <f>F552</f>
        <v>253254890</v>
      </c>
      <c r="G551" s="25">
        <f>G552</f>
        <v>268349626</v>
      </c>
    </row>
    <row r="552" spans="1:7" s="67" customFormat="1" outlineLevel="5" x14ac:dyDescent="0.25">
      <c r="A552" s="24" t="s">
        <v>74</v>
      </c>
      <c r="B552" s="23" t="s">
        <v>490</v>
      </c>
      <c r="C552" s="23" t="s">
        <v>72</v>
      </c>
      <c r="D552" s="23" t="s">
        <v>148</v>
      </c>
      <c r="E552" s="26" t="s">
        <v>75</v>
      </c>
      <c r="F552" s="30">
        <v>253254890</v>
      </c>
      <c r="G552" s="30">
        <v>268349626</v>
      </c>
    </row>
    <row r="553" spans="1:7" s="67" customFormat="1" ht="146.75" outlineLevel="5" x14ac:dyDescent="0.25">
      <c r="A553" s="12" t="s">
        <v>426</v>
      </c>
      <c r="B553" s="23" t="s">
        <v>490</v>
      </c>
      <c r="C553" s="23" t="s">
        <v>72</v>
      </c>
      <c r="D553" s="23" t="s">
        <v>794</v>
      </c>
      <c r="E553" s="26" t="s">
        <v>6</v>
      </c>
      <c r="F553" s="30">
        <f>F554</f>
        <v>10876600</v>
      </c>
      <c r="G553" s="30">
        <f>G554</f>
        <v>10876600</v>
      </c>
    </row>
    <row r="554" spans="1:7" s="67" customFormat="1" ht="36.700000000000003" outlineLevel="5" x14ac:dyDescent="0.25">
      <c r="A554" s="24" t="s">
        <v>37</v>
      </c>
      <c r="B554" s="23" t="s">
        <v>490</v>
      </c>
      <c r="C554" s="23" t="s">
        <v>72</v>
      </c>
      <c r="D554" s="23" t="s">
        <v>794</v>
      </c>
      <c r="E554" s="26" t="s">
        <v>38</v>
      </c>
      <c r="F554" s="30">
        <f>F555</f>
        <v>10876600</v>
      </c>
      <c r="G554" s="30">
        <f>G555</f>
        <v>10876600</v>
      </c>
    </row>
    <row r="555" spans="1:7" outlineLevel="5" x14ac:dyDescent="0.25">
      <c r="A555" s="24" t="s">
        <v>74</v>
      </c>
      <c r="B555" s="23" t="s">
        <v>490</v>
      </c>
      <c r="C555" s="23" t="s">
        <v>72</v>
      </c>
      <c r="D555" s="23" t="s">
        <v>794</v>
      </c>
      <c r="E555" s="26" t="s">
        <v>75</v>
      </c>
      <c r="F555" s="30">
        <v>10876600</v>
      </c>
      <c r="G555" s="30">
        <v>10876600</v>
      </c>
    </row>
    <row r="556" spans="1:7" ht="36.700000000000003" outlineLevel="5" x14ac:dyDescent="0.25">
      <c r="A556" s="40" t="s">
        <v>204</v>
      </c>
      <c r="B556" s="23" t="s">
        <v>490</v>
      </c>
      <c r="C556" s="23" t="s">
        <v>72</v>
      </c>
      <c r="D556" s="23" t="s">
        <v>217</v>
      </c>
      <c r="E556" s="26" t="s">
        <v>6</v>
      </c>
      <c r="F556" s="30">
        <f>F569+F557+F560+F566+F563</f>
        <v>2356579.52</v>
      </c>
      <c r="G556" s="30">
        <f>G569+G557+G560+G566+G563</f>
        <v>662800</v>
      </c>
    </row>
    <row r="557" spans="1:7" ht="36.700000000000003" outlineLevel="5" x14ac:dyDescent="0.25">
      <c r="A557" s="24" t="s">
        <v>262</v>
      </c>
      <c r="B557" s="23" t="s">
        <v>490</v>
      </c>
      <c r="C557" s="23" t="s">
        <v>72</v>
      </c>
      <c r="D557" s="23" t="s">
        <v>263</v>
      </c>
      <c r="E557" s="26" t="s">
        <v>6</v>
      </c>
      <c r="F557" s="51">
        <f>F558</f>
        <v>212800</v>
      </c>
      <c r="G557" s="51">
        <f>G558</f>
        <v>212800</v>
      </c>
    </row>
    <row r="558" spans="1:7" ht="36.700000000000003" outlineLevel="5" x14ac:dyDescent="0.25">
      <c r="A558" s="24" t="s">
        <v>37</v>
      </c>
      <c r="B558" s="23" t="s">
        <v>490</v>
      </c>
      <c r="C558" s="23" t="s">
        <v>72</v>
      </c>
      <c r="D558" s="23" t="s">
        <v>263</v>
      </c>
      <c r="E558" s="26" t="s">
        <v>38</v>
      </c>
      <c r="F558" s="51">
        <f>F559</f>
        <v>212800</v>
      </c>
      <c r="G558" s="51">
        <f>G559</f>
        <v>212800</v>
      </c>
    </row>
    <row r="559" spans="1:7" outlineLevel="5" x14ac:dyDescent="0.25">
      <c r="A559" s="24" t="s">
        <v>74</v>
      </c>
      <c r="B559" s="23" t="s">
        <v>490</v>
      </c>
      <c r="C559" s="23" t="s">
        <v>72</v>
      </c>
      <c r="D559" s="23" t="s">
        <v>263</v>
      </c>
      <c r="E559" s="26" t="s">
        <v>75</v>
      </c>
      <c r="F559" s="30">
        <v>212800</v>
      </c>
      <c r="G559" s="30">
        <v>212800</v>
      </c>
    </row>
    <row r="560" spans="1:7" outlineLevel="5" x14ac:dyDescent="0.25">
      <c r="A560" s="54" t="s">
        <v>300</v>
      </c>
      <c r="B560" s="23" t="s">
        <v>490</v>
      </c>
      <c r="C560" s="23" t="s">
        <v>72</v>
      </c>
      <c r="D560" s="23" t="s">
        <v>301</v>
      </c>
      <c r="E560" s="26" t="s">
        <v>6</v>
      </c>
      <c r="F560" s="51">
        <f>F561</f>
        <v>350000</v>
      </c>
      <c r="G560" s="51">
        <f>G561</f>
        <v>350000</v>
      </c>
    </row>
    <row r="561" spans="1:8" ht="36.700000000000003" outlineLevel="5" x14ac:dyDescent="0.25">
      <c r="A561" s="24" t="s">
        <v>37</v>
      </c>
      <c r="B561" s="23" t="s">
        <v>490</v>
      </c>
      <c r="C561" s="23" t="s">
        <v>72</v>
      </c>
      <c r="D561" s="23" t="s">
        <v>301</v>
      </c>
      <c r="E561" s="26" t="s">
        <v>38</v>
      </c>
      <c r="F561" s="51">
        <f>F562</f>
        <v>350000</v>
      </c>
      <c r="G561" s="51">
        <f>G562</f>
        <v>350000</v>
      </c>
    </row>
    <row r="562" spans="1:8" outlineLevel="5" x14ac:dyDescent="0.25">
      <c r="A562" s="24" t="s">
        <v>74</v>
      </c>
      <c r="B562" s="23" t="s">
        <v>490</v>
      </c>
      <c r="C562" s="23" t="s">
        <v>72</v>
      </c>
      <c r="D562" s="23" t="s">
        <v>301</v>
      </c>
      <c r="E562" s="26" t="s">
        <v>75</v>
      </c>
      <c r="F562" s="30">
        <v>350000</v>
      </c>
      <c r="G562" s="30">
        <v>350000</v>
      </c>
    </row>
    <row r="563" spans="1:8" ht="39.75" customHeight="1" outlineLevel="5" x14ac:dyDescent="0.25">
      <c r="A563" s="40" t="s">
        <v>415</v>
      </c>
      <c r="B563" s="23" t="s">
        <v>490</v>
      </c>
      <c r="C563" s="23" t="s">
        <v>72</v>
      </c>
      <c r="D563" s="23" t="s">
        <v>651</v>
      </c>
      <c r="E563" s="23" t="s">
        <v>6</v>
      </c>
      <c r="F563" s="30">
        <f>F564</f>
        <v>800000</v>
      </c>
      <c r="G563" s="30">
        <f>G564</f>
        <v>100000</v>
      </c>
    </row>
    <row r="564" spans="1:8" ht="36.700000000000003" outlineLevel="5" x14ac:dyDescent="0.25">
      <c r="A564" s="24" t="s">
        <v>37</v>
      </c>
      <c r="B564" s="23" t="s">
        <v>490</v>
      </c>
      <c r="C564" s="23" t="s">
        <v>72</v>
      </c>
      <c r="D564" s="23" t="s">
        <v>651</v>
      </c>
      <c r="E564" s="23" t="s">
        <v>38</v>
      </c>
      <c r="F564" s="30">
        <f>F565</f>
        <v>800000</v>
      </c>
      <c r="G564" s="30">
        <f>G565</f>
        <v>100000</v>
      </c>
    </row>
    <row r="565" spans="1:8" ht="23.95" customHeight="1" outlineLevel="5" x14ac:dyDescent="0.25">
      <c r="A565" s="24" t="s">
        <v>74</v>
      </c>
      <c r="B565" s="23" t="s">
        <v>490</v>
      </c>
      <c r="C565" s="23" t="s">
        <v>72</v>
      </c>
      <c r="D565" s="23" t="s">
        <v>651</v>
      </c>
      <c r="E565" s="23" t="s">
        <v>75</v>
      </c>
      <c r="F565" s="30">
        <v>800000</v>
      </c>
      <c r="G565" s="30">
        <v>100000</v>
      </c>
    </row>
    <row r="566" spans="1:8" ht="52.3" customHeight="1" outlineLevel="5" x14ac:dyDescent="0.25">
      <c r="A566" s="12" t="s">
        <v>539</v>
      </c>
      <c r="B566" s="23" t="s">
        <v>490</v>
      </c>
      <c r="C566" s="23" t="s">
        <v>72</v>
      </c>
      <c r="D566" s="23" t="s">
        <v>540</v>
      </c>
      <c r="E566" s="23" t="s">
        <v>6</v>
      </c>
      <c r="F566" s="30">
        <f>F567</f>
        <v>0</v>
      </c>
      <c r="G566" s="30">
        <f>G567</f>
        <v>0</v>
      </c>
    </row>
    <row r="567" spans="1:8" s="76" customFormat="1" ht="36.700000000000003" outlineLevel="5" x14ac:dyDescent="0.25">
      <c r="A567" s="24" t="s">
        <v>37</v>
      </c>
      <c r="B567" s="23" t="s">
        <v>490</v>
      </c>
      <c r="C567" s="23" t="s">
        <v>72</v>
      </c>
      <c r="D567" s="23" t="s">
        <v>540</v>
      </c>
      <c r="E567" s="23" t="s">
        <v>38</v>
      </c>
      <c r="F567" s="30">
        <f>F568</f>
        <v>0</v>
      </c>
      <c r="G567" s="30">
        <f>G568</f>
        <v>0</v>
      </c>
      <c r="H567" s="75"/>
    </row>
    <row r="568" spans="1:8" ht="38.25" customHeight="1" outlineLevel="4" x14ac:dyDescent="0.25">
      <c r="A568" s="24" t="s">
        <v>74</v>
      </c>
      <c r="B568" s="23" t="s">
        <v>490</v>
      </c>
      <c r="C568" s="23" t="s">
        <v>72</v>
      </c>
      <c r="D568" s="23" t="s">
        <v>540</v>
      </c>
      <c r="E568" s="23" t="s">
        <v>75</v>
      </c>
      <c r="F568" s="30"/>
      <c r="G568" s="30"/>
    </row>
    <row r="569" spans="1:8" ht="36.700000000000003" outlineLevel="4" x14ac:dyDescent="0.25">
      <c r="A569" s="24" t="s">
        <v>407</v>
      </c>
      <c r="B569" s="23" t="s">
        <v>490</v>
      </c>
      <c r="C569" s="23" t="s">
        <v>72</v>
      </c>
      <c r="D569" s="23" t="s">
        <v>408</v>
      </c>
      <c r="E569" s="26" t="s">
        <v>6</v>
      </c>
      <c r="F569" s="51">
        <f>F570</f>
        <v>993779.52</v>
      </c>
      <c r="G569" s="51">
        <f>G570</f>
        <v>0</v>
      </c>
    </row>
    <row r="570" spans="1:8" ht="36.700000000000003" outlineLevel="5" x14ac:dyDescent="0.25">
      <c r="A570" s="24" t="s">
        <v>37</v>
      </c>
      <c r="B570" s="23" t="s">
        <v>490</v>
      </c>
      <c r="C570" s="23" t="s">
        <v>72</v>
      </c>
      <c r="D570" s="23" t="s">
        <v>408</v>
      </c>
      <c r="E570" s="26" t="s">
        <v>38</v>
      </c>
      <c r="F570" s="51">
        <f>F571</f>
        <v>993779.52</v>
      </c>
      <c r="G570" s="51">
        <f>G571</f>
        <v>0</v>
      </c>
    </row>
    <row r="571" spans="1:8" s="67" customFormat="1" outlineLevel="6" x14ac:dyDescent="0.25">
      <c r="A571" s="24" t="s">
        <v>74</v>
      </c>
      <c r="B571" s="23" t="s">
        <v>490</v>
      </c>
      <c r="C571" s="23" t="s">
        <v>72</v>
      </c>
      <c r="D571" s="23" t="s">
        <v>408</v>
      </c>
      <c r="E571" s="26" t="s">
        <v>75</v>
      </c>
      <c r="F571" s="30">
        <v>993779.52</v>
      </c>
      <c r="G571" s="30"/>
    </row>
    <row r="572" spans="1:8" s="67" customFormat="1" ht="36.700000000000003" outlineLevel="7" x14ac:dyDescent="0.25">
      <c r="A572" s="40" t="s">
        <v>267</v>
      </c>
      <c r="B572" s="23" t="s">
        <v>490</v>
      </c>
      <c r="C572" s="23" t="s">
        <v>72</v>
      </c>
      <c r="D572" s="23" t="s">
        <v>220</v>
      </c>
      <c r="E572" s="26" t="s">
        <v>6</v>
      </c>
      <c r="F572" s="30">
        <f t="shared" ref="F572:G574" si="34">F573</f>
        <v>6188850</v>
      </c>
      <c r="G572" s="30">
        <f t="shared" si="34"/>
        <v>6188850</v>
      </c>
    </row>
    <row r="573" spans="1:8" s="67" customFormat="1" ht="110.05" outlineLevel="7" x14ac:dyDescent="0.25">
      <c r="A573" s="55" t="s">
        <v>595</v>
      </c>
      <c r="B573" s="23" t="s">
        <v>490</v>
      </c>
      <c r="C573" s="23" t="s">
        <v>72</v>
      </c>
      <c r="D573" s="23" t="s">
        <v>596</v>
      </c>
      <c r="E573" s="26" t="s">
        <v>6</v>
      </c>
      <c r="F573" s="30">
        <f t="shared" si="34"/>
        <v>6188850</v>
      </c>
      <c r="G573" s="30">
        <f t="shared" si="34"/>
        <v>6188850</v>
      </c>
    </row>
    <row r="574" spans="1:8" s="67" customFormat="1" ht="36.700000000000003" outlineLevel="7" x14ac:dyDescent="0.25">
      <c r="A574" s="24" t="s">
        <v>37</v>
      </c>
      <c r="B574" s="23" t="s">
        <v>490</v>
      </c>
      <c r="C574" s="23" t="s">
        <v>72</v>
      </c>
      <c r="D574" s="23" t="s">
        <v>596</v>
      </c>
      <c r="E574" s="26" t="s">
        <v>38</v>
      </c>
      <c r="F574" s="30">
        <f t="shared" si="34"/>
        <v>6188850</v>
      </c>
      <c r="G574" s="30">
        <f t="shared" si="34"/>
        <v>6188850</v>
      </c>
    </row>
    <row r="575" spans="1:8" s="67" customFormat="1" ht="17.5" customHeight="1" outlineLevel="7" x14ac:dyDescent="0.25">
      <c r="A575" s="24" t="s">
        <v>74</v>
      </c>
      <c r="B575" s="23" t="s">
        <v>490</v>
      </c>
      <c r="C575" s="23" t="s">
        <v>72</v>
      </c>
      <c r="D575" s="23" t="s">
        <v>596</v>
      </c>
      <c r="E575" s="26" t="s">
        <v>75</v>
      </c>
      <c r="F575" s="30">
        <v>6188850</v>
      </c>
      <c r="G575" s="30">
        <v>6188850</v>
      </c>
    </row>
    <row r="576" spans="1:8" s="67" customFormat="1" ht="18.7" customHeight="1" outlineLevel="7" x14ac:dyDescent="0.25">
      <c r="A576" s="12" t="s">
        <v>424</v>
      </c>
      <c r="B576" s="23" t="s">
        <v>490</v>
      </c>
      <c r="C576" s="23" t="s">
        <v>72</v>
      </c>
      <c r="D576" s="23" t="s">
        <v>302</v>
      </c>
      <c r="E576" s="26" t="s">
        <v>6</v>
      </c>
      <c r="F576" s="30">
        <f t="shared" ref="F576:G578" si="35">F577</f>
        <v>2685634.5100000002</v>
      </c>
      <c r="G576" s="30">
        <f t="shared" si="35"/>
        <v>2576010.31</v>
      </c>
    </row>
    <row r="577" spans="1:8" s="67" customFormat="1" ht="21.25" customHeight="1" outlineLevel="7" x14ac:dyDescent="0.25">
      <c r="A577" s="24" t="s">
        <v>425</v>
      </c>
      <c r="B577" s="23" t="s">
        <v>490</v>
      </c>
      <c r="C577" s="23" t="s">
        <v>72</v>
      </c>
      <c r="D577" s="23" t="s">
        <v>592</v>
      </c>
      <c r="E577" s="26" t="s">
        <v>6</v>
      </c>
      <c r="F577" s="30">
        <f t="shared" si="35"/>
        <v>2685634.5100000002</v>
      </c>
      <c r="G577" s="30">
        <f t="shared" si="35"/>
        <v>2576010.31</v>
      </c>
    </row>
    <row r="578" spans="1:8" s="67" customFormat="1" ht="25.5" customHeight="1" outlineLevel="7" x14ac:dyDescent="0.25">
      <c r="A578" s="24" t="s">
        <v>37</v>
      </c>
      <c r="B578" s="23" t="s">
        <v>490</v>
      </c>
      <c r="C578" s="23" t="s">
        <v>72</v>
      </c>
      <c r="D578" s="23" t="s">
        <v>592</v>
      </c>
      <c r="E578" s="26" t="s">
        <v>38</v>
      </c>
      <c r="F578" s="30">
        <f t="shared" si="35"/>
        <v>2685634.5100000002</v>
      </c>
      <c r="G578" s="30">
        <f t="shared" si="35"/>
        <v>2576010.31</v>
      </c>
    </row>
    <row r="579" spans="1:8" s="67" customFormat="1" ht="21.75" customHeight="1" outlineLevel="7" x14ac:dyDescent="0.25">
      <c r="A579" s="24" t="s">
        <v>74</v>
      </c>
      <c r="B579" s="23" t="s">
        <v>490</v>
      </c>
      <c r="C579" s="23" t="s">
        <v>72</v>
      </c>
      <c r="D579" s="23" t="s">
        <v>592</v>
      </c>
      <c r="E579" s="26" t="s">
        <v>75</v>
      </c>
      <c r="F579" s="30">
        <f>2498730+77280.31+109624.2</f>
        <v>2685634.5100000002</v>
      </c>
      <c r="G579" s="30">
        <v>2576010.31</v>
      </c>
    </row>
    <row r="580" spans="1:8" s="67" customFormat="1" outlineLevel="5" x14ac:dyDescent="0.25">
      <c r="A580" s="24" t="s">
        <v>251</v>
      </c>
      <c r="B580" s="23" t="s">
        <v>490</v>
      </c>
      <c r="C580" s="23" t="s">
        <v>250</v>
      </c>
      <c r="D580" s="23" t="s">
        <v>126</v>
      </c>
      <c r="E580" s="26" t="s">
        <v>6</v>
      </c>
      <c r="F580" s="51">
        <f>F581</f>
        <v>28310464</v>
      </c>
      <c r="G580" s="51">
        <f>G581</f>
        <v>28310467</v>
      </c>
    </row>
    <row r="581" spans="1:8" s="67" customFormat="1" ht="55.05" outlineLevel="6" x14ac:dyDescent="0.25">
      <c r="A581" s="37" t="s">
        <v>720</v>
      </c>
      <c r="B581" s="38" t="s">
        <v>490</v>
      </c>
      <c r="C581" s="38" t="s">
        <v>250</v>
      </c>
      <c r="D581" s="38" t="s">
        <v>138</v>
      </c>
      <c r="E581" s="39" t="s">
        <v>6</v>
      </c>
      <c r="F581" s="53">
        <f>F582</f>
        <v>28310464</v>
      </c>
      <c r="G581" s="53">
        <f>G582</f>
        <v>28310467</v>
      </c>
    </row>
    <row r="582" spans="1:8" s="67" customFormat="1" ht="57.25" customHeight="1" outlineLevel="7" x14ac:dyDescent="0.25">
      <c r="A582" s="24" t="s">
        <v>726</v>
      </c>
      <c r="B582" s="23" t="s">
        <v>490</v>
      </c>
      <c r="C582" s="23" t="s">
        <v>250</v>
      </c>
      <c r="D582" s="23" t="s">
        <v>149</v>
      </c>
      <c r="E582" s="26" t="s">
        <v>6</v>
      </c>
      <c r="F582" s="25">
        <f>F583+F587+F597</f>
        <v>28310464</v>
      </c>
      <c r="G582" s="25">
        <f>G583+G587+G597</f>
        <v>28310467</v>
      </c>
    </row>
    <row r="583" spans="1:8" s="67" customFormat="1" ht="23.3" customHeight="1" outlineLevel="7" x14ac:dyDescent="0.25">
      <c r="A583" s="42" t="s">
        <v>205</v>
      </c>
      <c r="B583" s="23" t="s">
        <v>490</v>
      </c>
      <c r="C583" s="23" t="s">
        <v>250</v>
      </c>
      <c r="D583" s="23" t="s">
        <v>221</v>
      </c>
      <c r="E583" s="26" t="s">
        <v>6</v>
      </c>
      <c r="F583" s="25">
        <f t="shared" ref="F583:G585" si="36">F584</f>
        <v>26996964</v>
      </c>
      <c r="G583" s="25">
        <f t="shared" si="36"/>
        <v>26996967</v>
      </c>
    </row>
    <row r="584" spans="1:8" s="67" customFormat="1" ht="22.75" customHeight="1" outlineLevel="7" x14ac:dyDescent="0.25">
      <c r="A584" s="24" t="s">
        <v>115</v>
      </c>
      <c r="B584" s="23" t="s">
        <v>490</v>
      </c>
      <c r="C584" s="23" t="s">
        <v>250</v>
      </c>
      <c r="D584" s="23" t="s">
        <v>151</v>
      </c>
      <c r="E584" s="26" t="s">
        <v>6</v>
      </c>
      <c r="F584" s="25">
        <f t="shared" si="36"/>
        <v>26996964</v>
      </c>
      <c r="G584" s="25">
        <f t="shared" si="36"/>
        <v>26996967</v>
      </c>
    </row>
    <row r="585" spans="1:8" s="67" customFormat="1" ht="24.8" customHeight="1" outlineLevel="7" x14ac:dyDescent="0.25">
      <c r="A585" s="24" t="s">
        <v>37</v>
      </c>
      <c r="B585" s="23" t="s">
        <v>490</v>
      </c>
      <c r="C585" s="23" t="s">
        <v>250</v>
      </c>
      <c r="D585" s="23" t="s">
        <v>151</v>
      </c>
      <c r="E585" s="26" t="s">
        <v>38</v>
      </c>
      <c r="F585" s="25">
        <f t="shared" si="36"/>
        <v>26996964</v>
      </c>
      <c r="G585" s="25">
        <f t="shared" si="36"/>
        <v>26996967</v>
      </c>
    </row>
    <row r="586" spans="1:8" s="67" customFormat="1" ht="27" customHeight="1" outlineLevel="7" x14ac:dyDescent="0.25">
      <c r="A586" s="24" t="s">
        <v>74</v>
      </c>
      <c r="B586" s="23" t="s">
        <v>490</v>
      </c>
      <c r="C586" s="23" t="s">
        <v>250</v>
      </c>
      <c r="D586" s="23" t="s">
        <v>151</v>
      </c>
      <c r="E586" s="26" t="s">
        <v>75</v>
      </c>
      <c r="F586" s="30">
        <v>26996964</v>
      </c>
      <c r="G586" s="30">
        <v>26996967</v>
      </c>
    </row>
    <row r="587" spans="1:8" ht="42.8" customHeight="1" outlineLevel="7" x14ac:dyDescent="0.25">
      <c r="A587" s="40" t="s">
        <v>377</v>
      </c>
      <c r="B587" s="23" t="s">
        <v>490</v>
      </c>
      <c r="C587" s="23" t="s">
        <v>250</v>
      </c>
      <c r="D587" s="23" t="s">
        <v>222</v>
      </c>
      <c r="E587" s="26" t="s">
        <v>6</v>
      </c>
      <c r="F587" s="30">
        <f>F588+F594</f>
        <v>110500</v>
      </c>
      <c r="G587" s="30">
        <f>G588+G594</f>
        <v>110500</v>
      </c>
    </row>
    <row r="588" spans="1:8" ht="36.700000000000003" outlineLevel="7" x14ac:dyDescent="0.25">
      <c r="A588" s="24" t="s">
        <v>262</v>
      </c>
      <c r="B588" s="23" t="s">
        <v>490</v>
      </c>
      <c r="C588" s="23" t="s">
        <v>250</v>
      </c>
      <c r="D588" s="23" t="s">
        <v>280</v>
      </c>
      <c r="E588" s="26" t="s">
        <v>6</v>
      </c>
      <c r="F588" s="51">
        <f>F589</f>
        <v>25000</v>
      </c>
      <c r="G588" s="51">
        <f>G589</f>
        <v>25000</v>
      </c>
    </row>
    <row r="589" spans="1:8" ht="36.700000000000003" outlineLevel="7" x14ac:dyDescent="0.25">
      <c r="A589" s="24" t="s">
        <v>37</v>
      </c>
      <c r="B589" s="23" t="s">
        <v>490</v>
      </c>
      <c r="C589" s="23" t="s">
        <v>250</v>
      </c>
      <c r="D589" s="23" t="s">
        <v>280</v>
      </c>
      <c r="E589" s="26" t="s">
        <v>38</v>
      </c>
      <c r="F589" s="51">
        <f>F590</f>
        <v>25000</v>
      </c>
      <c r="G589" s="51">
        <f>G590</f>
        <v>25000</v>
      </c>
    </row>
    <row r="590" spans="1:8" ht="18" customHeight="1" outlineLevel="2" x14ac:dyDescent="0.25">
      <c r="A590" s="24" t="s">
        <v>74</v>
      </c>
      <c r="B590" s="23" t="s">
        <v>490</v>
      </c>
      <c r="C590" s="23" t="s">
        <v>250</v>
      </c>
      <c r="D590" s="23" t="s">
        <v>280</v>
      </c>
      <c r="E590" s="26" t="s">
        <v>75</v>
      </c>
      <c r="F590" s="30">
        <v>25000</v>
      </c>
      <c r="G590" s="30">
        <v>25000</v>
      </c>
    </row>
    <row r="591" spans="1:8" s="76" customFormat="1" outlineLevel="3" x14ac:dyDescent="0.25">
      <c r="A591" s="54" t="s">
        <v>300</v>
      </c>
      <c r="B591" s="23" t="s">
        <v>490</v>
      </c>
      <c r="C591" s="23" t="s">
        <v>250</v>
      </c>
      <c r="D591" s="23" t="s">
        <v>666</v>
      </c>
      <c r="E591" s="23" t="s">
        <v>6</v>
      </c>
      <c r="F591" s="30">
        <f>F592</f>
        <v>0</v>
      </c>
      <c r="G591" s="30">
        <f>G592</f>
        <v>0</v>
      </c>
      <c r="H591" s="75"/>
    </row>
    <row r="592" spans="1:8" ht="36.700000000000003" outlineLevel="3" x14ac:dyDescent="0.25">
      <c r="A592" s="24" t="s">
        <v>37</v>
      </c>
      <c r="B592" s="23" t="s">
        <v>490</v>
      </c>
      <c r="C592" s="23" t="s">
        <v>250</v>
      </c>
      <c r="D592" s="23" t="s">
        <v>666</v>
      </c>
      <c r="E592" s="23" t="s">
        <v>38</v>
      </c>
      <c r="F592" s="30">
        <f>F593</f>
        <v>0</v>
      </c>
      <c r="G592" s="30">
        <f>G593</f>
        <v>0</v>
      </c>
    </row>
    <row r="593" spans="1:7" ht="19.55" customHeight="1" outlineLevel="3" x14ac:dyDescent="0.25">
      <c r="A593" s="24" t="s">
        <v>74</v>
      </c>
      <c r="B593" s="23" t="s">
        <v>490</v>
      </c>
      <c r="C593" s="23" t="s">
        <v>250</v>
      </c>
      <c r="D593" s="23" t="s">
        <v>666</v>
      </c>
      <c r="E593" s="23" t="s">
        <v>75</v>
      </c>
      <c r="F593" s="30">
        <v>0</v>
      </c>
      <c r="G593" s="30">
        <v>0</v>
      </c>
    </row>
    <row r="594" spans="1:7" ht="26.5" customHeight="1" outlineLevel="3" x14ac:dyDescent="0.25">
      <c r="A594" s="24" t="s">
        <v>112</v>
      </c>
      <c r="B594" s="23" t="s">
        <v>490</v>
      </c>
      <c r="C594" s="23" t="s">
        <v>250</v>
      </c>
      <c r="D594" s="23" t="s">
        <v>150</v>
      </c>
      <c r="E594" s="26" t="s">
        <v>6</v>
      </c>
      <c r="F594" s="25">
        <f>F595</f>
        <v>85500</v>
      </c>
      <c r="G594" s="25">
        <f>G595</f>
        <v>85500</v>
      </c>
    </row>
    <row r="595" spans="1:7" ht="36.700000000000003" outlineLevel="3" x14ac:dyDescent="0.25">
      <c r="A595" s="24" t="s">
        <v>37</v>
      </c>
      <c r="B595" s="23" t="s">
        <v>490</v>
      </c>
      <c r="C595" s="23" t="s">
        <v>250</v>
      </c>
      <c r="D595" s="23" t="s">
        <v>150</v>
      </c>
      <c r="E595" s="26" t="s">
        <v>38</v>
      </c>
      <c r="F595" s="25">
        <f>F596</f>
        <v>85500</v>
      </c>
      <c r="G595" s="25">
        <f>G596</f>
        <v>85500</v>
      </c>
    </row>
    <row r="596" spans="1:7" ht="21.25" customHeight="1" outlineLevel="3" x14ac:dyDescent="0.25">
      <c r="A596" s="24" t="s">
        <v>74</v>
      </c>
      <c r="B596" s="23" t="s">
        <v>490</v>
      </c>
      <c r="C596" s="23" t="s">
        <v>250</v>
      </c>
      <c r="D596" s="23" t="s">
        <v>150</v>
      </c>
      <c r="E596" s="26" t="s">
        <v>75</v>
      </c>
      <c r="F596" s="30">
        <v>85500</v>
      </c>
      <c r="G596" s="30">
        <v>85500</v>
      </c>
    </row>
    <row r="597" spans="1:7" ht="55.05" outlineLevel="3" x14ac:dyDescent="0.25">
      <c r="A597" s="24" t="s">
        <v>674</v>
      </c>
      <c r="B597" s="23" t="s">
        <v>490</v>
      </c>
      <c r="C597" s="23" t="s">
        <v>250</v>
      </c>
      <c r="D597" s="23" t="s">
        <v>675</v>
      </c>
      <c r="E597" s="23" t="s">
        <v>6</v>
      </c>
      <c r="F597" s="30">
        <f>F598</f>
        <v>1203000</v>
      </c>
      <c r="G597" s="30">
        <f>G598</f>
        <v>1203000</v>
      </c>
    </row>
    <row r="598" spans="1:7" ht="36.700000000000003" outlineLevel="3" x14ac:dyDescent="0.25">
      <c r="A598" s="24" t="s">
        <v>37</v>
      </c>
      <c r="B598" s="23" t="s">
        <v>490</v>
      </c>
      <c r="C598" s="23" t="s">
        <v>250</v>
      </c>
      <c r="D598" s="23" t="s">
        <v>676</v>
      </c>
      <c r="E598" s="23" t="s">
        <v>38</v>
      </c>
      <c r="F598" s="30">
        <f>F599</f>
        <v>1203000</v>
      </c>
      <c r="G598" s="30">
        <f>G599</f>
        <v>1203000</v>
      </c>
    </row>
    <row r="599" spans="1:7" outlineLevel="3" x14ac:dyDescent="0.25">
      <c r="A599" s="24" t="s">
        <v>74</v>
      </c>
      <c r="B599" s="23" t="s">
        <v>490</v>
      </c>
      <c r="C599" s="23" t="s">
        <v>250</v>
      </c>
      <c r="D599" s="23" t="s">
        <v>676</v>
      </c>
      <c r="E599" s="23" t="s">
        <v>75</v>
      </c>
      <c r="F599" s="30">
        <v>1203000</v>
      </c>
      <c r="G599" s="30">
        <v>1203000</v>
      </c>
    </row>
    <row r="600" spans="1:7" ht="55.05" outlineLevel="3" x14ac:dyDescent="0.25">
      <c r="A600" s="40" t="s">
        <v>415</v>
      </c>
      <c r="B600" s="23" t="s">
        <v>490</v>
      </c>
      <c r="C600" s="23" t="s">
        <v>250</v>
      </c>
      <c r="D600" s="23" t="s">
        <v>658</v>
      </c>
      <c r="E600" s="23" t="s">
        <v>6</v>
      </c>
      <c r="F600" s="30">
        <f>F601</f>
        <v>100000</v>
      </c>
      <c r="G600" s="30">
        <f>G601</f>
        <v>100000</v>
      </c>
    </row>
    <row r="601" spans="1:7" ht="36.700000000000003" outlineLevel="3" x14ac:dyDescent="0.25">
      <c r="A601" s="24" t="s">
        <v>37</v>
      </c>
      <c r="B601" s="23" t="s">
        <v>490</v>
      </c>
      <c r="C601" s="23" t="s">
        <v>250</v>
      </c>
      <c r="D601" s="23" t="s">
        <v>658</v>
      </c>
      <c r="E601" s="23" t="s">
        <v>38</v>
      </c>
      <c r="F601" s="30">
        <f>F602</f>
        <v>100000</v>
      </c>
      <c r="G601" s="30">
        <f>G602</f>
        <v>100000</v>
      </c>
    </row>
    <row r="602" spans="1:7" outlineLevel="3" x14ac:dyDescent="0.25">
      <c r="A602" s="24" t="s">
        <v>74</v>
      </c>
      <c r="B602" s="23" t="s">
        <v>490</v>
      </c>
      <c r="C602" s="23" t="s">
        <v>250</v>
      </c>
      <c r="D602" s="23" t="s">
        <v>658</v>
      </c>
      <c r="E602" s="23" t="s">
        <v>75</v>
      </c>
      <c r="F602" s="30">
        <v>100000</v>
      </c>
      <c r="G602" s="30">
        <v>100000</v>
      </c>
    </row>
    <row r="603" spans="1:7" outlineLevel="3" x14ac:dyDescent="0.25">
      <c r="A603" s="24" t="s">
        <v>76</v>
      </c>
      <c r="B603" s="23" t="s">
        <v>490</v>
      </c>
      <c r="C603" s="23" t="s">
        <v>77</v>
      </c>
      <c r="D603" s="23" t="s">
        <v>126</v>
      </c>
      <c r="E603" s="26" t="s">
        <v>6</v>
      </c>
      <c r="F603" s="25">
        <f>F604</f>
        <v>2042300</v>
      </c>
      <c r="G603" s="25">
        <f>G604</f>
        <v>2042300</v>
      </c>
    </row>
    <row r="604" spans="1:7" ht="55.05" outlineLevel="3" x14ac:dyDescent="0.25">
      <c r="A604" s="37" t="s">
        <v>720</v>
      </c>
      <c r="B604" s="38" t="s">
        <v>490</v>
      </c>
      <c r="C604" s="38" t="s">
        <v>77</v>
      </c>
      <c r="D604" s="38" t="s">
        <v>138</v>
      </c>
      <c r="E604" s="39" t="s">
        <v>6</v>
      </c>
      <c r="F604" s="28">
        <f>F605+F619</f>
        <v>2042300</v>
      </c>
      <c r="G604" s="28">
        <f>G605+G619</f>
        <v>2042300</v>
      </c>
    </row>
    <row r="605" spans="1:7" ht="55.05" outlineLevel="3" x14ac:dyDescent="0.25">
      <c r="A605" s="24" t="s">
        <v>727</v>
      </c>
      <c r="B605" s="23" t="s">
        <v>490</v>
      </c>
      <c r="C605" s="23" t="s">
        <v>77</v>
      </c>
      <c r="D605" s="23" t="s">
        <v>146</v>
      </c>
      <c r="E605" s="26" t="s">
        <v>6</v>
      </c>
      <c r="F605" s="25">
        <f>F606+F610</f>
        <v>1917300</v>
      </c>
      <c r="G605" s="25">
        <f>G606+G610</f>
        <v>1917300</v>
      </c>
    </row>
    <row r="606" spans="1:7" ht="36.700000000000003" outlineLevel="7" x14ac:dyDescent="0.25">
      <c r="A606" s="40" t="s">
        <v>204</v>
      </c>
      <c r="B606" s="23" t="s">
        <v>490</v>
      </c>
      <c r="C606" s="23" t="s">
        <v>77</v>
      </c>
      <c r="D606" s="23" t="s">
        <v>217</v>
      </c>
      <c r="E606" s="26" t="s">
        <v>6</v>
      </c>
      <c r="F606" s="25">
        <f t="shared" ref="F606:G608" si="37">F607</f>
        <v>70000</v>
      </c>
      <c r="G606" s="25">
        <f t="shared" si="37"/>
        <v>70000</v>
      </c>
    </row>
    <row r="607" spans="1:7" outlineLevel="7" x14ac:dyDescent="0.25">
      <c r="A607" s="24" t="s">
        <v>395</v>
      </c>
      <c r="B607" s="23" t="s">
        <v>490</v>
      </c>
      <c r="C607" s="23" t="s">
        <v>77</v>
      </c>
      <c r="D607" s="23" t="s">
        <v>232</v>
      </c>
      <c r="E607" s="26" t="s">
        <v>6</v>
      </c>
      <c r="F607" s="25">
        <f t="shared" si="37"/>
        <v>70000</v>
      </c>
      <c r="G607" s="25">
        <f t="shared" si="37"/>
        <v>70000</v>
      </c>
    </row>
    <row r="608" spans="1:7" ht="23.3" customHeight="1" outlineLevel="7" x14ac:dyDescent="0.25">
      <c r="A608" s="24" t="s">
        <v>15</v>
      </c>
      <c r="B608" s="23" t="s">
        <v>490</v>
      </c>
      <c r="C608" s="23" t="s">
        <v>77</v>
      </c>
      <c r="D608" s="23" t="s">
        <v>232</v>
      </c>
      <c r="E608" s="26" t="s">
        <v>16</v>
      </c>
      <c r="F608" s="25">
        <f t="shared" si="37"/>
        <v>70000</v>
      </c>
      <c r="G608" s="25">
        <f t="shared" si="37"/>
        <v>70000</v>
      </c>
    </row>
    <row r="609" spans="1:8" ht="36.700000000000003" outlineLevel="2" x14ac:dyDescent="0.25">
      <c r="A609" s="24" t="s">
        <v>17</v>
      </c>
      <c r="B609" s="23" t="s">
        <v>490</v>
      </c>
      <c r="C609" s="23" t="s">
        <v>77</v>
      </c>
      <c r="D609" s="23" t="s">
        <v>232</v>
      </c>
      <c r="E609" s="26" t="s">
        <v>18</v>
      </c>
      <c r="F609" s="30">
        <v>70000</v>
      </c>
      <c r="G609" s="30">
        <v>70000</v>
      </c>
    </row>
    <row r="610" spans="1:8" s="76" customFormat="1" ht="36.700000000000003" outlineLevel="3" x14ac:dyDescent="0.25">
      <c r="A610" s="40" t="s">
        <v>267</v>
      </c>
      <c r="B610" s="23" t="s">
        <v>490</v>
      </c>
      <c r="C610" s="23" t="s">
        <v>77</v>
      </c>
      <c r="D610" s="23" t="s">
        <v>220</v>
      </c>
      <c r="E610" s="23" t="s">
        <v>6</v>
      </c>
      <c r="F610" s="30">
        <f>F611</f>
        <v>1847300</v>
      </c>
      <c r="G610" s="30">
        <f>G611</f>
        <v>1847300</v>
      </c>
      <c r="H610" s="75"/>
    </row>
    <row r="611" spans="1:8" s="76" customFormat="1" ht="91.7" outlineLevel="3" x14ac:dyDescent="0.25">
      <c r="A611" s="31" t="s">
        <v>378</v>
      </c>
      <c r="B611" s="23" t="s">
        <v>490</v>
      </c>
      <c r="C611" s="23" t="s">
        <v>77</v>
      </c>
      <c r="D611" s="23" t="s">
        <v>152</v>
      </c>
      <c r="E611" s="23" t="s">
        <v>6</v>
      </c>
      <c r="F611" s="25">
        <f>F612+F616+F614</f>
        <v>1847300</v>
      </c>
      <c r="G611" s="25">
        <f>G612+G616+G614</f>
        <v>1847300</v>
      </c>
      <c r="H611" s="75"/>
    </row>
    <row r="612" spans="1:8" ht="36.700000000000003" outlineLevel="5" x14ac:dyDescent="0.25">
      <c r="A612" s="24" t="s">
        <v>15</v>
      </c>
      <c r="B612" s="23" t="s">
        <v>490</v>
      </c>
      <c r="C612" s="23" t="s">
        <v>77</v>
      </c>
      <c r="D612" s="23" t="s">
        <v>152</v>
      </c>
      <c r="E612" s="23" t="s">
        <v>16</v>
      </c>
      <c r="F612" s="25">
        <f>F613</f>
        <v>2000</v>
      </c>
      <c r="G612" s="25">
        <f>G613</f>
        <v>2000</v>
      </c>
    </row>
    <row r="613" spans="1:8" ht="36.700000000000003" outlineLevel="6" x14ac:dyDescent="0.25">
      <c r="A613" s="24" t="s">
        <v>17</v>
      </c>
      <c r="B613" s="23" t="s">
        <v>490</v>
      </c>
      <c r="C613" s="23" t="s">
        <v>77</v>
      </c>
      <c r="D613" s="23" t="s">
        <v>152</v>
      </c>
      <c r="E613" s="23" t="s">
        <v>18</v>
      </c>
      <c r="F613" s="30">
        <v>2000</v>
      </c>
      <c r="G613" s="30">
        <v>2000</v>
      </c>
    </row>
    <row r="614" spans="1:8" outlineLevel="7" x14ac:dyDescent="0.25">
      <c r="A614" s="24" t="s">
        <v>90</v>
      </c>
      <c r="B614" s="23" t="s">
        <v>490</v>
      </c>
      <c r="C614" s="23" t="s">
        <v>77</v>
      </c>
      <c r="D614" s="23" t="s">
        <v>152</v>
      </c>
      <c r="E614" s="23" t="s">
        <v>91</v>
      </c>
      <c r="F614" s="25">
        <f>F615</f>
        <v>320000</v>
      </c>
      <c r="G614" s="25">
        <f>G615</f>
        <v>320000</v>
      </c>
    </row>
    <row r="615" spans="1:8" ht="36.700000000000003" outlineLevel="6" x14ac:dyDescent="0.25">
      <c r="A615" s="24" t="s">
        <v>97</v>
      </c>
      <c r="B615" s="23" t="s">
        <v>490</v>
      </c>
      <c r="C615" s="23" t="s">
        <v>77</v>
      </c>
      <c r="D615" s="23" t="s">
        <v>152</v>
      </c>
      <c r="E615" s="23" t="s">
        <v>98</v>
      </c>
      <c r="F615" s="30">
        <v>320000</v>
      </c>
      <c r="G615" s="30">
        <v>320000</v>
      </c>
    </row>
    <row r="616" spans="1:8" ht="21.25" customHeight="1" outlineLevel="7" x14ac:dyDescent="0.25">
      <c r="A616" s="24" t="s">
        <v>37</v>
      </c>
      <c r="B616" s="23" t="s">
        <v>490</v>
      </c>
      <c r="C616" s="23" t="s">
        <v>77</v>
      </c>
      <c r="D616" s="23" t="s">
        <v>152</v>
      </c>
      <c r="E616" s="23" t="s">
        <v>38</v>
      </c>
      <c r="F616" s="25">
        <f>F617</f>
        <v>1525300</v>
      </c>
      <c r="G616" s="25">
        <f>G617</f>
        <v>1525300</v>
      </c>
    </row>
    <row r="617" spans="1:8" outlineLevel="7" x14ac:dyDescent="0.25">
      <c r="A617" s="24" t="s">
        <v>74</v>
      </c>
      <c r="B617" s="23" t="s">
        <v>490</v>
      </c>
      <c r="C617" s="23" t="s">
        <v>77</v>
      </c>
      <c r="D617" s="23" t="s">
        <v>152</v>
      </c>
      <c r="E617" s="23" t="s">
        <v>75</v>
      </c>
      <c r="F617" s="30">
        <v>1525300</v>
      </c>
      <c r="G617" s="30">
        <v>1525300</v>
      </c>
    </row>
    <row r="618" spans="1:8" ht="36.700000000000003" outlineLevel="7" x14ac:dyDescent="0.25">
      <c r="A618" s="12" t="s">
        <v>234</v>
      </c>
      <c r="B618" s="23" t="s">
        <v>490</v>
      </c>
      <c r="C618" s="23" t="s">
        <v>77</v>
      </c>
      <c r="D618" s="23" t="s">
        <v>233</v>
      </c>
      <c r="E618" s="26" t="s">
        <v>6</v>
      </c>
      <c r="F618" s="30">
        <f t="shared" ref="F618:G620" si="38">F619</f>
        <v>125000</v>
      </c>
      <c r="G618" s="30">
        <f t="shared" si="38"/>
        <v>125000</v>
      </c>
    </row>
    <row r="619" spans="1:8" outlineLevel="5" x14ac:dyDescent="0.25">
      <c r="A619" s="24" t="s">
        <v>78</v>
      </c>
      <c r="B619" s="23" t="s">
        <v>490</v>
      </c>
      <c r="C619" s="23" t="s">
        <v>77</v>
      </c>
      <c r="D619" s="23" t="s">
        <v>153</v>
      </c>
      <c r="E619" s="26" t="s">
        <v>6</v>
      </c>
      <c r="F619" s="25">
        <f t="shared" si="38"/>
        <v>125000</v>
      </c>
      <c r="G619" s="25">
        <f t="shared" si="38"/>
        <v>125000</v>
      </c>
    </row>
    <row r="620" spans="1:8" ht="36.700000000000003" outlineLevel="6" x14ac:dyDescent="0.25">
      <c r="A620" s="24" t="s">
        <v>15</v>
      </c>
      <c r="B620" s="23" t="s">
        <v>490</v>
      </c>
      <c r="C620" s="23" t="s">
        <v>77</v>
      </c>
      <c r="D620" s="23" t="s">
        <v>153</v>
      </c>
      <c r="E620" s="26" t="s">
        <v>16</v>
      </c>
      <c r="F620" s="25">
        <f t="shared" si="38"/>
        <v>125000</v>
      </c>
      <c r="G620" s="25">
        <f t="shared" si="38"/>
        <v>125000</v>
      </c>
    </row>
    <row r="621" spans="1:8" ht="36.700000000000003" outlineLevel="7" x14ac:dyDescent="0.25">
      <c r="A621" s="24" t="s">
        <v>17</v>
      </c>
      <c r="B621" s="23" t="s">
        <v>490</v>
      </c>
      <c r="C621" s="23" t="s">
        <v>77</v>
      </c>
      <c r="D621" s="23" t="s">
        <v>153</v>
      </c>
      <c r="E621" s="26" t="s">
        <v>18</v>
      </c>
      <c r="F621" s="30">
        <v>125000</v>
      </c>
      <c r="G621" s="30">
        <v>125000</v>
      </c>
    </row>
    <row r="622" spans="1:8" outlineLevel="6" x14ac:dyDescent="0.25">
      <c r="A622" s="24" t="s">
        <v>116</v>
      </c>
      <c r="B622" s="23" t="s">
        <v>490</v>
      </c>
      <c r="C622" s="23" t="s">
        <v>117</v>
      </c>
      <c r="D622" s="23" t="s">
        <v>126</v>
      </c>
      <c r="E622" s="26" t="s">
        <v>6</v>
      </c>
      <c r="F622" s="25" t="e">
        <f>F623</f>
        <v>#REF!</v>
      </c>
      <c r="G622" s="25">
        <f>G623</f>
        <v>21748475</v>
      </c>
    </row>
    <row r="623" spans="1:8" ht="51.8" customHeight="1" outlineLevel="7" x14ac:dyDescent="0.25">
      <c r="A623" s="37" t="s">
        <v>721</v>
      </c>
      <c r="B623" s="38" t="s">
        <v>490</v>
      </c>
      <c r="C623" s="38" t="s">
        <v>117</v>
      </c>
      <c r="D623" s="38" t="s">
        <v>138</v>
      </c>
      <c r="E623" s="39" t="s">
        <v>6</v>
      </c>
      <c r="F623" s="56" t="e">
        <f>F624</f>
        <v>#REF!</v>
      </c>
      <c r="G623" s="56">
        <f>G624</f>
        <v>21748475</v>
      </c>
    </row>
    <row r="624" spans="1:8" ht="36.700000000000003" outlineLevel="6" x14ac:dyDescent="0.25">
      <c r="A624" s="40" t="s">
        <v>206</v>
      </c>
      <c r="B624" s="23" t="s">
        <v>490</v>
      </c>
      <c r="C624" s="23" t="s">
        <v>117</v>
      </c>
      <c r="D624" s="23" t="s">
        <v>223</v>
      </c>
      <c r="E624" s="26" t="s">
        <v>6</v>
      </c>
      <c r="F624" s="28" t="e">
        <f>F625+F632+F639</f>
        <v>#REF!</v>
      </c>
      <c r="G624" s="28">
        <f>G625+G632+G639</f>
        <v>21748475</v>
      </c>
    </row>
    <row r="625" spans="1:8" ht="55.05" outlineLevel="7" x14ac:dyDescent="0.25">
      <c r="A625" s="24" t="s">
        <v>449</v>
      </c>
      <c r="B625" s="23" t="s">
        <v>490</v>
      </c>
      <c r="C625" s="23" t="s">
        <v>117</v>
      </c>
      <c r="D625" s="23" t="s">
        <v>489</v>
      </c>
      <c r="E625" s="26" t="s">
        <v>6</v>
      </c>
      <c r="F625" s="25" t="e">
        <f>F626+F628+F630</f>
        <v>#REF!</v>
      </c>
      <c r="G625" s="25">
        <f>G626+G628+G630</f>
        <v>5189242</v>
      </c>
    </row>
    <row r="626" spans="1:8" ht="91.7" outlineLevel="3" x14ac:dyDescent="0.25">
      <c r="A626" s="24" t="s">
        <v>11</v>
      </c>
      <c r="B626" s="23" t="s">
        <v>490</v>
      </c>
      <c r="C626" s="23" t="s">
        <v>117</v>
      </c>
      <c r="D626" s="23" t="s">
        <v>489</v>
      </c>
      <c r="E626" s="26" t="s">
        <v>12</v>
      </c>
      <c r="F626" s="25" t="e">
        <f>F627</f>
        <v>#REF!</v>
      </c>
      <c r="G626" s="25">
        <f>G627</f>
        <v>5089242</v>
      </c>
    </row>
    <row r="627" spans="1:8" ht="36.700000000000003" outlineLevel="3" x14ac:dyDescent="0.25">
      <c r="A627" s="24" t="s">
        <v>13</v>
      </c>
      <c r="B627" s="23" t="s">
        <v>490</v>
      </c>
      <c r="C627" s="23" t="s">
        <v>117</v>
      </c>
      <c r="D627" s="23" t="s">
        <v>489</v>
      </c>
      <c r="E627" s="26" t="s">
        <v>14</v>
      </c>
      <c r="F627" s="30" t="e">
        <f>#REF!</f>
        <v>#REF!</v>
      </c>
      <c r="G627" s="30">
        <v>5089242</v>
      </c>
    </row>
    <row r="628" spans="1:8" ht="36.700000000000003" outlineLevel="3" x14ac:dyDescent="0.25">
      <c r="A628" s="24" t="s">
        <v>15</v>
      </c>
      <c r="B628" s="23" t="s">
        <v>490</v>
      </c>
      <c r="C628" s="23" t="s">
        <v>117</v>
      </c>
      <c r="D628" s="23" t="s">
        <v>489</v>
      </c>
      <c r="E628" s="26" t="s">
        <v>16</v>
      </c>
      <c r="F628" s="25" t="e">
        <f>F629</f>
        <v>#REF!</v>
      </c>
      <c r="G628" s="25">
        <f>G629</f>
        <v>100000</v>
      </c>
    </row>
    <row r="629" spans="1:8" s="76" customFormat="1" ht="40.75" customHeight="1" outlineLevel="3" x14ac:dyDescent="0.25">
      <c r="A629" s="24" t="s">
        <v>17</v>
      </c>
      <c r="B629" s="23" t="s">
        <v>490</v>
      </c>
      <c r="C629" s="23" t="s">
        <v>117</v>
      </c>
      <c r="D629" s="23" t="s">
        <v>489</v>
      </c>
      <c r="E629" s="26" t="s">
        <v>18</v>
      </c>
      <c r="F629" s="30" t="e">
        <f>#REF!</f>
        <v>#REF!</v>
      </c>
      <c r="G629" s="30">
        <v>100000</v>
      </c>
      <c r="H629" s="75"/>
    </row>
    <row r="630" spans="1:8" outlineLevel="3" x14ac:dyDescent="0.25">
      <c r="A630" s="24" t="s">
        <v>19</v>
      </c>
      <c r="B630" s="23" t="s">
        <v>490</v>
      </c>
      <c r="C630" s="23" t="s">
        <v>117</v>
      </c>
      <c r="D630" s="23" t="s">
        <v>489</v>
      </c>
      <c r="E630" s="26" t="s">
        <v>20</v>
      </c>
      <c r="F630" s="51">
        <f>F631</f>
        <v>0</v>
      </c>
      <c r="G630" s="51">
        <f>G631</f>
        <v>0</v>
      </c>
    </row>
    <row r="631" spans="1:8" s="76" customFormat="1" outlineLevel="3" x14ac:dyDescent="0.25">
      <c r="A631" s="24" t="s">
        <v>21</v>
      </c>
      <c r="B631" s="23" t="s">
        <v>490</v>
      </c>
      <c r="C631" s="23" t="s">
        <v>117</v>
      </c>
      <c r="D631" s="23" t="s">
        <v>489</v>
      </c>
      <c r="E631" s="26" t="s">
        <v>22</v>
      </c>
      <c r="F631" s="30">
        <v>0</v>
      </c>
      <c r="G631" s="30">
        <v>0</v>
      </c>
      <c r="H631" s="75"/>
    </row>
    <row r="632" spans="1:8" ht="42.45" customHeight="1" outlineLevel="3" x14ac:dyDescent="0.25">
      <c r="A632" s="24" t="s">
        <v>33</v>
      </c>
      <c r="B632" s="23" t="s">
        <v>490</v>
      </c>
      <c r="C632" s="23" t="s">
        <v>117</v>
      </c>
      <c r="D632" s="23" t="s">
        <v>154</v>
      </c>
      <c r="E632" s="26" t="s">
        <v>6</v>
      </c>
      <c r="F632" s="25">
        <f>F633+F635+F637</f>
        <v>14477700</v>
      </c>
      <c r="G632" s="25">
        <f>G633+G635+G637</f>
        <v>14477700</v>
      </c>
    </row>
    <row r="633" spans="1:8" ht="91.7" outlineLevel="3" x14ac:dyDescent="0.25">
      <c r="A633" s="24" t="s">
        <v>11</v>
      </c>
      <c r="B633" s="23" t="s">
        <v>490</v>
      </c>
      <c r="C633" s="23" t="s">
        <v>117</v>
      </c>
      <c r="D633" s="23" t="s">
        <v>154</v>
      </c>
      <c r="E633" s="26" t="s">
        <v>12</v>
      </c>
      <c r="F633" s="25">
        <f>F634</f>
        <v>11638500</v>
      </c>
      <c r="G633" s="25">
        <f>G634</f>
        <v>11638500</v>
      </c>
    </row>
    <row r="634" spans="1:8" outlineLevel="3" x14ac:dyDescent="0.25">
      <c r="A634" s="24" t="s">
        <v>34</v>
      </c>
      <c r="B634" s="23" t="s">
        <v>490</v>
      </c>
      <c r="C634" s="23" t="s">
        <v>117</v>
      </c>
      <c r="D634" s="23" t="s">
        <v>154</v>
      </c>
      <c r="E634" s="26" t="s">
        <v>35</v>
      </c>
      <c r="F634" s="30">
        <v>11638500</v>
      </c>
      <c r="G634" s="30">
        <v>11638500</v>
      </c>
    </row>
    <row r="635" spans="1:8" ht="36.700000000000003" outlineLevel="3" x14ac:dyDescent="0.25">
      <c r="A635" s="24" t="s">
        <v>15</v>
      </c>
      <c r="B635" s="23" t="s">
        <v>490</v>
      </c>
      <c r="C635" s="23" t="s">
        <v>117</v>
      </c>
      <c r="D635" s="23" t="s">
        <v>154</v>
      </c>
      <c r="E635" s="26" t="s">
        <v>16</v>
      </c>
      <c r="F635" s="25">
        <f>F636</f>
        <v>2800000</v>
      </c>
      <c r="G635" s="25">
        <f>G636</f>
        <v>2800000</v>
      </c>
    </row>
    <row r="636" spans="1:8" ht="36.700000000000003" outlineLevel="3" x14ac:dyDescent="0.25">
      <c r="A636" s="24" t="s">
        <v>17</v>
      </c>
      <c r="B636" s="23" t="s">
        <v>490</v>
      </c>
      <c r="C636" s="23" t="s">
        <v>117</v>
      </c>
      <c r="D636" s="23" t="s">
        <v>154</v>
      </c>
      <c r="E636" s="26" t="s">
        <v>18</v>
      </c>
      <c r="F636" s="30">
        <v>2800000</v>
      </c>
      <c r="G636" s="30">
        <v>2800000</v>
      </c>
    </row>
    <row r="637" spans="1:8" s="76" customFormat="1" outlineLevel="3" x14ac:dyDescent="0.25">
      <c r="A637" s="24" t="s">
        <v>19</v>
      </c>
      <c r="B637" s="23" t="s">
        <v>490</v>
      </c>
      <c r="C637" s="23" t="s">
        <v>117</v>
      </c>
      <c r="D637" s="23" t="s">
        <v>154</v>
      </c>
      <c r="E637" s="26" t="s">
        <v>20</v>
      </c>
      <c r="F637" s="25">
        <f>F638</f>
        <v>39200</v>
      </c>
      <c r="G637" s="25">
        <f>G638</f>
        <v>39200</v>
      </c>
      <c r="H637" s="75"/>
    </row>
    <row r="638" spans="1:8" outlineLevel="3" x14ac:dyDescent="0.25">
      <c r="A638" s="24" t="s">
        <v>21</v>
      </c>
      <c r="B638" s="23" t="s">
        <v>490</v>
      </c>
      <c r="C638" s="23" t="s">
        <v>117</v>
      </c>
      <c r="D638" s="23" t="s">
        <v>154</v>
      </c>
      <c r="E638" s="26" t="s">
        <v>22</v>
      </c>
      <c r="F638" s="30">
        <v>39200</v>
      </c>
      <c r="G638" s="30">
        <v>39200</v>
      </c>
    </row>
    <row r="639" spans="1:8" ht="23.3" customHeight="1" outlineLevel="3" x14ac:dyDescent="0.25">
      <c r="A639" s="12" t="s">
        <v>36</v>
      </c>
      <c r="B639" s="23" t="s">
        <v>490</v>
      </c>
      <c r="C639" s="23" t="s">
        <v>117</v>
      </c>
      <c r="D639" s="23" t="s">
        <v>155</v>
      </c>
      <c r="E639" s="26" t="s">
        <v>6</v>
      </c>
      <c r="F639" s="25">
        <f>F640</f>
        <v>2081533</v>
      </c>
      <c r="G639" s="25">
        <f>G640</f>
        <v>2081533</v>
      </c>
    </row>
    <row r="640" spans="1:8" ht="45.7" customHeight="1" outlineLevel="3" x14ac:dyDescent="0.25">
      <c r="A640" s="24" t="s">
        <v>37</v>
      </c>
      <c r="B640" s="23" t="s">
        <v>490</v>
      </c>
      <c r="C640" s="23" t="s">
        <v>117</v>
      </c>
      <c r="D640" s="23" t="s">
        <v>155</v>
      </c>
      <c r="E640" s="26" t="s">
        <v>38</v>
      </c>
      <c r="F640" s="25">
        <f>F641</f>
        <v>2081533</v>
      </c>
      <c r="G640" s="25">
        <f>G641</f>
        <v>2081533</v>
      </c>
    </row>
    <row r="641" spans="1:8" ht="22.75" customHeight="1" outlineLevel="3" x14ac:dyDescent="0.25">
      <c r="A641" s="24" t="s">
        <v>39</v>
      </c>
      <c r="B641" s="23" t="s">
        <v>490</v>
      </c>
      <c r="C641" s="23" t="s">
        <v>117</v>
      </c>
      <c r="D641" s="23" t="s">
        <v>155</v>
      </c>
      <c r="E641" s="26" t="s">
        <v>40</v>
      </c>
      <c r="F641" s="30">
        <v>2081533</v>
      </c>
      <c r="G641" s="30">
        <v>2081533</v>
      </c>
    </row>
    <row r="642" spans="1:8" ht="27.7" customHeight="1" outlineLevel="3" x14ac:dyDescent="0.25">
      <c r="A642" s="37" t="s">
        <v>85</v>
      </c>
      <c r="B642" s="38" t="s">
        <v>490</v>
      </c>
      <c r="C642" s="38" t="s">
        <v>86</v>
      </c>
      <c r="D642" s="38" t="s">
        <v>126</v>
      </c>
      <c r="E642" s="39" t="s">
        <v>6</v>
      </c>
      <c r="F642" s="28">
        <f>F643+F649</f>
        <v>4489069</v>
      </c>
      <c r="G642" s="28">
        <f>G643+G649</f>
        <v>4489069</v>
      </c>
    </row>
    <row r="643" spans="1:8" outlineLevel="3" x14ac:dyDescent="0.25">
      <c r="A643" s="24" t="s">
        <v>94</v>
      </c>
      <c r="B643" s="23" t="s">
        <v>490</v>
      </c>
      <c r="C643" s="23" t="s">
        <v>95</v>
      </c>
      <c r="D643" s="23" t="s">
        <v>126</v>
      </c>
      <c r="E643" s="26" t="s">
        <v>6</v>
      </c>
      <c r="F643" s="25">
        <f t="shared" ref="F643:G647" si="39">F644</f>
        <v>1310000</v>
      </c>
      <c r="G643" s="25">
        <f t="shared" si="39"/>
        <v>1310000</v>
      </c>
    </row>
    <row r="644" spans="1:8" ht="55.05" outlineLevel="3" x14ac:dyDescent="0.25">
      <c r="A644" s="37" t="s">
        <v>720</v>
      </c>
      <c r="B644" s="38" t="s">
        <v>490</v>
      </c>
      <c r="C644" s="38" t="s">
        <v>95</v>
      </c>
      <c r="D644" s="38" t="s">
        <v>138</v>
      </c>
      <c r="E644" s="39" t="s">
        <v>6</v>
      </c>
      <c r="F644" s="28">
        <f t="shared" si="39"/>
        <v>1310000</v>
      </c>
      <c r="G644" s="28">
        <f t="shared" si="39"/>
        <v>1310000</v>
      </c>
    </row>
    <row r="645" spans="1:8" outlineLevel="3" x14ac:dyDescent="0.25">
      <c r="A645" s="40" t="s">
        <v>669</v>
      </c>
      <c r="B645" s="23" t="s">
        <v>490</v>
      </c>
      <c r="C645" s="23" t="s">
        <v>95</v>
      </c>
      <c r="D645" s="23" t="s">
        <v>667</v>
      </c>
      <c r="E645" s="26" t="s">
        <v>6</v>
      </c>
      <c r="F645" s="25">
        <f t="shared" si="39"/>
        <v>1310000</v>
      </c>
      <c r="G645" s="25">
        <f t="shared" si="39"/>
        <v>1310000</v>
      </c>
    </row>
    <row r="646" spans="1:8" ht="110.05" outlineLevel="3" x14ac:dyDescent="0.25">
      <c r="A646" s="31" t="s">
        <v>379</v>
      </c>
      <c r="B646" s="23" t="s">
        <v>490</v>
      </c>
      <c r="C646" s="23" t="s">
        <v>95</v>
      </c>
      <c r="D646" s="23" t="s">
        <v>668</v>
      </c>
      <c r="E646" s="26" t="s">
        <v>6</v>
      </c>
      <c r="F646" s="25">
        <f t="shared" si="39"/>
        <v>1310000</v>
      </c>
      <c r="G646" s="25">
        <f t="shared" si="39"/>
        <v>1310000</v>
      </c>
    </row>
    <row r="647" spans="1:8" ht="28.55" customHeight="1" outlineLevel="3" x14ac:dyDescent="0.25">
      <c r="A647" s="24" t="s">
        <v>90</v>
      </c>
      <c r="B647" s="23" t="s">
        <v>490</v>
      </c>
      <c r="C647" s="23" t="s">
        <v>95</v>
      </c>
      <c r="D647" s="23" t="s">
        <v>668</v>
      </c>
      <c r="E647" s="26" t="s">
        <v>91</v>
      </c>
      <c r="F647" s="25">
        <f t="shared" si="39"/>
        <v>1310000</v>
      </c>
      <c r="G647" s="25">
        <f t="shared" si="39"/>
        <v>1310000</v>
      </c>
    </row>
    <row r="648" spans="1:8" ht="36.700000000000003" outlineLevel="3" x14ac:dyDescent="0.25">
      <c r="A648" s="24" t="s">
        <v>97</v>
      </c>
      <c r="B648" s="23" t="s">
        <v>490</v>
      </c>
      <c r="C648" s="23" t="s">
        <v>95</v>
      </c>
      <c r="D648" s="23" t="s">
        <v>668</v>
      </c>
      <c r="E648" s="26" t="s">
        <v>98</v>
      </c>
      <c r="F648" s="30">
        <v>1310000</v>
      </c>
      <c r="G648" s="30">
        <v>1310000</v>
      </c>
    </row>
    <row r="649" spans="1:8" outlineLevel="3" x14ac:dyDescent="0.25">
      <c r="A649" s="24" t="s">
        <v>123</v>
      </c>
      <c r="B649" s="23" t="s">
        <v>490</v>
      </c>
      <c r="C649" s="23" t="s">
        <v>124</v>
      </c>
      <c r="D649" s="23" t="s">
        <v>126</v>
      </c>
      <c r="E649" s="26" t="s">
        <v>6</v>
      </c>
      <c r="F649" s="25">
        <f t="shared" ref="F649:G652" si="40">F650</f>
        <v>3179069</v>
      </c>
      <c r="G649" s="25">
        <f t="shared" si="40"/>
        <v>3179069</v>
      </c>
    </row>
    <row r="650" spans="1:8" ht="39.75" customHeight="1" outlineLevel="3" x14ac:dyDescent="0.25">
      <c r="A650" s="37" t="s">
        <v>721</v>
      </c>
      <c r="B650" s="38" t="s">
        <v>490</v>
      </c>
      <c r="C650" s="38" t="s">
        <v>124</v>
      </c>
      <c r="D650" s="38" t="s">
        <v>138</v>
      </c>
      <c r="E650" s="39" t="s">
        <v>6</v>
      </c>
      <c r="F650" s="28">
        <f t="shared" si="40"/>
        <v>3179069</v>
      </c>
      <c r="G650" s="28">
        <f t="shared" si="40"/>
        <v>3179069</v>
      </c>
    </row>
    <row r="651" spans="1:8" ht="37.4" customHeight="1" outlineLevel="3" x14ac:dyDescent="0.25">
      <c r="A651" s="24" t="s">
        <v>728</v>
      </c>
      <c r="B651" s="23" t="s">
        <v>490</v>
      </c>
      <c r="C651" s="23" t="s">
        <v>124</v>
      </c>
      <c r="D651" s="23" t="s">
        <v>139</v>
      </c>
      <c r="E651" s="26" t="s">
        <v>6</v>
      </c>
      <c r="F651" s="25">
        <f t="shared" si="40"/>
        <v>3179069</v>
      </c>
      <c r="G651" s="25">
        <f t="shared" si="40"/>
        <v>3179069</v>
      </c>
    </row>
    <row r="652" spans="1:8" ht="36.700000000000003" outlineLevel="3" x14ac:dyDescent="0.25">
      <c r="A652" s="40" t="s">
        <v>202</v>
      </c>
      <c r="B652" s="23" t="s">
        <v>490</v>
      </c>
      <c r="C652" s="23" t="s">
        <v>124</v>
      </c>
      <c r="D652" s="23" t="s">
        <v>231</v>
      </c>
      <c r="E652" s="26" t="s">
        <v>6</v>
      </c>
      <c r="F652" s="25">
        <f t="shared" si="40"/>
        <v>3179069</v>
      </c>
      <c r="G652" s="25">
        <f t="shared" si="40"/>
        <v>3179069</v>
      </c>
    </row>
    <row r="653" spans="1:8" s="74" customFormat="1" ht="151.5" customHeight="1" x14ac:dyDescent="0.25">
      <c r="A653" s="31" t="s">
        <v>594</v>
      </c>
      <c r="B653" s="23" t="s">
        <v>490</v>
      </c>
      <c r="C653" s="23" t="s">
        <v>124</v>
      </c>
      <c r="D653" s="23" t="s">
        <v>156</v>
      </c>
      <c r="E653" s="26" t="s">
        <v>6</v>
      </c>
      <c r="F653" s="25">
        <f>F656</f>
        <v>3179069</v>
      </c>
      <c r="G653" s="25">
        <f>G656</f>
        <v>3179069</v>
      </c>
      <c r="H653" s="73"/>
    </row>
    <row r="654" spans="1:8" s="74" customFormat="1" ht="0.7" customHeight="1" x14ac:dyDescent="0.25">
      <c r="A654" s="24" t="s">
        <v>15</v>
      </c>
      <c r="B654" s="23" t="s">
        <v>490</v>
      </c>
      <c r="C654" s="23" t="s">
        <v>124</v>
      </c>
      <c r="D654" s="23" t="s">
        <v>156</v>
      </c>
      <c r="E654" s="23" t="s">
        <v>16</v>
      </c>
      <c r="F654" s="25"/>
      <c r="G654" s="25"/>
      <c r="H654" s="73"/>
    </row>
    <row r="655" spans="1:8" s="74" customFormat="1" ht="36.700000000000003" x14ac:dyDescent="0.25">
      <c r="A655" s="24" t="s">
        <v>17</v>
      </c>
      <c r="B655" s="23" t="s">
        <v>490</v>
      </c>
      <c r="C655" s="23" t="s">
        <v>124</v>
      </c>
      <c r="D655" s="23" t="s">
        <v>156</v>
      </c>
      <c r="E655" s="23" t="s">
        <v>18</v>
      </c>
      <c r="F655" s="25"/>
      <c r="G655" s="25"/>
      <c r="H655" s="73"/>
    </row>
    <row r="656" spans="1:8" s="74" customFormat="1" ht="29.25" customHeight="1" x14ac:dyDescent="0.25">
      <c r="A656" s="24" t="s">
        <v>90</v>
      </c>
      <c r="B656" s="23" t="s">
        <v>490</v>
      </c>
      <c r="C656" s="23" t="s">
        <v>124</v>
      </c>
      <c r="D656" s="23" t="s">
        <v>156</v>
      </c>
      <c r="E656" s="26" t="s">
        <v>91</v>
      </c>
      <c r="F656" s="25">
        <f>F657</f>
        <v>3179069</v>
      </c>
      <c r="G656" s="25">
        <f>G657</f>
        <v>3179069</v>
      </c>
      <c r="H656" s="73"/>
    </row>
    <row r="657" spans="1:8" s="74" customFormat="1" ht="40.1" customHeight="1" x14ac:dyDescent="0.25">
      <c r="A657" s="24" t="s">
        <v>97</v>
      </c>
      <c r="B657" s="23" t="s">
        <v>490</v>
      </c>
      <c r="C657" s="23" t="s">
        <v>124</v>
      </c>
      <c r="D657" s="23" t="s">
        <v>156</v>
      </c>
      <c r="E657" s="26" t="s">
        <v>98</v>
      </c>
      <c r="F657" s="30">
        <v>3179069</v>
      </c>
      <c r="G657" s="30">
        <v>3179069</v>
      </c>
      <c r="H657" s="73"/>
    </row>
    <row r="658" spans="1:8" s="74" customFormat="1" ht="19.55" customHeight="1" x14ac:dyDescent="0.25">
      <c r="A658" s="37" t="s">
        <v>100</v>
      </c>
      <c r="B658" s="23" t="s">
        <v>490</v>
      </c>
      <c r="C658" s="23" t="s">
        <v>101</v>
      </c>
      <c r="D658" s="38" t="s">
        <v>126</v>
      </c>
      <c r="E658" s="26" t="s">
        <v>6</v>
      </c>
      <c r="F658" s="30">
        <f t="shared" ref="F658:G663" si="41">F659</f>
        <v>358800</v>
      </c>
      <c r="G658" s="30">
        <f t="shared" si="41"/>
        <v>0</v>
      </c>
      <c r="H658" s="73"/>
    </row>
    <row r="659" spans="1:8" ht="21.25" customHeight="1" x14ac:dyDescent="0.25">
      <c r="A659" s="24" t="s">
        <v>291</v>
      </c>
      <c r="B659" s="23" t="s">
        <v>490</v>
      </c>
      <c r="C659" s="23" t="s">
        <v>290</v>
      </c>
      <c r="D659" s="38" t="s">
        <v>126</v>
      </c>
      <c r="E659" s="26" t="s">
        <v>6</v>
      </c>
      <c r="F659" s="30">
        <f t="shared" si="41"/>
        <v>358800</v>
      </c>
      <c r="G659" s="30">
        <f t="shared" si="41"/>
        <v>0</v>
      </c>
    </row>
    <row r="660" spans="1:8" ht="57.75" customHeight="1" x14ac:dyDescent="0.25">
      <c r="A660" s="37" t="s">
        <v>359</v>
      </c>
      <c r="B660" s="23" t="s">
        <v>490</v>
      </c>
      <c r="C660" s="23" t="s">
        <v>290</v>
      </c>
      <c r="D660" s="38" t="s">
        <v>198</v>
      </c>
      <c r="E660" s="26" t="s">
        <v>6</v>
      </c>
      <c r="F660" s="30">
        <f t="shared" si="41"/>
        <v>358800</v>
      </c>
      <c r="G660" s="30">
        <f t="shared" si="41"/>
        <v>0</v>
      </c>
    </row>
    <row r="661" spans="1:8" ht="58.75" customHeight="1" x14ac:dyDescent="0.25">
      <c r="A661" s="24" t="s">
        <v>210</v>
      </c>
      <c r="B661" s="23" t="s">
        <v>490</v>
      </c>
      <c r="C661" s="23" t="s">
        <v>290</v>
      </c>
      <c r="D661" s="23" t="s">
        <v>608</v>
      </c>
      <c r="E661" s="26" t="s">
        <v>6</v>
      </c>
      <c r="F661" s="30">
        <f t="shared" si="41"/>
        <v>358800</v>
      </c>
      <c r="G661" s="30">
        <f t="shared" si="41"/>
        <v>0</v>
      </c>
    </row>
    <row r="662" spans="1:8" ht="21.75" customHeight="1" x14ac:dyDescent="0.25">
      <c r="A662" s="24" t="s">
        <v>360</v>
      </c>
      <c r="B662" s="23" t="s">
        <v>490</v>
      </c>
      <c r="C662" s="23" t="s">
        <v>290</v>
      </c>
      <c r="D662" s="23" t="s">
        <v>293</v>
      </c>
      <c r="E662" s="26" t="s">
        <v>6</v>
      </c>
      <c r="F662" s="30">
        <f>F663+F666+F669</f>
        <v>358800</v>
      </c>
      <c r="G662" s="30">
        <v>0</v>
      </c>
    </row>
    <row r="663" spans="1:8" ht="37.549999999999997" customHeight="1" x14ac:dyDescent="0.25">
      <c r="A663" s="24" t="s">
        <v>273</v>
      </c>
      <c r="B663" s="23" t="s">
        <v>490</v>
      </c>
      <c r="C663" s="23" t="s">
        <v>290</v>
      </c>
      <c r="D663" s="23" t="s">
        <v>292</v>
      </c>
      <c r="E663" s="26" t="s">
        <v>6</v>
      </c>
      <c r="F663" s="30">
        <f t="shared" si="41"/>
        <v>358800</v>
      </c>
      <c r="G663" s="30">
        <f t="shared" si="41"/>
        <v>0</v>
      </c>
    </row>
    <row r="664" spans="1:8" ht="21.25" customHeight="1" x14ac:dyDescent="0.25">
      <c r="A664" s="24" t="s">
        <v>37</v>
      </c>
      <c r="B664" s="23" t="s">
        <v>490</v>
      </c>
      <c r="C664" s="23" t="s">
        <v>290</v>
      </c>
      <c r="D664" s="23" t="s">
        <v>292</v>
      </c>
      <c r="E664" s="26" t="s">
        <v>38</v>
      </c>
      <c r="F664" s="30">
        <f>F665</f>
        <v>358800</v>
      </c>
      <c r="G664" s="30">
        <f>G665</f>
        <v>0</v>
      </c>
    </row>
    <row r="665" spans="1:8" ht="21.25" customHeight="1" x14ac:dyDescent="0.25">
      <c r="A665" s="24" t="s">
        <v>74</v>
      </c>
      <c r="B665" s="23" t="s">
        <v>490</v>
      </c>
      <c r="C665" s="23" t="s">
        <v>290</v>
      </c>
      <c r="D665" s="23" t="s">
        <v>292</v>
      </c>
      <c r="E665" s="26" t="s">
        <v>75</v>
      </c>
      <c r="F665" s="30">
        <v>358800</v>
      </c>
      <c r="G665" s="30">
        <v>0</v>
      </c>
    </row>
    <row r="666" spans="1:8" ht="18" customHeight="1" x14ac:dyDescent="0.3">
      <c r="A666" s="24" t="s">
        <v>695</v>
      </c>
      <c r="B666" s="23" t="s">
        <v>490</v>
      </c>
      <c r="C666" s="23" t="s">
        <v>290</v>
      </c>
      <c r="D666" s="23" t="s">
        <v>681</v>
      </c>
      <c r="E666" s="26" t="s">
        <v>6</v>
      </c>
      <c r="F666" s="19">
        <f>F667</f>
        <v>0</v>
      </c>
      <c r="G666" s="19">
        <f>G667</f>
        <v>0</v>
      </c>
    </row>
    <row r="667" spans="1:8" s="67" customFormat="1" ht="18.7" customHeight="1" x14ac:dyDescent="0.3">
      <c r="A667" s="24" t="s">
        <v>37</v>
      </c>
      <c r="B667" s="23" t="s">
        <v>490</v>
      </c>
      <c r="C667" s="23" t="s">
        <v>290</v>
      </c>
      <c r="D667" s="23" t="s">
        <v>681</v>
      </c>
      <c r="E667" s="26" t="s">
        <v>38</v>
      </c>
      <c r="F667" s="19">
        <f>F668</f>
        <v>0</v>
      </c>
      <c r="G667" s="19">
        <f>G668</f>
        <v>0</v>
      </c>
    </row>
    <row r="668" spans="1:8" s="67" customFormat="1" ht="21.25" customHeight="1" x14ac:dyDescent="0.25">
      <c r="A668" s="24" t="s">
        <v>74</v>
      </c>
      <c r="B668" s="23" t="s">
        <v>490</v>
      </c>
      <c r="C668" s="23" t="s">
        <v>290</v>
      </c>
      <c r="D668" s="23" t="s">
        <v>681</v>
      </c>
      <c r="E668" s="26" t="s">
        <v>75</v>
      </c>
      <c r="F668" s="30">
        <v>0</v>
      </c>
      <c r="G668" s="30"/>
    </row>
    <row r="669" spans="1:8" s="67" customFormat="1" ht="18.7" customHeight="1" x14ac:dyDescent="0.25">
      <c r="A669" s="24" t="s">
        <v>787</v>
      </c>
      <c r="B669" s="23" t="s">
        <v>490</v>
      </c>
      <c r="C669" s="23" t="s">
        <v>290</v>
      </c>
      <c r="D669" s="23" t="s">
        <v>686</v>
      </c>
      <c r="E669" s="26" t="s">
        <v>6</v>
      </c>
      <c r="F669" s="30">
        <f>F670</f>
        <v>0</v>
      </c>
      <c r="G669" s="30">
        <f>G670</f>
        <v>0</v>
      </c>
    </row>
    <row r="670" spans="1:8" s="67" customFormat="1" ht="18" customHeight="1" x14ac:dyDescent="0.25">
      <c r="A670" s="24" t="s">
        <v>37</v>
      </c>
      <c r="B670" s="23" t="s">
        <v>490</v>
      </c>
      <c r="C670" s="23" t="s">
        <v>290</v>
      </c>
      <c r="D670" s="23" t="s">
        <v>686</v>
      </c>
      <c r="E670" s="26" t="s">
        <v>38</v>
      </c>
      <c r="F670" s="30">
        <f>F671</f>
        <v>0</v>
      </c>
      <c r="G670" s="30">
        <f>G671</f>
        <v>0</v>
      </c>
    </row>
    <row r="671" spans="1:8" s="67" customFormat="1" ht="18.7" customHeight="1" x14ac:dyDescent="0.25">
      <c r="A671" s="24" t="s">
        <v>74</v>
      </c>
      <c r="B671" s="23" t="s">
        <v>490</v>
      </c>
      <c r="C671" s="23" t="s">
        <v>290</v>
      </c>
      <c r="D671" s="23" t="s">
        <v>686</v>
      </c>
      <c r="E671" s="26" t="s">
        <v>75</v>
      </c>
      <c r="F671" s="30">
        <v>0</v>
      </c>
      <c r="G671" s="30"/>
    </row>
    <row r="672" spans="1:8" s="67" customFormat="1" ht="36.700000000000003" x14ac:dyDescent="0.25">
      <c r="A672" s="78" t="s">
        <v>671</v>
      </c>
      <c r="B672" s="58">
        <v>959</v>
      </c>
      <c r="C672" s="59" t="s">
        <v>5</v>
      </c>
      <c r="D672" s="59" t="s">
        <v>126</v>
      </c>
      <c r="E672" s="59" t="s">
        <v>6</v>
      </c>
      <c r="F672" s="60" t="e">
        <f>F673</f>
        <v>#REF!</v>
      </c>
      <c r="G672" s="60">
        <f t="shared" ref="F672:G674" si="42">G673</f>
        <v>1540000</v>
      </c>
    </row>
    <row r="673" spans="1:12" s="67" customFormat="1" x14ac:dyDescent="0.25">
      <c r="A673" s="24" t="s">
        <v>7</v>
      </c>
      <c r="B673" s="23" t="s">
        <v>672</v>
      </c>
      <c r="C673" s="23" t="s">
        <v>8</v>
      </c>
      <c r="D673" s="23" t="s">
        <v>126</v>
      </c>
      <c r="E673" s="23" t="s">
        <v>6</v>
      </c>
      <c r="F673" s="51" t="e">
        <f>F674</f>
        <v>#REF!</v>
      </c>
      <c r="G673" s="51">
        <f t="shared" si="42"/>
        <v>1540000</v>
      </c>
    </row>
    <row r="674" spans="1:12" s="67" customFormat="1" ht="55.05" x14ac:dyDescent="0.25">
      <c r="A674" s="24" t="s">
        <v>9</v>
      </c>
      <c r="B674" s="23" t="s">
        <v>672</v>
      </c>
      <c r="C674" s="23" t="s">
        <v>10</v>
      </c>
      <c r="D674" s="23" t="s">
        <v>126</v>
      </c>
      <c r="E674" s="23" t="s">
        <v>6</v>
      </c>
      <c r="F674" s="25" t="e">
        <f t="shared" si="42"/>
        <v>#REF!</v>
      </c>
      <c r="G674" s="25">
        <f t="shared" si="42"/>
        <v>1540000</v>
      </c>
    </row>
    <row r="675" spans="1:12" s="67" customFormat="1" ht="36.700000000000003" x14ac:dyDescent="0.25">
      <c r="A675" s="24" t="s">
        <v>132</v>
      </c>
      <c r="B675" s="23" t="s">
        <v>672</v>
      </c>
      <c r="C675" s="23" t="s">
        <v>10</v>
      </c>
      <c r="D675" s="23" t="s">
        <v>127</v>
      </c>
      <c r="E675" s="23" t="s">
        <v>6</v>
      </c>
      <c r="F675" s="25" t="e">
        <f>F676+F679</f>
        <v>#REF!</v>
      </c>
      <c r="G675" s="25">
        <f>G676+G679</f>
        <v>1540000</v>
      </c>
    </row>
    <row r="676" spans="1:12" s="67" customFormat="1" x14ac:dyDescent="0.25">
      <c r="A676" s="24" t="s">
        <v>673</v>
      </c>
      <c r="B676" s="23" t="s">
        <v>672</v>
      </c>
      <c r="C676" s="23" t="s">
        <v>10</v>
      </c>
      <c r="D676" s="23" t="s">
        <v>143</v>
      </c>
      <c r="E676" s="23" t="s">
        <v>6</v>
      </c>
      <c r="F676" s="25">
        <f>F677</f>
        <v>1220000</v>
      </c>
      <c r="G676" s="25">
        <f>G677</f>
        <v>1240000</v>
      </c>
    </row>
    <row r="677" spans="1:12" s="67" customFormat="1" ht="91.7" x14ac:dyDescent="0.25">
      <c r="A677" s="24" t="s">
        <v>11</v>
      </c>
      <c r="B677" s="23" t="s">
        <v>672</v>
      </c>
      <c r="C677" s="23" t="s">
        <v>10</v>
      </c>
      <c r="D677" s="23" t="s">
        <v>143</v>
      </c>
      <c r="E677" s="23" t="s">
        <v>12</v>
      </c>
      <c r="F677" s="25">
        <f>F678</f>
        <v>1220000</v>
      </c>
      <c r="G677" s="25">
        <f>G678</f>
        <v>1240000</v>
      </c>
    </row>
    <row r="678" spans="1:12" s="67" customFormat="1" ht="36.700000000000003" x14ac:dyDescent="0.25">
      <c r="A678" s="24" t="s">
        <v>13</v>
      </c>
      <c r="B678" s="23" t="s">
        <v>672</v>
      </c>
      <c r="C678" s="23" t="s">
        <v>10</v>
      </c>
      <c r="D678" s="23" t="s">
        <v>143</v>
      </c>
      <c r="E678" s="23" t="s">
        <v>14</v>
      </c>
      <c r="F678" s="30">
        <v>1220000</v>
      </c>
      <c r="G678" s="30">
        <v>1240000</v>
      </c>
    </row>
    <row r="679" spans="1:12" s="67" customFormat="1" ht="55.05" x14ac:dyDescent="0.25">
      <c r="A679" s="24" t="s">
        <v>449</v>
      </c>
      <c r="B679" s="23" t="s">
        <v>672</v>
      </c>
      <c r="C679" s="23" t="s">
        <v>10</v>
      </c>
      <c r="D679" s="23" t="s">
        <v>450</v>
      </c>
      <c r="E679" s="23" t="s">
        <v>6</v>
      </c>
      <c r="F679" s="30" t="e">
        <f>F680+F682</f>
        <v>#REF!</v>
      </c>
      <c r="G679" s="30">
        <f>G680+G682</f>
        <v>300000</v>
      </c>
    </row>
    <row r="680" spans="1:12" s="67" customFormat="1" ht="89.7" customHeight="1" x14ac:dyDescent="0.25">
      <c r="A680" s="24" t="s">
        <v>11</v>
      </c>
      <c r="B680" s="23" t="s">
        <v>672</v>
      </c>
      <c r="C680" s="23" t="s">
        <v>10</v>
      </c>
      <c r="D680" s="23" t="s">
        <v>450</v>
      </c>
      <c r="E680" s="23" t="s">
        <v>12</v>
      </c>
      <c r="F680" s="30">
        <f>F681</f>
        <v>210000</v>
      </c>
      <c r="G680" s="30">
        <f>G681</f>
        <v>220000</v>
      </c>
    </row>
    <row r="681" spans="1:12" s="67" customFormat="1" ht="36.700000000000003" x14ac:dyDescent="0.25">
      <c r="A681" s="24" t="s">
        <v>13</v>
      </c>
      <c r="B681" s="23" t="s">
        <v>672</v>
      </c>
      <c r="C681" s="23" t="s">
        <v>10</v>
      </c>
      <c r="D681" s="23" t="s">
        <v>450</v>
      </c>
      <c r="E681" s="23" t="s">
        <v>14</v>
      </c>
      <c r="F681" s="30">
        <v>210000</v>
      </c>
      <c r="G681" s="30">
        <v>220000</v>
      </c>
    </row>
    <row r="682" spans="1:12" s="67" customFormat="1" ht="36.700000000000003" x14ac:dyDescent="0.25">
      <c r="A682" s="24" t="s">
        <v>15</v>
      </c>
      <c r="B682" s="23" t="s">
        <v>672</v>
      </c>
      <c r="C682" s="23" t="s">
        <v>10</v>
      </c>
      <c r="D682" s="23" t="s">
        <v>450</v>
      </c>
      <c r="E682" s="23" t="s">
        <v>16</v>
      </c>
      <c r="F682" s="30" t="e">
        <f>F683</f>
        <v>#REF!</v>
      </c>
      <c r="G682" s="30">
        <f>G683</f>
        <v>80000</v>
      </c>
      <c r="K682" s="67" t="e">
        <f>F692-F686</f>
        <v>#REF!</v>
      </c>
      <c r="L682" s="67" t="e">
        <f>G692-G686</f>
        <v>#REF!</v>
      </c>
    </row>
    <row r="683" spans="1:12" s="67" customFormat="1" ht="36.700000000000003" x14ac:dyDescent="0.25">
      <c r="A683" s="24" t="s">
        <v>17</v>
      </c>
      <c r="B683" s="23" t="s">
        <v>672</v>
      </c>
      <c r="C683" s="23" t="s">
        <v>10</v>
      </c>
      <c r="D683" s="23" t="s">
        <v>450</v>
      </c>
      <c r="E683" s="23" t="s">
        <v>18</v>
      </c>
      <c r="F683" s="30" t="e">
        <f>#REF!</f>
        <v>#REF!</v>
      </c>
      <c r="G683" s="30">
        <v>80000</v>
      </c>
      <c r="I683" s="656" t="s">
        <v>707</v>
      </c>
      <c r="J683" s="656"/>
      <c r="K683" s="127" t="e">
        <f>K682*2.5%</f>
        <v>#REF!</v>
      </c>
      <c r="L683" s="127"/>
    </row>
    <row r="684" spans="1:12" s="67" customFormat="1" x14ac:dyDescent="0.3">
      <c r="A684" s="79" t="s">
        <v>685</v>
      </c>
      <c r="B684" s="80"/>
      <c r="C684" s="80"/>
      <c r="D684" s="81"/>
      <c r="E684" s="80"/>
      <c r="F684" s="50" t="e">
        <f>F14+F36+F470+F502+F672</f>
        <v>#REF!</v>
      </c>
      <c r="G684" s="50" t="e">
        <f>G14+G36+G470+G502+G672</f>
        <v>#REF!</v>
      </c>
      <c r="I684" s="656" t="s">
        <v>708</v>
      </c>
      <c r="J684" s="656"/>
      <c r="K684" s="127" t="e">
        <f>L682*5%</f>
        <v>#REF!</v>
      </c>
    </row>
    <row r="685" spans="1:12" s="67" customFormat="1" x14ac:dyDescent="0.3">
      <c r="A685" s="66"/>
      <c r="B685" s="3"/>
      <c r="C685" s="3"/>
      <c r="D685" s="82" t="s">
        <v>703</v>
      </c>
      <c r="E685" s="3"/>
      <c r="F685" s="83">
        <f>'прил 4'!C9</f>
        <v>176300000</v>
      </c>
      <c r="G685" s="83">
        <f>'прил 4'!D9</f>
        <v>180519000</v>
      </c>
    </row>
    <row r="686" spans="1:12" s="67" customFormat="1" x14ac:dyDescent="0.3">
      <c r="A686" s="66"/>
      <c r="B686" s="3"/>
      <c r="C686" s="3"/>
      <c r="D686" s="82" t="s">
        <v>492</v>
      </c>
      <c r="E686" s="3"/>
      <c r="F686" s="83">
        <f>F653+F646+F611+F576+F573+F553+F550+F546+F513+F454+F433+F421+F418+F408+F369+F352+F304+F295+F188+F182+F161+F152+F147+F142+F137+F129+F134+F53+F430+F380-411090.13+129.24-102100.94-109624.2-208543</f>
        <v>482120951.43599993</v>
      </c>
      <c r="G686" s="83">
        <f>G653+G646+G611+G576+G573+G553+G550+G546+G513+G454+G433+G421+G418+G408+G369+G352+G304+G295+G188+G182+G161+G152+G147+G142+G137+G129+G134+G53+G430-287538.11</f>
        <v>499266331.37</v>
      </c>
    </row>
    <row r="687" spans="1:12" s="67" customFormat="1" x14ac:dyDescent="0.3">
      <c r="A687" s="66"/>
      <c r="B687" s="3"/>
      <c r="C687" s="3"/>
      <c r="D687" s="128" t="s">
        <v>704</v>
      </c>
      <c r="E687" s="3"/>
      <c r="F687" s="129">
        <f>F685*2.5%</f>
        <v>4407500</v>
      </c>
      <c r="G687" s="129">
        <f>G685*5%</f>
        <v>9025950</v>
      </c>
    </row>
    <row r="688" spans="1:12" s="67" customFormat="1" x14ac:dyDescent="0.3">
      <c r="A688" s="66"/>
      <c r="B688" s="3"/>
      <c r="C688" s="3"/>
      <c r="D688" s="82"/>
      <c r="E688" s="3"/>
      <c r="F688" s="83">
        <f>F685+F686</f>
        <v>658420951.43599987</v>
      </c>
      <c r="G688" s="83">
        <f>G685+G686</f>
        <v>679785331.37</v>
      </c>
    </row>
    <row r="689" spans="1:7" s="67" customFormat="1" x14ac:dyDescent="0.3">
      <c r="A689" s="66"/>
      <c r="B689" s="3"/>
      <c r="C689" s="3"/>
      <c r="D689" s="82" t="s">
        <v>705</v>
      </c>
      <c r="E689" s="3"/>
      <c r="F689" s="83">
        <v>411090.13</v>
      </c>
      <c r="G689" s="83">
        <v>287538.11</v>
      </c>
    </row>
    <row r="690" spans="1:7" s="67" customFormat="1" x14ac:dyDescent="0.3">
      <c r="A690" s="66"/>
      <c r="B690" s="3"/>
      <c r="C690" s="3"/>
      <c r="D690" s="82" t="s">
        <v>706</v>
      </c>
      <c r="E690" s="3"/>
      <c r="F690" s="83"/>
    </row>
    <row r="691" spans="1:7" s="67" customFormat="1" x14ac:dyDescent="0.3">
      <c r="A691" s="66"/>
      <c r="B691" s="3"/>
      <c r="C691" s="3"/>
      <c r="D691" s="82"/>
      <c r="E691" s="3"/>
      <c r="F691" s="83"/>
    </row>
    <row r="692" spans="1:7" s="67" customFormat="1" x14ac:dyDescent="0.3">
      <c r="A692" s="66"/>
      <c r="B692" s="3"/>
      <c r="C692" s="3"/>
      <c r="D692" s="82"/>
      <c r="E692" s="3"/>
      <c r="F692" s="83" t="e">
        <f>F684+F687</f>
        <v>#REF!</v>
      </c>
      <c r="G692" s="83" t="e">
        <f>G684+G687</f>
        <v>#REF!</v>
      </c>
    </row>
    <row r="693" spans="1:7" s="67" customFormat="1" x14ac:dyDescent="0.3">
      <c r="A693" s="66"/>
      <c r="B693" s="3"/>
      <c r="C693" s="3"/>
      <c r="D693" s="82"/>
      <c r="E693" s="3"/>
      <c r="F693" s="83">
        <f>'прил 4'!C65</f>
        <v>1071081970.55</v>
      </c>
      <c r="G693" s="83">
        <f>'прил 4'!D65</f>
        <v>1116613699.2</v>
      </c>
    </row>
    <row r="694" spans="1:7" s="67" customFormat="1" x14ac:dyDescent="0.3">
      <c r="A694" s="66"/>
      <c r="B694" s="3"/>
      <c r="C694" s="3"/>
      <c r="D694" s="82"/>
      <c r="E694" s="3"/>
      <c r="F694" s="83" t="e">
        <f>F693-F692</f>
        <v>#REF!</v>
      </c>
      <c r="G694" s="83" t="e">
        <f>G693-G692</f>
        <v>#REF!</v>
      </c>
    </row>
    <row r="695" spans="1:7" s="67" customFormat="1" x14ac:dyDescent="0.3">
      <c r="A695" s="66"/>
      <c r="B695" s="3"/>
      <c r="C695" s="3"/>
      <c r="D695" s="82"/>
      <c r="E695" s="3"/>
      <c r="F695" s="83"/>
    </row>
    <row r="696" spans="1:7" s="67" customFormat="1" x14ac:dyDescent="0.3">
      <c r="A696" s="66"/>
      <c r="B696" s="3"/>
      <c r="C696" s="3"/>
      <c r="D696" s="82"/>
      <c r="E696" s="3"/>
      <c r="F696" s="83"/>
    </row>
    <row r="697" spans="1:7" s="67" customFormat="1" x14ac:dyDescent="0.3">
      <c r="A697" s="66"/>
      <c r="B697" s="3" t="s">
        <v>719</v>
      </c>
      <c r="C697" s="3"/>
      <c r="D697" s="82"/>
      <c r="E697" s="3"/>
      <c r="F697" s="84">
        <f>F399+F420+F425</f>
        <v>25861130.34</v>
      </c>
      <c r="G697" s="84">
        <f>G399+G420+G425</f>
        <v>26565604.48</v>
      </c>
    </row>
    <row r="698" spans="1:7" s="67" customFormat="1" x14ac:dyDescent="0.3">
      <c r="A698" s="66"/>
      <c r="B698" s="3"/>
      <c r="C698" s="3"/>
      <c r="D698" s="82"/>
      <c r="E698" s="3"/>
      <c r="F698" s="85"/>
    </row>
    <row r="699" spans="1:7" s="67" customFormat="1" x14ac:dyDescent="0.3">
      <c r="A699" s="66"/>
      <c r="B699" s="3"/>
      <c r="C699" s="3"/>
      <c r="D699" s="82"/>
      <c r="E699" s="3"/>
      <c r="F699" s="83"/>
    </row>
    <row r="704" spans="1:7" s="67" customFormat="1" x14ac:dyDescent="0.3">
      <c r="A704" s="66"/>
      <c r="B704" s="3" t="s">
        <v>598</v>
      </c>
      <c r="C704" s="3"/>
      <c r="D704" s="83"/>
      <c r="E704" s="3"/>
      <c r="F704" s="86"/>
      <c r="G704" s="83"/>
    </row>
    <row r="705" spans="1:7" s="67" customFormat="1" x14ac:dyDescent="0.3">
      <c r="A705" s="66"/>
      <c r="B705" s="3" t="s">
        <v>597</v>
      </c>
      <c r="C705" s="3"/>
      <c r="D705" s="83"/>
      <c r="E705" s="3"/>
      <c r="F705" s="86"/>
      <c r="G705" s="83"/>
    </row>
  </sheetData>
  <mergeCells count="11">
    <mergeCell ref="I684:J684"/>
    <mergeCell ref="A9:F9"/>
    <mergeCell ref="A10:F10"/>
    <mergeCell ref="A11:F11"/>
    <mergeCell ref="I683:J683"/>
    <mergeCell ref="F3:G3"/>
    <mergeCell ref="F4:G4"/>
    <mergeCell ref="E2:G2"/>
    <mergeCell ref="F5:G5"/>
    <mergeCell ref="F7:G7"/>
    <mergeCell ref="E6:G6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5" manualBreakCount="5">
    <brk id="368" max="6" man="1"/>
    <brk id="404" max="6" man="1"/>
    <brk id="475" max="6" man="1"/>
    <brk id="571" max="6" man="1"/>
    <brk id="60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656"/>
  <sheetViews>
    <sheetView view="pageBreakPreview" zoomScaleNormal="100" zoomScaleSheetLayoutView="100" workbookViewId="0">
      <selection activeCell="A71" sqref="A71:A73"/>
    </sheetView>
  </sheetViews>
  <sheetFormatPr defaultRowHeight="18.350000000000001" outlineLevelRow="7" x14ac:dyDescent="0.3"/>
  <cols>
    <col min="1" max="1" width="62.375" style="66" customWidth="1"/>
    <col min="2" max="2" width="6.375" style="3" customWidth="1"/>
    <col min="3" max="3" width="6.625" style="3" customWidth="1"/>
    <col min="4" max="4" width="15.875" style="3" customWidth="1"/>
    <col min="5" max="5" width="6.875" style="3" customWidth="1"/>
    <col min="6" max="6" width="20.75" style="349" customWidth="1"/>
    <col min="7" max="7" width="22" style="344" customWidth="1"/>
    <col min="8" max="8" width="20.25" style="67" customWidth="1"/>
    <col min="9" max="10" width="9" style="1"/>
    <col min="11" max="11" width="18.375" style="1" bestFit="1" customWidth="1"/>
    <col min="12" max="12" width="16.125" style="1" customWidth="1"/>
    <col min="13" max="238" width="9" style="1"/>
    <col min="239" max="239" width="75.875" style="1" customWidth="1"/>
    <col min="240" max="241" width="7.625" style="1" customWidth="1"/>
    <col min="242" max="242" width="9.625" style="1" customWidth="1"/>
    <col min="243" max="243" width="7.625" style="1" customWidth="1"/>
    <col min="244" max="247" width="0" style="1" hidden="1" customWidth="1"/>
    <col min="248" max="248" width="14.375" style="1" customWidth="1"/>
    <col min="249" max="254" width="0" style="1" hidden="1" customWidth="1"/>
    <col min="255" max="255" width="10.125" style="1" bestFit="1" customWidth="1"/>
    <col min="256" max="494" width="9" style="1"/>
    <col min="495" max="495" width="75.875" style="1" customWidth="1"/>
    <col min="496" max="497" width="7.625" style="1" customWidth="1"/>
    <col min="498" max="498" width="9.625" style="1" customWidth="1"/>
    <col min="499" max="499" width="7.625" style="1" customWidth="1"/>
    <col min="500" max="503" width="0" style="1" hidden="1" customWidth="1"/>
    <col min="504" max="504" width="14.375" style="1" customWidth="1"/>
    <col min="505" max="510" width="0" style="1" hidden="1" customWidth="1"/>
    <col min="511" max="511" width="10.125" style="1" bestFit="1" customWidth="1"/>
    <col min="512" max="750" width="9" style="1"/>
    <col min="751" max="751" width="75.875" style="1" customWidth="1"/>
    <col min="752" max="753" width="7.625" style="1" customWidth="1"/>
    <col min="754" max="754" width="9.625" style="1" customWidth="1"/>
    <col min="755" max="755" width="7.625" style="1" customWidth="1"/>
    <col min="756" max="759" width="0" style="1" hidden="1" customWidth="1"/>
    <col min="760" max="760" width="14.375" style="1" customWidth="1"/>
    <col min="761" max="766" width="0" style="1" hidden="1" customWidth="1"/>
    <col min="767" max="767" width="10.125" style="1" bestFit="1" customWidth="1"/>
    <col min="768" max="1006" width="9" style="1"/>
    <col min="1007" max="1007" width="75.875" style="1" customWidth="1"/>
    <col min="1008" max="1009" width="7.625" style="1" customWidth="1"/>
    <col min="1010" max="1010" width="9.625" style="1" customWidth="1"/>
    <col min="1011" max="1011" width="7.625" style="1" customWidth="1"/>
    <col min="1012" max="1015" width="0" style="1" hidden="1" customWidth="1"/>
    <col min="1016" max="1016" width="14.375" style="1" customWidth="1"/>
    <col min="1017" max="1022" width="0" style="1" hidden="1" customWidth="1"/>
    <col min="1023" max="1023" width="10.125" style="1" bestFit="1" customWidth="1"/>
    <col min="1024" max="1262" width="9" style="1"/>
    <col min="1263" max="1263" width="75.875" style="1" customWidth="1"/>
    <col min="1264" max="1265" width="7.625" style="1" customWidth="1"/>
    <col min="1266" max="1266" width="9.625" style="1" customWidth="1"/>
    <col min="1267" max="1267" width="7.625" style="1" customWidth="1"/>
    <col min="1268" max="1271" width="0" style="1" hidden="1" customWidth="1"/>
    <col min="1272" max="1272" width="14.375" style="1" customWidth="1"/>
    <col min="1273" max="1278" width="0" style="1" hidden="1" customWidth="1"/>
    <col min="1279" max="1279" width="10.125" style="1" bestFit="1" customWidth="1"/>
    <col min="1280" max="1518" width="9" style="1"/>
    <col min="1519" max="1519" width="75.875" style="1" customWidth="1"/>
    <col min="1520" max="1521" width="7.625" style="1" customWidth="1"/>
    <col min="1522" max="1522" width="9.625" style="1" customWidth="1"/>
    <col min="1523" max="1523" width="7.625" style="1" customWidth="1"/>
    <col min="1524" max="1527" width="0" style="1" hidden="1" customWidth="1"/>
    <col min="1528" max="1528" width="14.375" style="1" customWidth="1"/>
    <col min="1529" max="1534" width="0" style="1" hidden="1" customWidth="1"/>
    <col min="1535" max="1535" width="10.125" style="1" bestFit="1" customWidth="1"/>
    <col min="1536" max="1774" width="9" style="1"/>
    <col min="1775" max="1775" width="75.875" style="1" customWidth="1"/>
    <col min="1776" max="1777" width="7.625" style="1" customWidth="1"/>
    <col min="1778" max="1778" width="9.625" style="1" customWidth="1"/>
    <col min="1779" max="1779" width="7.625" style="1" customWidth="1"/>
    <col min="1780" max="1783" width="0" style="1" hidden="1" customWidth="1"/>
    <col min="1784" max="1784" width="14.375" style="1" customWidth="1"/>
    <col min="1785" max="1790" width="0" style="1" hidden="1" customWidth="1"/>
    <col min="1791" max="1791" width="10.125" style="1" bestFit="1" customWidth="1"/>
    <col min="1792" max="2030" width="9" style="1"/>
    <col min="2031" max="2031" width="75.875" style="1" customWidth="1"/>
    <col min="2032" max="2033" width="7.625" style="1" customWidth="1"/>
    <col min="2034" max="2034" width="9.625" style="1" customWidth="1"/>
    <col min="2035" max="2035" width="7.625" style="1" customWidth="1"/>
    <col min="2036" max="2039" width="0" style="1" hidden="1" customWidth="1"/>
    <col min="2040" max="2040" width="14.375" style="1" customWidth="1"/>
    <col min="2041" max="2046" width="0" style="1" hidden="1" customWidth="1"/>
    <col min="2047" max="2047" width="10.125" style="1" bestFit="1" customWidth="1"/>
    <col min="2048" max="2286" width="9" style="1"/>
    <col min="2287" max="2287" width="75.875" style="1" customWidth="1"/>
    <col min="2288" max="2289" width="7.625" style="1" customWidth="1"/>
    <col min="2290" max="2290" width="9.625" style="1" customWidth="1"/>
    <col min="2291" max="2291" width="7.625" style="1" customWidth="1"/>
    <col min="2292" max="2295" width="0" style="1" hidden="1" customWidth="1"/>
    <col min="2296" max="2296" width="14.375" style="1" customWidth="1"/>
    <col min="2297" max="2302" width="0" style="1" hidden="1" customWidth="1"/>
    <col min="2303" max="2303" width="10.125" style="1" bestFit="1" customWidth="1"/>
    <col min="2304" max="2542" width="9" style="1"/>
    <col min="2543" max="2543" width="75.875" style="1" customWidth="1"/>
    <col min="2544" max="2545" width="7.625" style="1" customWidth="1"/>
    <col min="2546" max="2546" width="9.625" style="1" customWidth="1"/>
    <col min="2547" max="2547" width="7.625" style="1" customWidth="1"/>
    <col min="2548" max="2551" width="0" style="1" hidden="1" customWidth="1"/>
    <col min="2552" max="2552" width="14.375" style="1" customWidth="1"/>
    <col min="2553" max="2558" width="0" style="1" hidden="1" customWidth="1"/>
    <col min="2559" max="2559" width="10.125" style="1" bestFit="1" customWidth="1"/>
    <col min="2560" max="2798" width="9" style="1"/>
    <col min="2799" max="2799" width="75.875" style="1" customWidth="1"/>
    <col min="2800" max="2801" width="7.625" style="1" customWidth="1"/>
    <col min="2802" max="2802" width="9.625" style="1" customWidth="1"/>
    <col min="2803" max="2803" width="7.625" style="1" customWidth="1"/>
    <col min="2804" max="2807" width="0" style="1" hidden="1" customWidth="1"/>
    <col min="2808" max="2808" width="14.375" style="1" customWidth="1"/>
    <col min="2809" max="2814" width="0" style="1" hidden="1" customWidth="1"/>
    <col min="2815" max="2815" width="10.125" style="1" bestFit="1" customWidth="1"/>
    <col min="2816" max="3054" width="9" style="1"/>
    <col min="3055" max="3055" width="75.875" style="1" customWidth="1"/>
    <col min="3056" max="3057" width="7.625" style="1" customWidth="1"/>
    <col min="3058" max="3058" width="9.625" style="1" customWidth="1"/>
    <col min="3059" max="3059" width="7.625" style="1" customWidth="1"/>
    <col min="3060" max="3063" width="0" style="1" hidden="1" customWidth="1"/>
    <col min="3064" max="3064" width="14.375" style="1" customWidth="1"/>
    <col min="3065" max="3070" width="0" style="1" hidden="1" customWidth="1"/>
    <col min="3071" max="3071" width="10.125" style="1" bestFit="1" customWidth="1"/>
    <col min="3072" max="3310" width="9" style="1"/>
    <col min="3311" max="3311" width="75.875" style="1" customWidth="1"/>
    <col min="3312" max="3313" width="7.625" style="1" customWidth="1"/>
    <col min="3314" max="3314" width="9.625" style="1" customWidth="1"/>
    <col min="3315" max="3315" width="7.625" style="1" customWidth="1"/>
    <col min="3316" max="3319" width="0" style="1" hidden="1" customWidth="1"/>
    <col min="3320" max="3320" width="14.375" style="1" customWidth="1"/>
    <col min="3321" max="3326" width="0" style="1" hidden="1" customWidth="1"/>
    <col min="3327" max="3327" width="10.125" style="1" bestFit="1" customWidth="1"/>
    <col min="3328" max="3566" width="9" style="1"/>
    <col min="3567" max="3567" width="75.875" style="1" customWidth="1"/>
    <col min="3568" max="3569" width="7.625" style="1" customWidth="1"/>
    <col min="3570" max="3570" width="9.625" style="1" customWidth="1"/>
    <col min="3571" max="3571" width="7.625" style="1" customWidth="1"/>
    <col min="3572" max="3575" width="0" style="1" hidden="1" customWidth="1"/>
    <col min="3576" max="3576" width="14.375" style="1" customWidth="1"/>
    <col min="3577" max="3582" width="0" style="1" hidden="1" customWidth="1"/>
    <col min="3583" max="3583" width="10.125" style="1" bestFit="1" customWidth="1"/>
    <col min="3584" max="3822" width="9" style="1"/>
    <col min="3823" max="3823" width="75.875" style="1" customWidth="1"/>
    <col min="3824" max="3825" width="7.625" style="1" customWidth="1"/>
    <col min="3826" max="3826" width="9.625" style="1" customWidth="1"/>
    <col min="3827" max="3827" width="7.625" style="1" customWidth="1"/>
    <col min="3828" max="3831" width="0" style="1" hidden="1" customWidth="1"/>
    <col min="3832" max="3832" width="14.375" style="1" customWidth="1"/>
    <col min="3833" max="3838" width="0" style="1" hidden="1" customWidth="1"/>
    <col min="3839" max="3839" width="10.125" style="1" bestFit="1" customWidth="1"/>
    <col min="3840" max="4078" width="9" style="1"/>
    <col min="4079" max="4079" width="75.875" style="1" customWidth="1"/>
    <col min="4080" max="4081" width="7.625" style="1" customWidth="1"/>
    <col min="4082" max="4082" width="9.625" style="1" customWidth="1"/>
    <col min="4083" max="4083" width="7.625" style="1" customWidth="1"/>
    <col min="4084" max="4087" width="0" style="1" hidden="1" customWidth="1"/>
    <col min="4088" max="4088" width="14.375" style="1" customWidth="1"/>
    <col min="4089" max="4094" width="0" style="1" hidden="1" customWidth="1"/>
    <col min="4095" max="4095" width="10.125" style="1" bestFit="1" customWidth="1"/>
    <col min="4096" max="4334" width="9" style="1"/>
    <col min="4335" max="4335" width="75.875" style="1" customWidth="1"/>
    <col min="4336" max="4337" width="7.625" style="1" customWidth="1"/>
    <col min="4338" max="4338" width="9.625" style="1" customWidth="1"/>
    <col min="4339" max="4339" width="7.625" style="1" customWidth="1"/>
    <col min="4340" max="4343" width="0" style="1" hidden="1" customWidth="1"/>
    <col min="4344" max="4344" width="14.375" style="1" customWidth="1"/>
    <col min="4345" max="4350" width="0" style="1" hidden="1" customWidth="1"/>
    <col min="4351" max="4351" width="10.125" style="1" bestFit="1" customWidth="1"/>
    <col min="4352" max="4590" width="9" style="1"/>
    <col min="4591" max="4591" width="75.875" style="1" customWidth="1"/>
    <col min="4592" max="4593" width="7.625" style="1" customWidth="1"/>
    <col min="4594" max="4594" width="9.625" style="1" customWidth="1"/>
    <col min="4595" max="4595" width="7.625" style="1" customWidth="1"/>
    <col min="4596" max="4599" width="0" style="1" hidden="1" customWidth="1"/>
    <col min="4600" max="4600" width="14.375" style="1" customWidth="1"/>
    <col min="4601" max="4606" width="0" style="1" hidden="1" customWidth="1"/>
    <col min="4607" max="4607" width="10.125" style="1" bestFit="1" customWidth="1"/>
    <col min="4608" max="4846" width="9" style="1"/>
    <col min="4847" max="4847" width="75.875" style="1" customWidth="1"/>
    <col min="4848" max="4849" width="7.625" style="1" customWidth="1"/>
    <col min="4850" max="4850" width="9.625" style="1" customWidth="1"/>
    <col min="4851" max="4851" width="7.625" style="1" customWidth="1"/>
    <col min="4852" max="4855" width="0" style="1" hidden="1" customWidth="1"/>
    <col min="4856" max="4856" width="14.375" style="1" customWidth="1"/>
    <col min="4857" max="4862" width="0" style="1" hidden="1" customWidth="1"/>
    <col min="4863" max="4863" width="10.125" style="1" bestFit="1" customWidth="1"/>
    <col min="4864" max="5102" width="9" style="1"/>
    <col min="5103" max="5103" width="75.875" style="1" customWidth="1"/>
    <col min="5104" max="5105" width="7.625" style="1" customWidth="1"/>
    <col min="5106" max="5106" width="9.625" style="1" customWidth="1"/>
    <col min="5107" max="5107" width="7.625" style="1" customWidth="1"/>
    <col min="5108" max="5111" width="0" style="1" hidden="1" customWidth="1"/>
    <col min="5112" max="5112" width="14.375" style="1" customWidth="1"/>
    <col min="5113" max="5118" width="0" style="1" hidden="1" customWidth="1"/>
    <col min="5119" max="5119" width="10.125" style="1" bestFit="1" customWidth="1"/>
    <col min="5120" max="5358" width="9" style="1"/>
    <col min="5359" max="5359" width="75.875" style="1" customWidth="1"/>
    <col min="5360" max="5361" width="7.625" style="1" customWidth="1"/>
    <col min="5362" max="5362" width="9.625" style="1" customWidth="1"/>
    <col min="5363" max="5363" width="7.625" style="1" customWidth="1"/>
    <col min="5364" max="5367" width="0" style="1" hidden="1" customWidth="1"/>
    <col min="5368" max="5368" width="14.375" style="1" customWidth="1"/>
    <col min="5369" max="5374" width="0" style="1" hidden="1" customWidth="1"/>
    <col min="5375" max="5375" width="10.125" style="1" bestFit="1" customWidth="1"/>
    <col min="5376" max="5614" width="9" style="1"/>
    <col min="5615" max="5615" width="75.875" style="1" customWidth="1"/>
    <col min="5616" max="5617" width="7.625" style="1" customWidth="1"/>
    <col min="5618" max="5618" width="9.625" style="1" customWidth="1"/>
    <col min="5619" max="5619" width="7.625" style="1" customWidth="1"/>
    <col min="5620" max="5623" width="0" style="1" hidden="1" customWidth="1"/>
    <col min="5624" max="5624" width="14.375" style="1" customWidth="1"/>
    <col min="5625" max="5630" width="0" style="1" hidden="1" customWidth="1"/>
    <col min="5631" max="5631" width="10.125" style="1" bestFit="1" customWidth="1"/>
    <col min="5632" max="5870" width="9" style="1"/>
    <col min="5871" max="5871" width="75.875" style="1" customWidth="1"/>
    <col min="5872" max="5873" width="7.625" style="1" customWidth="1"/>
    <col min="5874" max="5874" width="9.625" style="1" customWidth="1"/>
    <col min="5875" max="5875" width="7.625" style="1" customWidth="1"/>
    <col min="5876" max="5879" width="0" style="1" hidden="1" customWidth="1"/>
    <col min="5880" max="5880" width="14.375" style="1" customWidth="1"/>
    <col min="5881" max="5886" width="0" style="1" hidden="1" customWidth="1"/>
    <col min="5887" max="5887" width="10.125" style="1" bestFit="1" customWidth="1"/>
    <col min="5888" max="6126" width="9" style="1"/>
    <col min="6127" max="6127" width="75.875" style="1" customWidth="1"/>
    <col min="6128" max="6129" width="7.625" style="1" customWidth="1"/>
    <col min="6130" max="6130" width="9.625" style="1" customWidth="1"/>
    <col min="6131" max="6131" width="7.625" style="1" customWidth="1"/>
    <col min="6132" max="6135" width="0" style="1" hidden="1" customWidth="1"/>
    <col min="6136" max="6136" width="14.375" style="1" customWidth="1"/>
    <col min="6137" max="6142" width="0" style="1" hidden="1" customWidth="1"/>
    <col min="6143" max="6143" width="10.125" style="1" bestFit="1" customWidth="1"/>
    <col min="6144" max="6382" width="9" style="1"/>
    <col min="6383" max="6383" width="75.875" style="1" customWidth="1"/>
    <col min="6384" max="6385" width="7.625" style="1" customWidth="1"/>
    <col min="6386" max="6386" width="9.625" style="1" customWidth="1"/>
    <col min="6387" max="6387" width="7.625" style="1" customWidth="1"/>
    <col min="6388" max="6391" width="0" style="1" hidden="1" customWidth="1"/>
    <col min="6392" max="6392" width="14.375" style="1" customWidth="1"/>
    <col min="6393" max="6398" width="0" style="1" hidden="1" customWidth="1"/>
    <col min="6399" max="6399" width="10.125" style="1" bestFit="1" customWidth="1"/>
    <col min="6400" max="6638" width="9" style="1"/>
    <col min="6639" max="6639" width="75.875" style="1" customWidth="1"/>
    <col min="6640" max="6641" width="7.625" style="1" customWidth="1"/>
    <col min="6642" max="6642" width="9.625" style="1" customWidth="1"/>
    <col min="6643" max="6643" width="7.625" style="1" customWidth="1"/>
    <col min="6644" max="6647" width="0" style="1" hidden="1" customWidth="1"/>
    <col min="6648" max="6648" width="14.375" style="1" customWidth="1"/>
    <col min="6649" max="6654" width="0" style="1" hidden="1" customWidth="1"/>
    <col min="6655" max="6655" width="10.125" style="1" bestFit="1" customWidth="1"/>
    <col min="6656" max="6894" width="9" style="1"/>
    <col min="6895" max="6895" width="75.875" style="1" customWidth="1"/>
    <col min="6896" max="6897" width="7.625" style="1" customWidth="1"/>
    <col min="6898" max="6898" width="9.625" style="1" customWidth="1"/>
    <col min="6899" max="6899" width="7.625" style="1" customWidth="1"/>
    <col min="6900" max="6903" width="0" style="1" hidden="1" customWidth="1"/>
    <col min="6904" max="6904" width="14.375" style="1" customWidth="1"/>
    <col min="6905" max="6910" width="0" style="1" hidden="1" customWidth="1"/>
    <col min="6911" max="6911" width="10.125" style="1" bestFit="1" customWidth="1"/>
    <col min="6912" max="7150" width="9" style="1"/>
    <col min="7151" max="7151" width="75.875" style="1" customWidth="1"/>
    <col min="7152" max="7153" width="7.625" style="1" customWidth="1"/>
    <col min="7154" max="7154" width="9.625" style="1" customWidth="1"/>
    <col min="7155" max="7155" width="7.625" style="1" customWidth="1"/>
    <col min="7156" max="7159" width="0" style="1" hidden="1" customWidth="1"/>
    <col min="7160" max="7160" width="14.375" style="1" customWidth="1"/>
    <col min="7161" max="7166" width="0" style="1" hidden="1" customWidth="1"/>
    <col min="7167" max="7167" width="10.125" style="1" bestFit="1" customWidth="1"/>
    <col min="7168" max="7406" width="9" style="1"/>
    <col min="7407" max="7407" width="75.875" style="1" customWidth="1"/>
    <col min="7408" max="7409" width="7.625" style="1" customWidth="1"/>
    <col min="7410" max="7410" width="9.625" style="1" customWidth="1"/>
    <col min="7411" max="7411" width="7.625" style="1" customWidth="1"/>
    <col min="7412" max="7415" width="0" style="1" hidden="1" customWidth="1"/>
    <col min="7416" max="7416" width="14.375" style="1" customWidth="1"/>
    <col min="7417" max="7422" width="0" style="1" hidden="1" customWidth="1"/>
    <col min="7423" max="7423" width="10.125" style="1" bestFit="1" customWidth="1"/>
    <col min="7424" max="7662" width="9" style="1"/>
    <col min="7663" max="7663" width="75.875" style="1" customWidth="1"/>
    <col min="7664" max="7665" width="7.625" style="1" customWidth="1"/>
    <col min="7666" max="7666" width="9.625" style="1" customWidth="1"/>
    <col min="7667" max="7667" width="7.625" style="1" customWidth="1"/>
    <col min="7668" max="7671" width="0" style="1" hidden="1" customWidth="1"/>
    <col min="7672" max="7672" width="14.375" style="1" customWidth="1"/>
    <col min="7673" max="7678" width="0" style="1" hidden="1" customWidth="1"/>
    <col min="7679" max="7679" width="10.125" style="1" bestFit="1" customWidth="1"/>
    <col min="7680" max="7918" width="9" style="1"/>
    <col min="7919" max="7919" width="75.875" style="1" customWidth="1"/>
    <col min="7920" max="7921" width="7.625" style="1" customWidth="1"/>
    <col min="7922" max="7922" width="9.625" style="1" customWidth="1"/>
    <col min="7923" max="7923" width="7.625" style="1" customWidth="1"/>
    <col min="7924" max="7927" width="0" style="1" hidden="1" customWidth="1"/>
    <col min="7928" max="7928" width="14.375" style="1" customWidth="1"/>
    <col min="7929" max="7934" width="0" style="1" hidden="1" customWidth="1"/>
    <col min="7935" max="7935" width="10.125" style="1" bestFit="1" customWidth="1"/>
    <col min="7936" max="8174" width="9" style="1"/>
    <col min="8175" max="8175" width="75.875" style="1" customWidth="1"/>
    <col min="8176" max="8177" width="7.625" style="1" customWidth="1"/>
    <col min="8178" max="8178" width="9.625" style="1" customWidth="1"/>
    <col min="8179" max="8179" width="7.625" style="1" customWidth="1"/>
    <col min="8180" max="8183" width="0" style="1" hidden="1" customWidth="1"/>
    <col min="8184" max="8184" width="14.375" style="1" customWidth="1"/>
    <col min="8185" max="8190" width="0" style="1" hidden="1" customWidth="1"/>
    <col min="8191" max="8191" width="10.125" style="1" bestFit="1" customWidth="1"/>
    <col min="8192" max="8430" width="9" style="1"/>
    <col min="8431" max="8431" width="75.875" style="1" customWidth="1"/>
    <col min="8432" max="8433" width="7.625" style="1" customWidth="1"/>
    <col min="8434" max="8434" width="9.625" style="1" customWidth="1"/>
    <col min="8435" max="8435" width="7.625" style="1" customWidth="1"/>
    <col min="8436" max="8439" width="0" style="1" hidden="1" customWidth="1"/>
    <col min="8440" max="8440" width="14.375" style="1" customWidth="1"/>
    <col min="8441" max="8446" width="0" style="1" hidden="1" customWidth="1"/>
    <col min="8447" max="8447" width="10.125" style="1" bestFit="1" customWidth="1"/>
    <col min="8448" max="8686" width="9" style="1"/>
    <col min="8687" max="8687" width="75.875" style="1" customWidth="1"/>
    <col min="8688" max="8689" width="7.625" style="1" customWidth="1"/>
    <col min="8690" max="8690" width="9.625" style="1" customWidth="1"/>
    <col min="8691" max="8691" width="7.625" style="1" customWidth="1"/>
    <col min="8692" max="8695" width="0" style="1" hidden="1" customWidth="1"/>
    <col min="8696" max="8696" width="14.375" style="1" customWidth="1"/>
    <col min="8697" max="8702" width="0" style="1" hidden="1" customWidth="1"/>
    <col min="8703" max="8703" width="10.125" style="1" bestFit="1" customWidth="1"/>
    <col min="8704" max="8942" width="9" style="1"/>
    <col min="8943" max="8943" width="75.875" style="1" customWidth="1"/>
    <col min="8944" max="8945" width="7.625" style="1" customWidth="1"/>
    <col min="8946" max="8946" width="9.625" style="1" customWidth="1"/>
    <col min="8947" max="8947" width="7.625" style="1" customWidth="1"/>
    <col min="8948" max="8951" width="0" style="1" hidden="1" customWidth="1"/>
    <col min="8952" max="8952" width="14.375" style="1" customWidth="1"/>
    <col min="8953" max="8958" width="0" style="1" hidden="1" customWidth="1"/>
    <col min="8959" max="8959" width="10.125" style="1" bestFit="1" customWidth="1"/>
    <col min="8960" max="9198" width="9" style="1"/>
    <col min="9199" max="9199" width="75.875" style="1" customWidth="1"/>
    <col min="9200" max="9201" width="7.625" style="1" customWidth="1"/>
    <col min="9202" max="9202" width="9.625" style="1" customWidth="1"/>
    <col min="9203" max="9203" width="7.625" style="1" customWidth="1"/>
    <col min="9204" max="9207" width="0" style="1" hidden="1" customWidth="1"/>
    <col min="9208" max="9208" width="14.375" style="1" customWidth="1"/>
    <col min="9209" max="9214" width="0" style="1" hidden="1" customWidth="1"/>
    <col min="9215" max="9215" width="10.125" style="1" bestFit="1" customWidth="1"/>
    <col min="9216" max="9454" width="9" style="1"/>
    <col min="9455" max="9455" width="75.875" style="1" customWidth="1"/>
    <col min="9456" max="9457" width="7.625" style="1" customWidth="1"/>
    <col min="9458" max="9458" width="9.625" style="1" customWidth="1"/>
    <col min="9459" max="9459" width="7.625" style="1" customWidth="1"/>
    <col min="9460" max="9463" width="0" style="1" hidden="1" customWidth="1"/>
    <col min="9464" max="9464" width="14.375" style="1" customWidth="1"/>
    <col min="9465" max="9470" width="0" style="1" hidden="1" customWidth="1"/>
    <col min="9471" max="9471" width="10.125" style="1" bestFit="1" customWidth="1"/>
    <col min="9472" max="9710" width="9" style="1"/>
    <col min="9711" max="9711" width="75.875" style="1" customWidth="1"/>
    <col min="9712" max="9713" width="7.625" style="1" customWidth="1"/>
    <col min="9714" max="9714" width="9.625" style="1" customWidth="1"/>
    <col min="9715" max="9715" width="7.625" style="1" customWidth="1"/>
    <col min="9716" max="9719" width="0" style="1" hidden="1" customWidth="1"/>
    <col min="9720" max="9720" width="14.375" style="1" customWidth="1"/>
    <col min="9721" max="9726" width="0" style="1" hidden="1" customWidth="1"/>
    <col min="9727" max="9727" width="10.125" style="1" bestFit="1" customWidth="1"/>
    <col min="9728" max="9966" width="9" style="1"/>
    <col min="9967" max="9967" width="75.875" style="1" customWidth="1"/>
    <col min="9968" max="9969" width="7.625" style="1" customWidth="1"/>
    <col min="9970" max="9970" width="9.625" style="1" customWidth="1"/>
    <col min="9971" max="9971" width="7.625" style="1" customWidth="1"/>
    <col min="9972" max="9975" width="0" style="1" hidden="1" customWidth="1"/>
    <col min="9976" max="9976" width="14.375" style="1" customWidth="1"/>
    <col min="9977" max="9982" width="0" style="1" hidden="1" customWidth="1"/>
    <col min="9983" max="9983" width="10.125" style="1" bestFit="1" customWidth="1"/>
    <col min="9984" max="10222" width="9" style="1"/>
    <col min="10223" max="10223" width="75.875" style="1" customWidth="1"/>
    <col min="10224" max="10225" width="7.625" style="1" customWidth="1"/>
    <col min="10226" max="10226" width="9.625" style="1" customWidth="1"/>
    <col min="10227" max="10227" width="7.625" style="1" customWidth="1"/>
    <col min="10228" max="10231" width="0" style="1" hidden="1" customWidth="1"/>
    <col min="10232" max="10232" width="14.375" style="1" customWidth="1"/>
    <col min="10233" max="10238" width="0" style="1" hidden="1" customWidth="1"/>
    <col min="10239" max="10239" width="10.125" style="1" bestFit="1" customWidth="1"/>
    <col min="10240" max="10478" width="9" style="1"/>
    <col min="10479" max="10479" width="75.875" style="1" customWidth="1"/>
    <col min="10480" max="10481" width="7.625" style="1" customWidth="1"/>
    <col min="10482" max="10482" width="9.625" style="1" customWidth="1"/>
    <col min="10483" max="10483" width="7.625" style="1" customWidth="1"/>
    <col min="10484" max="10487" width="0" style="1" hidden="1" customWidth="1"/>
    <col min="10488" max="10488" width="14.375" style="1" customWidth="1"/>
    <col min="10489" max="10494" width="0" style="1" hidden="1" customWidth="1"/>
    <col min="10495" max="10495" width="10.125" style="1" bestFit="1" customWidth="1"/>
    <col min="10496" max="10734" width="9" style="1"/>
    <col min="10735" max="10735" width="75.875" style="1" customWidth="1"/>
    <col min="10736" max="10737" width="7.625" style="1" customWidth="1"/>
    <col min="10738" max="10738" width="9.625" style="1" customWidth="1"/>
    <col min="10739" max="10739" width="7.625" style="1" customWidth="1"/>
    <col min="10740" max="10743" width="0" style="1" hidden="1" customWidth="1"/>
    <col min="10744" max="10744" width="14.375" style="1" customWidth="1"/>
    <col min="10745" max="10750" width="0" style="1" hidden="1" customWidth="1"/>
    <col min="10751" max="10751" width="10.125" style="1" bestFit="1" customWidth="1"/>
    <col min="10752" max="10990" width="9" style="1"/>
    <col min="10991" max="10991" width="75.875" style="1" customWidth="1"/>
    <col min="10992" max="10993" width="7.625" style="1" customWidth="1"/>
    <col min="10994" max="10994" width="9.625" style="1" customWidth="1"/>
    <col min="10995" max="10995" width="7.625" style="1" customWidth="1"/>
    <col min="10996" max="10999" width="0" style="1" hidden="1" customWidth="1"/>
    <col min="11000" max="11000" width="14.375" style="1" customWidth="1"/>
    <col min="11001" max="11006" width="0" style="1" hidden="1" customWidth="1"/>
    <col min="11007" max="11007" width="10.125" style="1" bestFit="1" customWidth="1"/>
    <col min="11008" max="11246" width="9" style="1"/>
    <col min="11247" max="11247" width="75.875" style="1" customWidth="1"/>
    <col min="11248" max="11249" width="7.625" style="1" customWidth="1"/>
    <col min="11250" max="11250" width="9.625" style="1" customWidth="1"/>
    <col min="11251" max="11251" width="7.625" style="1" customWidth="1"/>
    <col min="11252" max="11255" width="0" style="1" hidden="1" customWidth="1"/>
    <col min="11256" max="11256" width="14.375" style="1" customWidth="1"/>
    <col min="11257" max="11262" width="0" style="1" hidden="1" customWidth="1"/>
    <col min="11263" max="11263" width="10.125" style="1" bestFit="1" customWidth="1"/>
    <col min="11264" max="11502" width="9" style="1"/>
    <col min="11503" max="11503" width="75.875" style="1" customWidth="1"/>
    <col min="11504" max="11505" width="7.625" style="1" customWidth="1"/>
    <col min="11506" max="11506" width="9.625" style="1" customWidth="1"/>
    <col min="11507" max="11507" width="7.625" style="1" customWidth="1"/>
    <col min="11508" max="11511" width="0" style="1" hidden="1" customWidth="1"/>
    <col min="11512" max="11512" width="14.375" style="1" customWidth="1"/>
    <col min="11513" max="11518" width="0" style="1" hidden="1" customWidth="1"/>
    <col min="11519" max="11519" width="10.125" style="1" bestFit="1" customWidth="1"/>
    <col min="11520" max="11758" width="9" style="1"/>
    <col min="11759" max="11759" width="75.875" style="1" customWidth="1"/>
    <col min="11760" max="11761" width="7.625" style="1" customWidth="1"/>
    <col min="11762" max="11762" width="9.625" style="1" customWidth="1"/>
    <col min="11763" max="11763" width="7.625" style="1" customWidth="1"/>
    <col min="11764" max="11767" width="0" style="1" hidden="1" customWidth="1"/>
    <col min="11768" max="11768" width="14.375" style="1" customWidth="1"/>
    <col min="11769" max="11774" width="0" style="1" hidden="1" customWidth="1"/>
    <col min="11775" max="11775" width="10.125" style="1" bestFit="1" customWidth="1"/>
    <col min="11776" max="12014" width="9" style="1"/>
    <col min="12015" max="12015" width="75.875" style="1" customWidth="1"/>
    <col min="12016" max="12017" width="7.625" style="1" customWidth="1"/>
    <col min="12018" max="12018" width="9.625" style="1" customWidth="1"/>
    <col min="12019" max="12019" width="7.625" style="1" customWidth="1"/>
    <col min="12020" max="12023" width="0" style="1" hidden="1" customWidth="1"/>
    <col min="12024" max="12024" width="14.375" style="1" customWidth="1"/>
    <col min="12025" max="12030" width="0" style="1" hidden="1" customWidth="1"/>
    <col min="12031" max="12031" width="10.125" style="1" bestFit="1" customWidth="1"/>
    <col min="12032" max="12270" width="9" style="1"/>
    <col min="12271" max="12271" width="75.875" style="1" customWidth="1"/>
    <col min="12272" max="12273" width="7.625" style="1" customWidth="1"/>
    <col min="12274" max="12274" width="9.625" style="1" customWidth="1"/>
    <col min="12275" max="12275" width="7.625" style="1" customWidth="1"/>
    <col min="12276" max="12279" width="0" style="1" hidden="1" customWidth="1"/>
    <col min="12280" max="12280" width="14.375" style="1" customWidth="1"/>
    <col min="12281" max="12286" width="0" style="1" hidden="1" customWidth="1"/>
    <col min="12287" max="12287" width="10.125" style="1" bestFit="1" customWidth="1"/>
    <col min="12288" max="12526" width="9" style="1"/>
    <col min="12527" max="12527" width="75.875" style="1" customWidth="1"/>
    <col min="12528" max="12529" width="7.625" style="1" customWidth="1"/>
    <col min="12530" max="12530" width="9.625" style="1" customWidth="1"/>
    <col min="12531" max="12531" width="7.625" style="1" customWidth="1"/>
    <col min="12532" max="12535" width="0" style="1" hidden="1" customWidth="1"/>
    <col min="12536" max="12536" width="14.375" style="1" customWidth="1"/>
    <col min="12537" max="12542" width="0" style="1" hidden="1" customWidth="1"/>
    <col min="12543" max="12543" width="10.125" style="1" bestFit="1" customWidth="1"/>
    <col min="12544" max="12782" width="9" style="1"/>
    <col min="12783" max="12783" width="75.875" style="1" customWidth="1"/>
    <col min="12784" max="12785" width="7.625" style="1" customWidth="1"/>
    <col min="12786" max="12786" width="9.625" style="1" customWidth="1"/>
    <col min="12787" max="12787" width="7.625" style="1" customWidth="1"/>
    <col min="12788" max="12791" width="0" style="1" hidden="1" customWidth="1"/>
    <col min="12792" max="12792" width="14.375" style="1" customWidth="1"/>
    <col min="12793" max="12798" width="0" style="1" hidden="1" customWidth="1"/>
    <col min="12799" max="12799" width="10.125" style="1" bestFit="1" customWidth="1"/>
    <col min="12800" max="13038" width="9" style="1"/>
    <col min="13039" max="13039" width="75.875" style="1" customWidth="1"/>
    <col min="13040" max="13041" width="7.625" style="1" customWidth="1"/>
    <col min="13042" max="13042" width="9.625" style="1" customWidth="1"/>
    <col min="13043" max="13043" width="7.625" style="1" customWidth="1"/>
    <col min="13044" max="13047" width="0" style="1" hidden="1" customWidth="1"/>
    <col min="13048" max="13048" width="14.375" style="1" customWidth="1"/>
    <col min="13049" max="13054" width="0" style="1" hidden="1" customWidth="1"/>
    <col min="13055" max="13055" width="10.125" style="1" bestFit="1" customWidth="1"/>
    <col min="13056" max="13294" width="9" style="1"/>
    <col min="13295" max="13295" width="75.875" style="1" customWidth="1"/>
    <col min="13296" max="13297" width="7.625" style="1" customWidth="1"/>
    <col min="13298" max="13298" width="9.625" style="1" customWidth="1"/>
    <col min="13299" max="13299" width="7.625" style="1" customWidth="1"/>
    <col min="13300" max="13303" width="0" style="1" hidden="1" customWidth="1"/>
    <col min="13304" max="13304" width="14.375" style="1" customWidth="1"/>
    <col min="13305" max="13310" width="0" style="1" hidden="1" customWidth="1"/>
    <col min="13311" max="13311" width="10.125" style="1" bestFit="1" customWidth="1"/>
    <col min="13312" max="13550" width="9" style="1"/>
    <col min="13551" max="13551" width="75.875" style="1" customWidth="1"/>
    <col min="13552" max="13553" width="7.625" style="1" customWidth="1"/>
    <col min="13554" max="13554" width="9.625" style="1" customWidth="1"/>
    <col min="13555" max="13555" width="7.625" style="1" customWidth="1"/>
    <col min="13556" max="13559" width="0" style="1" hidden="1" customWidth="1"/>
    <col min="13560" max="13560" width="14.375" style="1" customWidth="1"/>
    <col min="13561" max="13566" width="0" style="1" hidden="1" customWidth="1"/>
    <col min="13567" max="13567" width="10.125" style="1" bestFit="1" customWidth="1"/>
    <col min="13568" max="13806" width="9" style="1"/>
    <col min="13807" max="13807" width="75.875" style="1" customWidth="1"/>
    <col min="13808" max="13809" width="7.625" style="1" customWidth="1"/>
    <col min="13810" max="13810" width="9.625" style="1" customWidth="1"/>
    <col min="13811" max="13811" width="7.625" style="1" customWidth="1"/>
    <col min="13812" max="13815" width="0" style="1" hidden="1" customWidth="1"/>
    <col min="13816" max="13816" width="14.375" style="1" customWidth="1"/>
    <col min="13817" max="13822" width="0" style="1" hidden="1" customWidth="1"/>
    <col min="13823" max="13823" width="10.125" style="1" bestFit="1" customWidth="1"/>
    <col min="13824" max="14062" width="9" style="1"/>
    <col min="14063" max="14063" width="75.875" style="1" customWidth="1"/>
    <col min="14064" max="14065" width="7.625" style="1" customWidth="1"/>
    <col min="14066" max="14066" width="9.625" style="1" customWidth="1"/>
    <col min="14067" max="14067" width="7.625" style="1" customWidth="1"/>
    <col min="14068" max="14071" width="0" style="1" hidden="1" customWidth="1"/>
    <col min="14072" max="14072" width="14.375" style="1" customWidth="1"/>
    <col min="14073" max="14078" width="0" style="1" hidden="1" customWidth="1"/>
    <col min="14079" max="14079" width="10.125" style="1" bestFit="1" customWidth="1"/>
    <col min="14080" max="14318" width="9" style="1"/>
    <col min="14319" max="14319" width="75.875" style="1" customWidth="1"/>
    <col min="14320" max="14321" width="7.625" style="1" customWidth="1"/>
    <col min="14322" max="14322" width="9.625" style="1" customWidth="1"/>
    <col min="14323" max="14323" width="7.625" style="1" customWidth="1"/>
    <col min="14324" max="14327" width="0" style="1" hidden="1" customWidth="1"/>
    <col min="14328" max="14328" width="14.375" style="1" customWidth="1"/>
    <col min="14329" max="14334" width="0" style="1" hidden="1" customWidth="1"/>
    <col min="14335" max="14335" width="10.125" style="1" bestFit="1" customWidth="1"/>
    <col min="14336" max="14574" width="9" style="1"/>
    <col min="14575" max="14575" width="75.875" style="1" customWidth="1"/>
    <col min="14576" max="14577" width="7.625" style="1" customWidth="1"/>
    <col min="14578" max="14578" width="9.625" style="1" customWidth="1"/>
    <col min="14579" max="14579" width="7.625" style="1" customWidth="1"/>
    <col min="14580" max="14583" width="0" style="1" hidden="1" customWidth="1"/>
    <col min="14584" max="14584" width="14.375" style="1" customWidth="1"/>
    <col min="14585" max="14590" width="0" style="1" hidden="1" customWidth="1"/>
    <col min="14591" max="14591" width="10.125" style="1" bestFit="1" customWidth="1"/>
    <col min="14592" max="14830" width="9" style="1"/>
    <col min="14831" max="14831" width="75.875" style="1" customWidth="1"/>
    <col min="14832" max="14833" width="7.625" style="1" customWidth="1"/>
    <col min="14834" max="14834" width="9.625" style="1" customWidth="1"/>
    <col min="14835" max="14835" width="7.625" style="1" customWidth="1"/>
    <col min="14836" max="14839" width="0" style="1" hidden="1" customWidth="1"/>
    <col min="14840" max="14840" width="14.375" style="1" customWidth="1"/>
    <col min="14841" max="14846" width="0" style="1" hidden="1" customWidth="1"/>
    <col min="14847" max="14847" width="10.125" style="1" bestFit="1" customWidth="1"/>
    <col min="14848" max="15086" width="9" style="1"/>
    <col min="15087" max="15087" width="75.875" style="1" customWidth="1"/>
    <col min="15088" max="15089" width="7.625" style="1" customWidth="1"/>
    <col min="15090" max="15090" width="9.625" style="1" customWidth="1"/>
    <col min="15091" max="15091" width="7.625" style="1" customWidth="1"/>
    <col min="15092" max="15095" width="0" style="1" hidden="1" customWidth="1"/>
    <col min="15096" max="15096" width="14.375" style="1" customWidth="1"/>
    <col min="15097" max="15102" width="0" style="1" hidden="1" customWidth="1"/>
    <col min="15103" max="15103" width="10.125" style="1" bestFit="1" customWidth="1"/>
    <col min="15104" max="15342" width="9" style="1"/>
    <col min="15343" max="15343" width="75.875" style="1" customWidth="1"/>
    <col min="15344" max="15345" width="7.625" style="1" customWidth="1"/>
    <col min="15346" max="15346" width="9.625" style="1" customWidth="1"/>
    <col min="15347" max="15347" width="7.625" style="1" customWidth="1"/>
    <col min="15348" max="15351" width="0" style="1" hidden="1" customWidth="1"/>
    <col min="15352" max="15352" width="14.375" style="1" customWidth="1"/>
    <col min="15353" max="15358" width="0" style="1" hidden="1" customWidth="1"/>
    <col min="15359" max="15359" width="10.125" style="1" bestFit="1" customWidth="1"/>
    <col min="15360" max="15598" width="9" style="1"/>
    <col min="15599" max="15599" width="75.875" style="1" customWidth="1"/>
    <col min="15600" max="15601" width="7.625" style="1" customWidth="1"/>
    <col min="15602" max="15602" width="9.625" style="1" customWidth="1"/>
    <col min="15603" max="15603" width="7.625" style="1" customWidth="1"/>
    <col min="15604" max="15607" width="0" style="1" hidden="1" customWidth="1"/>
    <col min="15608" max="15608" width="14.375" style="1" customWidth="1"/>
    <col min="15609" max="15614" width="0" style="1" hidden="1" customWidth="1"/>
    <col min="15615" max="15615" width="10.125" style="1" bestFit="1" customWidth="1"/>
    <col min="15616" max="15854" width="9" style="1"/>
    <col min="15855" max="15855" width="75.875" style="1" customWidth="1"/>
    <col min="15856" max="15857" width="7.625" style="1" customWidth="1"/>
    <col min="15858" max="15858" width="9.625" style="1" customWidth="1"/>
    <col min="15859" max="15859" width="7.625" style="1" customWidth="1"/>
    <col min="15860" max="15863" width="0" style="1" hidden="1" customWidth="1"/>
    <col min="15864" max="15864" width="14.375" style="1" customWidth="1"/>
    <col min="15865" max="15870" width="0" style="1" hidden="1" customWidth="1"/>
    <col min="15871" max="15871" width="10.125" style="1" bestFit="1" customWidth="1"/>
    <col min="15872" max="16110" width="9" style="1"/>
    <col min="16111" max="16111" width="75.875" style="1" customWidth="1"/>
    <col min="16112" max="16113" width="7.625" style="1" customWidth="1"/>
    <col min="16114" max="16114" width="9.625" style="1" customWidth="1"/>
    <col min="16115" max="16115" width="7.625" style="1" customWidth="1"/>
    <col min="16116" max="16119" width="0" style="1" hidden="1" customWidth="1"/>
    <col min="16120" max="16120" width="14.375" style="1" customWidth="1"/>
    <col min="16121" max="16126" width="0" style="1" hidden="1" customWidth="1"/>
    <col min="16127" max="16127" width="10.125" style="1" bestFit="1" customWidth="1"/>
    <col min="16128" max="16384" width="9" style="1"/>
  </cols>
  <sheetData>
    <row r="1" spans="1:8" x14ac:dyDescent="0.3">
      <c r="G1" s="631" t="s">
        <v>1093</v>
      </c>
    </row>
    <row r="2" spans="1:8" x14ac:dyDescent="0.3">
      <c r="G2" s="634" t="s">
        <v>800</v>
      </c>
    </row>
    <row r="3" spans="1:8" x14ac:dyDescent="0.3">
      <c r="G3" s="634" t="s">
        <v>591</v>
      </c>
    </row>
    <row r="4" spans="1:8" x14ac:dyDescent="0.3">
      <c r="G4" s="631" t="s">
        <v>887</v>
      </c>
    </row>
    <row r="5" spans="1:8" x14ac:dyDescent="0.3">
      <c r="A5" s="645" t="s">
        <v>236</v>
      </c>
      <c r="B5" s="645"/>
      <c r="C5" s="645"/>
      <c r="D5" s="645"/>
      <c r="E5" s="645"/>
      <c r="F5" s="645"/>
    </row>
    <row r="6" spans="1:8" x14ac:dyDescent="0.3">
      <c r="A6" s="651" t="s">
        <v>1197</v>
      </c>
      <c r="B6" s="651"/>
      <c r="C6" s="651"/>
      <c r="D6" s="651"/>
      <c r="E6" s="651"/>
      <c r="F6" s="651"/>
    </row>
    <row r="7" spans="1:8" x14ac:dyDescent="0.3">
      <c r="A7" s="651" t="s">
        <v>779</v>
      </c>
      <c r="B7" s="651"/>
      <c r="C7" s="651"/>
      <c r="D7" s="651"/>
      <c r="E7" s="651"/>
      <c r="F7" s="651"/>
    </row>
    <row r="8" spans="1:8" x14ac:dyDescent="0.3">
      <c r="A8" s="633"/>
      <c r="B8" s="632"/>
      <c r="C8" s="632"/>
      <c r="D8" s="632"/>
      <c r="E8" s="632"/>
      <c r="G8" s="349" t="s">
        <v>382</v>
      </c>
    </row>
    <row r="9" spans="1:8" ht="36.700000000000003" x14ac:dyDescent="0.25">
      <c r="A9" s="21" t="s">
        <v>0</v>
      </c>
      <c r="B9" s="21" t="s">
        <v>1</v>
      </c>
      <c r="C9" s="21" t="s">
        <v>2</v>
      </c>
      <c r="D9" s="21" t="s">
        <v>3</v>
      </c>
      <c r="E9" s="21" t="s">
        <v>4</v>
      </c>
      <c r="F9" s="29" t="s">
        <v>1196</v>
      </c>
      <c r="G9" s="29" t="s">
        <v>1099</v>
      </c>
    </row>
    <row r="10" spans="1:8" s="2" customFormat="1" ht="55.05" hidden="1" x14ac:dyDescent="0.25">
      <c r="A10" s="57" t="s">
        <v>448</v>
      </c>
      <c r="B10" s="385" t="s">
        <v>454</v>
      </c>
      <c r="C10" s="385" t="s">
        <v>5</v>
      </c>
      <c r="D10" s="385" t="s">
        <v>126</v>
      </c>
      <c r="E10" s="399" t="s">
        <v>6</v>
      </c>
      <c r="F10" s="400">
        <f>F11</f>
        <v>9094533</v>
      </c>
      <c r="G10" s="400">
        <f>G11</f>
        <v>9270313</v>
      </c>
      <c r="H10" s="143"/>
    </row>
    <row r="11" spans="1:8" hidden="1" outlineLevel="1" x14ac:dyDescent="0.25">
      <c r="A11" s="423" t="s">
        <v>7</v>
      </c>
      <c r="B11" s="425" t="s">
        <v>454</v>
      </c>
      <c r="C11" s="425" t="s">
        <v>8</v>
      </c>
      <c r="D11" s="425" t="s">
        <v>126</v>
      </c>
      <c r="E11" s="401" t="s">
        <v>6</v>
      </c>
      <c r="F11" s="402">
        <f>F12+F21</f>
        <v>9094533</v>
      </c>
      <c r="G11" s="402">
        <f>G12+G21</f>
        <v>9270313</v>
      </c>
    </row>
    <row r="12" spans="1:8" ht="39.25" hidden="1" customHeight="1" outlineLevel="2" x14ac:dyDescent="0.25">
      <c r="A12" s="423" t="s">
        <v>9</v>
      </c>
      <c r="B12" s="425" t="s">
        <v>454</v>
      </c>
      <c r="C12" s="425" t="s">
        <v>10</v>
      </c>
      <c r="D12" s="425" t="s">
        <v>126</v>
      </c>
      <c r="E12" s="401" t="s">
        <v>6</v>
      </c>
      <c r="F12" s="402">
        <f>F13</f>
        <v>8398556</v>
      </c>
      <c r="G12" s="402">
        <f>G13</f>
        <v>8546450</v>
      </c>
    </row>
    <row r="13" spans="1:8" ht="36.700000000000003" hidden="1" outlineLevel="4" x14ac:dyDescent="0.25">
      <c r="A13" s="423" t="s">
        <v>132</v>
      </c>
      <c r="B13" s="425" t="s">
        <v>454</v>
      </c>
      <c r="C13" s="425" t="s">
        <v>10</v>
      </c>
      <c r="D13" s="425" t="s">
        <v>127</v>
      </c>
      <c r="E13" s="401" t="s">
        <v>6</v>
      </c>
      <c r="F13" s="402">
        <f>F14</f>
        <v>8398556</v>
      </c>
      <c r="G13" s="402">
        <f>G14</f>
        <v>8546450</v>
      </c>
    </row>
    <row r="14" spans="1:8" ht="55.05" hidden="1" outlineLevel="5" x14ac:dyDescent="0.25">
      <c r="A14" s="423" t="s">
        <v>449</v>
      </c>
      <c r="B14" s="425" t="s">
        <v>454</v>
      </c>
      <c r="C14" s="425" t="s">
        <v>10</v>
      </c>
      <c r="D14" s="425" t="s">
        <v>450</v>
      </c>
      <c r="E14" s="401" t="s">
        <v>6</v>
      </c>
      <c r="F14" s="402">
        <f>F15+F17+F19</f>
        <v>8398556</v>
      </c>
      <c r="G14" s="402">
        <f>G15+G17+G19</f>
        <v>8546450</v>
      </c>
    </row>
    <row r="15" spans="1:8" ht="76.75" hidden="1" customHeight="1" outlineLevel="6" x14ac:dyDescent="0.25">
      <c r="A15" s="423" t="s">
        <v>11</v>
      </c>
      <c r="B15" s="425" t="s">
        <v>454</v>
      </c>
      <c r="C15" s="425" t="s">
        <v>10</v>
      </c>
      <c r="D15" s="425" t="s">
        <v>450</v>
      </c>
      <c r="E15" s="401" t="s">
        <v>12</v>
      </c>
      <c r="F15" s="402">
        <f>F16</f>
        <v>8122164</v>
      </c>
      <c r="G15" s="402">
        <f>G16</f>
        <v>8259043</v>
      </c>
    </row>
    <row r="16" spans="1:8" ht="36.700000000000003" hidden="1" outlineLevel="7" x14ac:dyDescent="0.25">
      <c r="A16" s="423" t="s">
        <v>13</v>
      </c>
      <c r="B16" s="425" t="s">
        <v>454</v>
      </c>
      <c r="C16" s="425" t="s">
        <v>10</v>
      </c>
      <c r="D16" s="425" t="s">
        <v>450</v>
      </c>
      <c r="E16" s="401" t="s">
        <v>14</v>
      </c>
      <c r="F16" s="345">
        <f>8422164-300000</f>
        <v>8122164</v>
      </c>
      <c r="G16" s="345">
        <f>8759043-500000</f>
        <v>8259043</v>
      </c>
    </row>
    <row r="17" spans="1:8" ht="36.700000000000003" hidden="1" outlineLevel="6" x14ac:dyDescent="0.25">
      <c r="A17" s="423" t="s">
        <v>15</v>
      </c>
      <c r="B17" s="425" t="s">
        <v>454</v>
      </c>
      <c r="C17" s="425" t="s">
        <v>10</v>
      </c>
      <c r="D17" s="425" t="s">
        <v>450</v>
      </c>
      <c r="E17" s="401" t="s">
        <v>16</v>
      </c>
      <c r="F17" s="402">
        <f>F18</f>
        <v>275392</v>
      </c>
      <c r="G17" s="402">
        <f>G18</f>
        <v>286407</v>
      </c>
    </row>
    <row r="18" spans="1:8" ht="18.7" hidden="1" customHeight="1" outlineLevel="7" x14ac:dyDescent="0.25">
      <c r="A18" s="423" t="s">
        <v>17</v>
      </c>
      <c r="B18" s="425" t="s">
        <v>454</v>
      </c>
      <c r="C18" s="425" t="s">
        <v>10</v>
      </c>
      <c r="D18" s="425" t="s">
        <v>450</v>
      </c>
      <c r="E18" s="401" t="s">
        <v>18</v>
      </c>
      <c r="F18" s="345">
        <v>275392</v>
      </c>
      <c r="G18" s="345">
        <v>286407</v>
      </c>
    </row>
    <row r="19" spans="1:8" hidden="1" outlineLevel="6" x14ac:dyDescent="0.25">
      <c r="A19" s="423" t="s">
        <v>19</v>
      </c>
      <c r="B19" s="425" t="s">
        <v>454</v>
      </c>
      <c r="C19" s="425" t="s">
        <v>10</v>
      </c>
      <c r="D19" s="425" t="s">
        <v>450</v>
      </c>
      <c r="E19" s="401" t="s">
        <v>20</v>
      </c>
      <c r="F19" s="402">
        <f>F20</f>
        <v>1000</v>
      </c>
      <c r="G19" s="402">
        <f>G20</f>
        <v>1000</v>
      </c>
    </row>
    <row r="20" spans="1:8" hidden="1" outlineLevel="7" x14ac:dyDescent="0.25">
      <c r="A20" s="423" t="s">
        <v>21</v>
      </c>
      <c r="B20" s="425" t="s">
        <v>454</v>
      </c>
      <c r="C20" s="425" t="s">
        <v>10</v>
      </c>
      <c r="D20" s="425" t="s">
        <v>450</v>
      </c>
      <c r="E20" s="401" t="s">
        <v>22</v>
      </c>
      <c r="F20" s="345">
        <v>1000</v>
      </c>
      <c r="G20" s="345">
        <v>1000</v>
      </c>
    </row>
    <row r="21" spans="1:8" hidden="1" outlineLevel="2" x14ac:dyDescent="0.25">
      <c r="A21" s="423" t="s">
        <v>23</v>
      </c>
      <c r="B21" s="425" t="s">
        <v>454</v>
      </c>
      <c r="C21" s="425" t="s">
        <v>24</v>
      </c>
      <c r="D21" s="425" t="s">
        <v>126</v>
      </c>
      <c r="E21" s="401" t="s">
        <v>6</v>
      </c>
      <c r="F21" s="402">
        <f>F22+F27</f>
        <v>695977</v>
      </c>
      <c r="G21" s="402">
        <f>G22+G27</f>
        <v>723863</v>
      </c>
    </row>
    <row r="22" spans="1:8" s="76" customFormat="1" ht="57.75" hidden="1" customHeight="1" outlineLevel="3" x14ac:dyDescent="0.25">
      <c r="A22" s="45" t="s">
        <v>1149</v>
      </c>
      <c r="B22" s="387" t="s">
        <v>454</v>
      </c>
      <c r="C22" s="387" t="s">
        <v>24</v>
      </c>
      <c r="D22" s="387" t="s">
        <v>128</v>
      </c>
      <c r="E22" s="403" t="s">
        <v>6</v>
      </c>
      <c r="F22" s="347">
        <f t="shared" ref="F22:G25" si="0">F23</f>
        <v>63000</v>
      </c>
      <c r="G22" s="347">
        <f t="shared" si="0"/>
        <v>65520</v>
      </c>
      <c r="H22" s="75"/>
    </row>
    <row r="23" spans="1:8" ht="61.5" hidden="1" customHeight="1" outlineLevel="4" x14ac:dyDescent="0.25">
      <c r="A23" s="423" t="s">
        <v>748</v>
      </c>
      <c r="B23" s="425" t="s">
        <v>454</v>
      </c>
      <c r="C23" s="425" t="s">
        <v>24</v>
      </c>
      <c r="D23" s="425" t="s">
        <v>303</v>
      </c>
      <c r="E23" s="401" t="s">
        <v>6</v>
      </c>
      <c r="F23" s="402">
        <f t="shared" si="0"/>
        <v>63000</v>
      </c>
      <c r="G23" s="402">
        <f t="shared" si="0"/>
        <v>65520</v>
      </c>
    </row>
    <row r="24" spans="1:8" hidden="1" outlineLevel="5" x14ac:dyDescent="0.25">
      <c r="A24" s="423" t="s">
        <v>309</v>
      </c>
      <c r="B24" s="425" t="s">
        <v>454</v>
      </c>
      <c r="C24" s="425" t="s">
        <v>24</v>
      </c>
      <c r="D24" s="425" t="s">
        <v>304</v>
      </c>
      <c r="E24" s="401" t="s">
        <v>6</v>
      </c>
      <c r="F24" s="402">
        <f t="shared" si="0"/>
        <v>63000</v>
      </c>
      <c r="G24" s="402">
        <f t="shared" si="0"/>
        <v>65520</v>
      </c>
    </row>
    <row r="25" spans="1:8" ht="36.700000000000003" hidden="1" outlineLevel="6" x14ac:dyDescent="0.25">
      <c r="A25" s="423" t="s">
        <v>15</v>
      </c>
      <c r="B25" s="425" t="s">
        <v>454</v>
      </c>
      <c r="C25" s="425" t="s">
        <v>24</v>
      </c>
      <c r="D25" s="425" t="s">
        <v>304</v>
      </c>
      <c r="E25" s="401" t="s">
        <v>16</v>
      </c>
      <c r="F25" s="402">
        <f t="shared" si="0"/>
        <v>63000</v>
      </c>
      <c r="G25" s="402">
        <f t="shared" si="0"/>
        <v>65520</v>
      </c>
    </row>
    <row r="26" spans="1:8" ht="19.55" hidden="1" customHeight="1" outlineLevel="7" x14ac:dyDescent="0.25">
      <c r="A26" s="423" t="s">
        <v>17</v>
      </c>
      <c r="B26" s="425" t="s">
        <v>454</v>
      </c>
      <c r="C26" s="425" t="s">
        <v>24</v>
      </c>
      <c r="D26" s="425" t="s">
        <v>304</v>
      </c>
      <c r="E26" s="401" t="s">
        <v>18</v>
      </c>
      <c r="F26" s="345">
        <v>63000</v>
      </c>
      <c r="G26" s="345">
        <v>65520</v>
      </c>
    </row>
    <row r="27" spans="1:8" s="76" customFormat="1" ht="62.5" hidden="1" customHeight="1" outlineLevel="7" x14ac:dyDescent="0.25">
      <c r="A27" s="45" t="s">
        <v>1150</v>
      </c>
      <c r="B27" s="387" t="s">
        <v>454</v>
      </c>
      <c r="C27" s="425" t="s">
        <v>24</v>
      </c>
      <c r="D27" s="387" t="s">
        <v>305</v>
      </c>
      <c r="E27" s="403" t="s">
        <v>6</v>
      </c>
      <c r="F27" s="346">
        <f t="shared" ref="F27:G30" si="1">F28</f>
        <v>632977</v>
      </c>
      <c r="G27" s="346">
        <f t="shared" si="1"/>
        <v>658343</v>
      </c>
      <c r="H27" s="75"/>
    </row>
    <row r="28" spans="1:8" ht="42.8" hidden="1" customHeight="1" outlineLevel="7" x14ac:dyDescent="0.25">
      <c r="A28" s="404" t="s">
        <v>245</v>
      </c>
      <c r="B28" s="425" t="s">
        <v>454</v>
      </c>
      <c r="C28" s="425" t="s">
        <v>24</v>
      </c>
      <c r="D28" s="425" t="s">
        <v>306</v>
      </c>
      <c r="E28" s="401" t="s">
        <v>6</v>
      </c>
      <c r="F28" s="345">
        <f t="shared" si="1"/>
        <v>632977</v>
      </c>
      <c r="G28" s="345">
        <f t="shared" si="1"/>
        <v>658343</v>
      </c>
    </row>
    <row r="29" spans="1:8" ht="39.75" hidden="1" customHeight="1" outlineLevel="5" x14ac:dyDescent="0.25">
      <c r="A29" s="423" t="s">
        <v>25</v>
      </c>
      <c r="B29" s="425" t="s">
        <v>454</v>
      </c>
      <c r="C29" s="425" t="s">
        <v>24</v>
      </c>
      <c r="D29" s="425" t="s">
        <v>317</v>
      </c>
      <c r="E29" s="401" t="s">
        <v>6</v>
      </c>
      <c r="F29" s="402">
        <f t="shared" si="1"/>
        <v>632977</v>
      </c>
      <c r="G29" s="402">
        <f t="shared" si="1"/>
        <v>658343</v>
      </c>
    </row>
    <row r="30" spans="1:8" ht="36.700000000000003" hidden="1" outlineLevel="6" x14ac:dyDescent="0.25">
      <c r="A30" s="423" t="s">
        <v>15</v>
      </c>
      <c r="B30" s="425" t="s">
        <v>454</v>
      </c>
      <c r="C30" s="425" t="s">
        <v>24</v>
      </c>
      <c r="D30" s="425" t="s">
        <v>317</v>
      </c>
      <c r="E30" s="401" t="s">
        <v>16</v>
      </c>
      <c r="F30" s="402">
        <f t="shared" si="1"/>
        <v>632977</v>
      </c>
      <c r="G30" s="402">
        <f t="shared" si="1"/>
        <v>658343</v>
      </c>
    </row>
    <row r="31" spans="1:8" ht="21.25" hidden="1" customHeight="1" outlineLevel="7" x14ac:dyDescent="0.25">
      <c r="A31" s="423" t="s">
        <v>17</v>
      </c>
      <c r="B31" s="425" t="s">
        <v>454</v>
      </c>
      <c r="C31" s="425" t="s">
        <v>24</v>
      </c>
      <c r="D31" s="425" t="s">
        <v>317</v>
      </c>
      <c r="E31" s="401" t="s">
        <v>18</v>
      </c>
      <c r="F31" s="402">
        <v>632977</v>
      </c>
      <c r="G31" s="402">
        <v>658343</v>
      </c>
    </row>
    <row r="32" spans="1:8" s="2" customFormat="1" ht="36.700000000000003" hidden="1" x14ac:dyDescent="0.25">
      <c r="A32" s="57" t="s">
        <v>888</v>
      </c>
      <c r="B32" s="385" t="s">
        <v>455</v>
      </c>
      <c r="C32" s="385" t="s">
        <v>5</v>
      </c>
      <c r="D32" s="385" t="s">
        <v>126</v>
      </c>
      <c r="E32" s="399" t="s">
        <v>6</v>
      </c>
      <c r="F32" s="400">
        <f>F33+F165+F175+F231+F303+F319+F326+F350+F409+F389+F186</f>
        <v>228632056.5</v>
      </c>
      <c r="G32" s="400">
        <f>G33+G165+G175+G231+G303+G319+G326+G350+G409+G389+G186</f>
        <v>233700288.34999999</v>
      </c>
      <c r="H32" s="388"/>
    </row>
    <row r="33" spans="1:12" s="76" customFormat="1" hidden="1" outlineLevel="1" x14ac:dyDescent="0.25">
      <c r="A33" s="45" t="s">
        <v>7</v>
      </c>
      <c r="B33" s="387" t="s">
        <v>455</v>
      </c>
      <c r="C33" s="387" t="s">
        <v>8</v>
      </c>
      <c r="D33" s="387" t="s">
        <v>126</v>
      </c>
      <c r="E33" s="403" t="s">
        <v>6</v>
      </c>
      <c r="F33" s="347">
        <f>F34+F39+F46+F52+F62+F57</f>
        <v>97206420.269999996</v>
      </c>
      <c r="G33" s="347">
        <f>G34+G39+G46+G52+G62+G57</f>
        <v>94221344.069999993</v>
      </c>
      <c r="H33" s="75"/>
    </row>
    <row r="34" spans="1:12" ht="55.05" hidden="1" outlineLevel="2" x14ac:dyDescent="0.25">
      <c r="A34" s="423" t="s">
        <v>28</v>
      </c>
      <c r="B34" s="425" t="s">
        <v>455</v>
      </c>
      <c r="C34" s="425" t="s">
        <v>29</v>
      </c>
      <c r="D34" s="425" t="s">
        <v>126</v>
      </c>
      <c r="E34" s="401" t="s">
        <v>6</v>
      </c>
      <c r="F34" s="402">
        <f t="shared" ref="F34:G37" si="2">F35</f>
        <v>3171400</v>
      </c>
      <c r="G34" s="402">
        <f t="shared" si="2"/>
        <v>3203200</v>
      </c>
    </row>
    <row r="35" spans="1:12" ht="36.700000000000003" hidden="1" outlineLevel="3" x14ac:dyDescent="0.25">
      <c r="A35" s="423" t="s">
        <v>132</v>
      </c>
      <c r="B35" s="425" t="s">
        <v>455</v>
      </c>
      <c r="C35" s="425" t="s">
        <v>29</v>
      </c>
      <c r="D35" s="425" t="s">
        <v>127</v>
      </c>
      <c r="E35" s="401" t="s">
        <v>6</v>
      </c>
      <c r="F35" s="402">
        <f t="shared" si="2"/>
        <v>3171400</v>
      </c>
      <c r="G35" s="402">
        <f t="shared" si="2"/>
        <v>3203200</v>
      </c>
    </row>
    <row r="36" spans="1:12" hidden="1" outlineLevel="5" x14ac:dyDescent="0.25">
      <c r="A36" s="423" t="s">
        <v>451</v>
      </c>
      <c r="B36" s="425" t="s">
        <v>455</v>
      </c>
      <c r="C36" s="425" t="s">
        <v>29</v>
      </c>
      <c r="D36" s="425" t="s">
        <v>452</v>
      </c>
      <c r="E36" s="401" t="s">
        <v>6</v>
      </c>
      <c r="F36" s="402">
        <f t="shared" si="2"/>
        <v>3171400</v>
      </c>
      <c r="G36" s="402">
        <f t="shared" si="2"/>
        <v>3203200</v>
      </c>
    </row>
    <row r="37" spans="1:12" ht="91.7" hidden="1" outlineLevel="6" x14ac:dyDescent="0.25">
      <c r="A37" s="423" t="s">
        <v>11</v>
      </c>
      <c r="B37" s="425" t="s">
        <v>455</v>
      </c>
      <c r="C37" s="425" t="s">
        <v>29</v>
      </c>
      <c r="D37" s="425" t="s">
        <v>452</v>
      </c>
      <c r="E37" s="401" t="s">
        <v>12</v>
      </c>
      <c r="F37" s="402">
        <f t="shared" si="2"/>
        <v>3171400</v>
      </c>
      <c r="G37" s="402">
        <f t="shared" si="2"/>
        <v>3203200</v>
      </c>
    </row>
    <row r="38" spans="1:12" ht="36.700000000000003" hidden="1" outlineLevel="7" x14ac:dyDescent="0.25">
      <c r="A38" s="423" t="s">
        <v>13</v>
      </c>
      <c r="B38" s="425" t="s">
        <v>455</v>
      </c>
      <c r="C38" s="425" t="s">
        <v>29</v>
      </c>
      <c r="D38" s="425" t="s">
        <v>452</v>
      </c>
      <c r="E38" s="401" t="s">
        <v>14</v>
      </c>
      <c r="F38" s="402">
        <v>3171400</v>
      </c>
      <c r="G38" s="402">
        <v>3203200</v>
      </c>
    </row>
    <row r="39" spans="1:12" ht="37.549999999999997" hidden="1" customHeight="1" outlineLevel="2" x14ac:dyDescent="0.25">
      <c r="A39" s="423" t="s">
        <v>30</v>
      </c>
      <c r="B39" s="425" t="s">
        <v>455</v>
      </c>
      <c r="C39" s="425" t="s">
        <v>31</v>
      </c>
      <c r="D39" s="425" t="s">
        <v>126</v>
      </c>
      <c r="E39" s="401" t="s">
        <v>6</v>
      </c>
      <c r="F39" s="402">
        <f>F40</f>
        <v>23340000</v>
      </c>
      <c r="G39" s="402">
        <f>G40</f>
        <v>21605000</v>
      </c>
    </row>
    <row r="40" spans="1:12" ht="36.700000000000003" hidden="1" outlineLevel="3" x14ac:dyDescent="0.25">
      <c r="A40" s="423" t="s">
        <v>132</v>
      </c>
      <c r="B40" s="425" t="s">
        <v>455</v>
      </c>
      <c r="C40" s="425" t="s">
        <v>31</v>
      </c>
      <c r="D40" s="425" t="s">
        <v>127</v>
      </c>
      <c r="E40" s="401" t="s">
        <v>6</v>
      </c>
      <c r="F40" s="402">
        <f>F41</f>
        <v>23340000</v>
      </c>
      <c r="G40" s="402">
        <f>G41</f>
        <v>21605000</v>
      </c>
    </row>
    <row r="41" spans="1:12" ht="55.05" hidden="1" outlineLevel="5" x14ac:dyDescent="0.25">
      <c r="A41" s="423" t="s">
        <v>449</v>
      </c>
      <c r="B41" s="425" t="s">
        <v>455</v>
      </c>
      <c r="C41" s="425" t="s">
        <v>31</v>
      </c>
      <c r="D41" s="425" t="s">
        <v>450</v>
      </c>
      <c r="E41" s="401" t="s">
        <v>6</v>
      </c>
      <c r="F41" s="402">
        <f>F42+F44</f>
        <v>23340000</v>
      </c>
      <c r="G41" s="402">
        <f>G42+G44</f>
        <v>21605000</v>
      </c>
    </row>
    <row r="42" spans="1:12" ht="91.7" hidden="1" outlineLevel="6" x14ac:dyDescent="0.25">
      <c r="A42" s="423" t="s">
        <v>11</v>
      </c>
      <c r="B42" s="425" t="s">
        <v>455</v>
      </c>
      <c r="C42" s="425" t="s">
        <v>31</v>
      </c>
      <c r="D42" s="425" t="s">
        <v>450</v>
      </c>
      <c r="E42" s="401" t="s">
        <v>12</v>
      </c>
      <c r="F42" s="402">
        <f>F43</f>
        <v>23235000</v>
      </c>
      <c r="G42" s="402">
        <f>G43</f>
        <v>21500000</v>
      </c>
    </row>
    <row r="43" spans="1:12" ht="36.700000000000003" hidden="1" outlineLevel="7" x14ac:dyDescent="0.25">
      <c r="A43" s="423" t="s">
        <v>13</v>
      </c>
      <c r="B43" s="425" t="s">
        <v>455</v>
      </c>
      <c r="C43" s="425" t="s">
        <v>31</v>
      </c>
      <c r="D43" s="425" t="s">
        <v>450</v>
      </c>
      <c r="E43" s="401" t="s">
        <v>14</v>
      </c>
      <c r="F43" s="345">
        <f>26735000-3500000</f>
        <v>23235000</v>
      </c>
      <c r="G43" s="345">
        <f>27000000-5500000</f>
        <v>21500000</v>
      </c>
    </row>
    <row r="44" spans="1:12" ht="36.700000000000003" hidden="1" outlineLevel="6" x14ac:dyDescent="0.25">
      <c r="A44" s="423" t="s">
        <v>15</v>
      </c>
      <c r="B44" s="425" t="s">
        <v>455</v>
      </c>
      <c r="C44" s="425" t="s">
        <v>31</v>
      </c>
      <c r="D44" s="425" t="s">
        <v>450</v>
      </c>
      <c r="E44" s="401" t="s">
        <v>16</v>
      </c>
      <c r="F44" s="402">
        <f>F45</f>
        <v>105000</v>
      </c>
      <c r="G44" s="402">
        <f>G45</f>
        <v>105000</v>
      </c>
    </row>
    <row r="45" spans="1:12" s="67" customFormat="1" ht="21.25" hidden="1" customHeight="1" outlineLevel="7" x14ac:dyDescent="0.25">
      <c r="A45" s="423" t="s">
        <v>17</v>
      </c>
      <c r="B45" s="425" t="s">
        <v>455</v>
      </c>
      <c r="C45" s="425" t="s">
        <v>31</v>
      </c>
      <c r="D45" s="425" t="s">
        <v>450</v>
      </c>
      <c r="E45" s="401" t="s">
        <v>18</v>
      </c>
      <c r="F45" s="345">
        <v>105000</v>
      </c>
      <c r="G45" s="345">
        <v>105000</v>
      </c>
      <c r="I45" s="1"/>
      <c r="J45" s="1"/>
      <c r="K45" s="1"/>
      <c r="L45" s="1"/>
    </row>
    <row r="46" spans="1:12" s="67" customFormat="1" hidden="1" outlineLevel="7" x14ac:dyDescent="0.25">
      <c r="A46" s="423" t="s">
        <v>254</v>
      </c>
      <c r="B46" s="425" t="s">
        <v>455</v>
      </c>
      <c r="C46" s="425" t="s">
        <v>255</v>
      </c>
      <c r="D46" s="425" t="s">
        <v>126</v>
      </c>
      <c r="E46" s="401" t="s">
        <v>6</v>
      </c>
      <c r="F46" s="345">
        <f>F47</f>
        <v>3786</v>
      </c>
      <c r="G46" s="345">
        <f>G47</f>
        <v>3786</v>
      </c>
      <c r="I46" s="1"/>
      <c r="J46" s="1"/>
      <c r="K46" s="1"/>
      <c r="L46" s="1"/>
    </row>
    <row r="47" spans="1:12" s="67" customFormat="1" ht="36.700000000000003" hidden="1" outlineLevel="7" x14ac:dyDescent="0.25">
      <c r="A47" s="423" t="s">
        <v>132</v>
      </c>
      <c r="B47" s="425" t="s">
        <v>455</v>
      </c>
      <c r="C47" s="425" t="s">
        <v>255</v>
      </c>
      <c r="D47" s="425" t="s">
        <v>127</v>
      </c>
      <c r="E47" s="401" t="s">
        <v>6</v>
      </c>
      <c r="F47" s="345">
        <f>F49</f>
        <v>3786</v>
      </c>
      <c r="G47" s="345">
        <f>G49</f>
        <v>3786</v>
      </c>
      <c r="I47" s="1"/>
      <c r="J47" s="1"/>
      <c r="K47" s="1"/>
      <c r="L47" s="1"/>
    </row>
    <row r="48" spans="1:12" s="67" customFormat="1" hidden="1" outlineLevel="7" x14ac:dyDescent="0.25">
      <c r="A48" s="423" t="s">
        <v>269</v>
      </c>
      <c r="B48" s="425" t="s">
        <v>455</v>
      </c>
      <c r="C48" s="425" t="s">
        <v>255</v>
      </c>
      <c r="D48" s="425" t="s">
        <v>268</v>
      </c>
      <c r="E48" s="401" t="s">
        <v>6</v>
      </c>
      <c r="F48" s="345">
        <f t="shared" ref="F48:G50" si="3">F49</f>
        <v>3786</v>
      </c>
      <c r="G48" s="345">
        <f t="shared" si="3"/>
        <v>3786</v>
      </c>
      <c r="I48" s="1"/>
      <c r="J48" s="1"/>
      <c r="K48" s="1"/>
      <c r="L48" s="1"/>
    </row>
    <row r="49" spans="1:12" s="67" customFormat="1" ht="78.8" hidden="1" customHeight="1" outlineLevel="7" x14ac:dyDescent="0.25">
      <c r="A49" s="423" t="s">
        <v>932</v>
      </c>
      <c r="B49" s="425" t="s">
        <v>455</v>
      </c>
      <c r="C49" s="425" t="s">
        <v>255</v>
      </c>
      <c r="D49" s="425" t="s">
        <v>277</v>
      </c>
      <c r="E49" s="401" t="s">
        <v>6</v>
      </c>
      <c r="F49" s="345">
        <f t="shared" si="3"/>
        <v>3786</v>
      </c>
      <c r="G49" s="345">
        <f t="shared" si="3"/>
        <v>3786</v>
      </c>
      <c r="I49" s="1"/>
      <c r="J49" s="1"/>
      <c r="K49" s="1"/>
      <c r="L49" s="1"/>
    </row>
    <row r="50" spans="1:12" s="67" customFormat="1" ht="36.700000000000003" hidden="1" outlineLevel="7" x14ac:dyDescent="0.25">
      <c r="A50" s="423" t="s">
        <v>15</v>
      </c>
      <c r="B50" s="425" t="s">
        <v>455</v>
      </c>
      <c r="C50" s="425" t="s">
        <v>255</v>
      </c>
      <c r="D50" s="425" t="s">
        <v>277</v>
      </c>
      <c r="E50" s="401" t="s">
        <v>16</v>
      </c>
      <c r="F50" s="345">
        <f t="shared" si="3"/>
        <v>3786</v>
      </c>
      <c r="G50" s="345">
        <f t="shared" si="3"/>
        <v>3786</v>
      </c>
      <c r="I50" s="1"/>
      <c r="J50" s="1"/>
      <c r="K50" s="1"/>
      <c r="L50" s="1"/>
    </row>
    <row r="51" spans="1:12" s="67" customFormat="1" ht="19.55" hidden="1" customHeight="1" outlineLevel="7" x14ac:dyDescent="0.25">
      <c r="A51" s="423" t="s">
        <v>17</v>
      </c>
      <c r="B51" s="425" t="s">
        <v>455</v>
      </c>
      <c r="C51" s="425" t="s">
        <v>255</v>
      </c>
      <c r="D51" s="425" t="s">
        <v>277</v>
      </c>
      <c r="E51" s="401" t="s">
        <v>18</v>
      </c>
      <c r="F51" s="523">
        <v>3786</v>
      </c>
      <c r="G51" s="523">
        <v>3786</v>
      </c>
      <c r="I51" s="1"/>
      <c r="J51" s="1"/>
      <c r="K51" s="1"/>
      <c r="L51" s="1"/>
    </row>
    <row r="52" spans="1:12" s="67" customFormat="1" ht="36.700000000000003" hidden="1" customHeight="1" outlineLevel="2" x14ac:dyDescent="0.25">
      <c r="A52" s="423" t="s">
        <v>9</v>
      </c>
      <c r="B52" s="425" t="s">
        <v>455</v>
      </c>
      <c r="C52" s="425" t="s">
        <v>10</v>
      </c>
      <c r="D52" s="425" t="s">
        <v>126</v>
      </c>
      <c r="E52" s="401" t="s">
        <v>6</v>
      </c>
      <c r="F52" s="402">
        <f t="shared" ref="F52:G55" si="4">F53</f>
        <v>919500</v>
      </c>
      <c r="G52" s="402">
        <f t="shared" si="4"/>
        <v>928650</v>
      </c>
      <c r="I52" s="1"/>
      <c r="J52" s="1"/>
      <c r="K52" s="1"/>
      <c r="L52" s="1"/>
    </row>
    <row r="53" spans="1:12" s="67" customFormat="1" ht="36.700000000000003" hidden="1" outlineLevel="4" x14ac:dyDescent="0.25">
      <c r="A53" s="423" t="s">
        <v>132</v>
      </c>
      <c r="B53" s="425" t="s">
        <v>455</v>
      </c>
      <c r="C53" s="425" t="s">
        <v>10</v>
      </c>
      <c r="D53" s="425" t="s">
        <v>127</v>
      </c>
      <c r="E53" s="401" t="s">
        <v>6</v>
      </c>
      <c r="F53" s="402">
        <f t="shared" si="4"/>
        <v>919500</v>
      </c>
      <c r="G53" s="402">
        <f t="shared" si="4"/>
        <v>928650</v>
      </c>
      <c r="I53" s="1"/>
      <c r="J53" s="1"/>
      <c r="K53" s="1"/>
      <c r="L53" s="1"/>
    </row>
    <row r="54" spans="1:12" s="67" customFormat="1" ht="36.700000000000003" hidden="1" outlineLevel="5" x14ac:dyDescent="0.25">
      <c r="A54" s="423" t="s">
        <v>453</v>
      </c>
      <c r="B54" s="425" t="s">
        <v>455</v>
      </c>
      <c r="C54" s="425" t="s">
        <v>10</v>
      </c>
      <c r="D54" s="425" t="s">
        <v>491</v>
      </c>
      <c r="E54" s="401" t="s">
        <v>6</v>
      </c>
      <c r="F54" s="402">
        <f t="shared" si="4"/>
        <v>919500</v>
      </c>
      <c r="G54" s="402">
        <f t="shared" si="4"/>
        <v>928650</v>
      </c>
      <c r="I54" s="1"/>
      <c r="J54" s="1"/>
      <c r="K54" s="1"/>
      <c r="L54" s="1"/>
    </row>
    <row r="55" spans="1:12" s="67" customFormat="1" ht="91.7" hidden="1" outlineLevel="6" x14ac:dyDescent="0.25">
      <c r="A55" s="423" t="s">
        <v>11</v>
      </c>
      <c r="B55" s="425" t="s">
        <v>455</v>
      </c>
      <c r="C55" s="425" t="s">
        <v>10</v>
      </c>
      <c r="D55" s="425" t="s">
        <v>491</v>
      </c>
      <c r="E55" s="401" t="s">
        <v>12</v>
      </c>
      <c r="F55" s="402">
        <f t="shared" si="4"/>
        <v>919500</v>
      </c>
      <c r="G55" s="402">
        <f t="shared" si="4"/>
        <v>928650</v>
      </c>
      <c r="I55" s="1"/>
      <c r="J55" s="1"/>
      <c r="K55" s="1"/>
      <c r="L55" s="1"/>
    </row>
    <row r="56" spans="1:12" s="67" customFormat="1" ht="31.75" hidden="1" customHeight="1" outlineLevel="7" x14ac:dyDescent="0.25">
      <c r="A56" s="423" t="s">
        <v>13</v>
      </c>
      <c r="B56" s="425" t="s">
        <v>455</v>
      </c>
      <c r="C56" s="425" t="s">
        <v>10</v>
      </c>
      <c r="D56" s="425" t="s">
        <v>491</v>
      </c>
      <c r="E56" s="401" t="s">
        <v>14</v>
      </c>
      <c r="F56" s="402">
        <v>919500</v>
      </c>
      <c r="G56" s="402">
        <v>928650</v>
      </c>
      <c r="I56" s="1"/>
      <c r="J56" s="1"/>
      <c r="K56" s="1"/>
      <c r="L56" s="1"/>
    </row>
    <row r="57" spans="1:12" s="67" customFormat="1" hidden="1" outlineLevel="7" x14ac:dyDescent="0.25">
      <c r="A57" s="423" t="s">
        <v>630</v>
      </c>
      <c r="B57" s="425" t="s">
        <v>455</v>
      </c>
      <c r="C57" s="425" t="s">
        <v>627</v>
      </c>
      <c r="D57" s="425" t="s">
        <v>126</v>
      </c>
      <c r="E57" s="425" t="s">
        <v>6</v>
      </c>
      <c r="F57" s="402">
        <f t="shared" ref="F57:G60" si="5">F58</f>
        <v>0</v>
      </c>
      <c r="G57" s="402">
        <f t="shared" si="5"/>
        <v>0</v>
      </c>
      <c r="I57" s="1"/>
      <c r="J57" s="1"/>
      <c r="K57" s="1"/>
      <c r="L57" s="1"/>
    </row>
    <row r="58" spans="1:12" s="67" customFormat="1" ht="36.700000000000003" hidden="1" outlineLevel="7" x14ac:dyDescent="0.25">
      <c r="A58" s="423" t="s">
        <v>132</v>
      </c>
      <c r="B58" s="425" t="s">
        <v>455</v>
      </c>
      <c r="C58" s="425" t="s">
        <v>627</v>
      </c>
      <c r="D58" s="425" t="s">
        <v>127</v>
      </c>
      <c r="E58" s="425" t="s">
        <v>6</v>
      </c>
      <c r="F58" s="402">
        <f t="shared" si="5"/>
        <v>0</v>
      </c>
      <c r="G58" s="402">
        <f t="shared" si="5"/>
        <v>0</v>
      </c>
      <c r="I58" s="1"/>
      <c r="J58" s="1"/>
      <c r="K58" s="1"/>
      <c r="L58" s="1"/>
    </row>
    <row r="59" spans="1:12" s="67" customFormat="1" ht="36.700000000000003" hidden="1" outlineLevel="7" x14ac:dyDescent="0.25">
      <c r="A59" s="423" t="s">
        <v>629</v>
      </c>
      <c r="B59" s="425" t="s">
        <v>455</v>
      </c>
      <c r="C59" s="425" t="s">
        <v>627</v>
      </c>
      <c r="D59" s="425" t="s">
        <v>493</v>
      </c>
      <c r="E59" s="425" t="s">
        <v>6</v>
      </c>
      <c r="F59" s="402">
        <f t="shared" si="5"/>
        <v>0</v>
      </c>
      <c r="G59" s="402">
        <f t="shared" si="5"/>
        <v>0</v>
      </c>
      <c r="I59" s="1"/>
      <c r="J59" s="1"/>
      <c r="K59" s="1"/>
      <c r="L59" s="1"/>
    </row>
    <row r="60" spans="1:12" s="67" customFormat="1" hidden="1" outlineLevel="7" x14ac:dyDescent="0.25">
      <c r="A60" s="423" t="s">
        <v>19</v>
      </c>
      <c r="B60" s="425" t="s">
        <v>455</v>
      </c>
      <c r="C60" s="425" t="s">
        <v>627</v>
      </c>
      <c r="D60" s="425" t="s">
        <v>493</v>
      </c>
      <c r="E60" s="425" t="s">
        <v>20</v>
      </c>
      <c r="F60" s="402">
        <f t="shared" si="5"/>
        <v>0</v>
      </c>
      <c r="G60" s="402">
        <f t="shared" si="5"/>
        <v>0</v>
      </c>
      <c r="I60" s="1"/>
      <c r="J60" s="1"/>
      <c r="K60" s="1"/>
      <c r="L60" s="1"/>
    </row>
    <row r="61" spans="1:12" hidden="1" outlineLevel="7" x14ac:dyDescent="0.25">
      <c r="A61" s="423" t="s">
        <v>628</v>
      </c>
      <c r="B61" s="425" t="s">
        <v>455</v>
      </c>
      <c r="C61" s="425" t="s">
        <v>627</v>
      </c>
      <c r="D61" s="425" t="s">
        <v>493</v>
      </c>
      <c r="E61" s="425" t="s">
        <v>626</v>
      </c>
      <c r="F61" s="402">
        <v>0</v>
      </c>
      <c r="G61" s="402">
        <v>0</v>
      </c>
    </row>
    <row r="62" spans="1:12" hidden="1" outlineLevel="2" collapsed="1" x14ac:dyDescent="0.25">
      <c r="A62" s="423" t="s">
        <v>23</v>
      </c>
      <c r="B62" s="425" t="s">
        <v>455</v>
      </c>
      <c r="C62" s="425" t="s">
        <v>24</v>
      </c>
      <c r="D62" s="425" t="s">
        <v>126</v>
      </c>
      <c r="E62" s="401" t="s">
        <v>6</v>
      </c>
      <c r="F62" s="402">
        <f>F63+F88+F101+F93+F113+F108</f>
        <v>69771734.269999996</v>
      </c>
      <c r="G62" s="402">
        <f>G63+G88+G101+G93+G113+G108</f>
        <v>68480708.069999993</v>
      </c>
    </row>
    <row r="63" spans="1:12" s="76" customFormat="1" ht="59.3" hidden="1" customHeight="1" outlineLevel="3" x14ac:dyDescent="0.25">
      <c r="A63" s="45" t="s">
        <v>1151</v>
      </c>
      <c r="B63" s="387" t="s">
        <v>455</v>
      </c>
      <c r="C63" s="387" t="s">
        <v>24</v>
      </c>
      <c r="D63" s="387" t="s">
        <v>128</v>
      </c>
      <c r="E63" s="403" t="s">
        <v>6</v>
      </c>
      <c r="F63" s="347">
        <f>F64+F74+F82</f>
        <v>20344140</v>
      </c>
      <c r="G63" s="347">
        <f>G64+G74+G82</f>
        <v>18422536</v>
      </c>
      <c r="H63" s="75"/>
    </row>
    <row r="64" spans="1:12" ht="57.25" hidden="1" customHeight="1" outlineLevel="7" x14ac:dyDescent="0.25">
      <c r="A64" s="423" t="s">
        <v>729</v>
      </c>
      <c r="B64" s="425" t="s">
        <v>455</v>
      </c>
      <c r="C64" s="425" t="s">
        <v>24</v>
      </c>
      <c r="D64" s="425" t="s">
        <v>303</v>
      </c>
      <c r="E64" s="401" t="s">
        <v>6</v>
      </c>
      <c r="F64" s="345">
        <f>F65+F68+F71</f>
        <v>920385</v>
      </c>
      <c r="G64" s="345">
        <f>G65+G68+G71</f>
        <v>920385</v>
      </c>
    </row>
    <row r="65" spans="1:7" hidden="1" outlineLevel="7" x14ac:dyDescent="0.25">
      <c r="A65" s="423" t="s">
        <v>309</v>
      </c>
      <c r="B65" s="425" t="s">
        <v>455</v>
      </c>
      <c r="C65" s="425" t="s">
        <v>24</v>
      </c>
      <c r="D65" s="425" t="s">
        <v>304</v>
      </c>
      <c r="E65" s="401" t="s">
        <v>6</v>
      </c>
      <c r="F65" s="345">
        <f>F66</f>
        <v>745385</v>
      </c>
      <c r="G65" s="345">
        <f>G66</f>
        <v>745385</v>
      </c>
    </row>
    <row r="66" spans="1:7" ht="36.700000000000003" hidden="1" outlineLevel="7" x14ac:dyDescent="0.25">
      <c r="A66" s="423" t="s">
        <v>15</v>
      </c>
      <c r="B66" s="425" t="s">
        <v>455</v>
      </c>
      <c r="C66" s="425" t="s">
        <v>24</v>
      </c>
      <c r="D66" s="425" t="s">
        <v>304</v>
      </c>
      <c r="E66" s="401" t="s">
        <v>16</v>
      </c>
      <c r="F66" s="402">
        <f>F67</f>
        <v>745385</v>
      </c>
      <c r="G66" s="402">
        <f>G67</f>
        <v>745385</v>
      </c>
    </row>
    <row r="67" spans="1:7" ht="21.25" hidden="1" customHeight="1" outlineLevel="7" x14ac:dyDescent="0.25">
      <c r="A67" s="423" t="s">
        <v>17</v>
      </c>
      <c r="B67" s="425" t="s">
        <v>455</v>
      </c>
      <c r="C67" s="425" t="s">
        <v>24</v>
      </c>
      <c r="D67" s="425" t="s">
        <v>304</v>
      </c>
      <c r="E67" s="401" t="s">
        <v>18</v>
      </c>
      <c r="F67" s="345">
        <v>745385</v>
      </c>
      <c r="G67" s="345">
        <v>745385</v>
      </c>
    </row>
    <row r="68" spans="1:7" hidden="1" outlineLevel="7" x14ac:dyDescent="0.25">
      <c r="A68" s="423" t="s">
        <v>310</v>
      </c>
      <c r="B68" s="425" t="s">
        <v>455</v>
      </c>
      <c r="C68" s="425" t="s">
        <v>24</v>
      </c>
      <c r="D68" s="425" t="s">
        <v>311</v>
      </c>
      <c r="E68" s="401" t="s">
        <v>6</v>
      </c>
      <c r="F68" s="345">
        <f>F69</f>
        <v>165000</v>
      </c>
      <c r="G68" s="345">
        <f>G69</f>
        <v>165000</v>
      </c>
    </row>
    <row r="69" spans="1:7" ht="36.700000000000003" hidden="1" outlineLevel="7" x14ac:dyDescent="0.25">
      <c r="A69" s="423" t="s">
        <v>15</v>
      </c>
      <c r="B69" s="425" t="s">
        <v>455</v>
      </c>
      <c r="C69" s="425" t="s">
        <v>24</v>
      </c>
      <c r="D69" s="425" t="s">
        <v>311</v>
      </c>
      <c r="E69" s="401" t="s">
        <v>16</v>
      </c>
      <c r="F69" s="402">
        <f>F70</f>
        <v>165000</v>
      </c>
      <c r="G69" s="402">
        <f>G70</f>
        <v>165000</v>
      </c>
    </row>
    <row r="70" spans="1:7" ht="19.55" hidden="1" customHeight="1" outlineLevel="7" x14ac:dyDescent="0.25">
      <c r="A70" s="423" t="s">
        <v>17</v>
      </c>
      <c r="B70" s="425" t="s">
        <v>455</v>
      </c>
      <c r="C70" s="425" t="s">
        <v>24</v>
      </c>
      <c r="D70" s="425" t="s">
        <v>311</v>
      </c>
      <c r="E70" s="401" t="s">
        <v>18</v>
      </c>
      <c r="F70" s="402">
        <v>165000</v>
      </c>
      <c r="G70" s="402">
        <v>165000</v>
      </c>
    </row>
    <row r="71" spans="1:7" ht="19.55" customHeight="1" outlineLevel="7" x14ac:dyDescent="0.25">
      <c r="A71" s="423" t="s">
        <v>1045</v>
      </c>
      <c r="B71" s="425" t="s">
        <v>455</v>
      </c>
      <c r="C71" s="425" t="s">
        <v>24</v>
      </c>
      <c r="D71" s="425" t="s">
        <v>1046</v>
      </c>
      <c r="E71" s="425" t="s">
        <v>6</v>
      </c>
      <c r="F71" s="402">
        <f>F72</f>
        <v>10000</v>
      </c>
      <c r="G71" s="402">
        <f>G72</f>
        <v>10000</v>
      </c>
    </row>
    <row r="72" spans="1:7" ht="19.55" customHeight="1" outlineLevel="7" x14ac:dyDescent="0.25">
      <c r="A72" s="423" t="s">
        <v>15</v>
      </c>
      <c r="B72" s="425" t="s">
        <v>455</v>
      </c>
      <c r="C72" s="425" t="s">
        <v>24</v>
      </c>
      <c r="D72" s="425" t="s">
        <v>1046</v>
      </c>
      <c r="E72" s="425" t="s">
        <v>16</v>
      </c>
      <c r="F72" s="402">
        <f>F73</f>
        <v>10000</v>
      </c>
      <c r="G72" s="402">
        <f>G73</f>
        <v>10000</v>
      </c>
    </row>
    <row r="73" spans="1:7" ht="19.55" customHeight="1" outlineLevel="7" x14ac:dyDescent="0.25">
      <c r="A73" s="423" t="s">
        <v>17</v>
      </c>
      <c r="B73" s="425" t="s">
        <v>455</v>
      </c>
      <c r="C73" s="425" t="s">
        <v>24</v>
      </c>
      <c r="D73" s="425" t="s">
        <v>1046</v>
      </c>
      <c r="E73" s="425" t="s">
        <v>18</v>
      </c>
      <c r="F73" s="402">
        <v>10000</v>
      </c>
      <c r="G73" s="402">
        <v>10000</v>
      </c>
    </row>
    <row r="74" spans="1:7" ht="46.55" hidden="1" customHeight="1" outlineLevel="7" x14ac:dyDescent="0.25">
      <c r="A74" s="423" t="s">
        <v>213</v>
      </c>
      <c r="B74" s="425" t="s">
        <v>455</v>
      </c>
      <c r="C74" s="425" t="s">
        <v>24</v>
      </c>
      <c r="D74" s="425" t="s">
        <v>228</v>
      </c>
      <c r="E74" s="401" t="s">
        <v>6</v>
      </c>
      <c r="F74" s="345">
        <f>F75</f>
        <v>17959911</v>
      </c>
      <c r="G74" s="345">
        <f>G75</f>
        <v>16038307</v>
      </c>
    </row>
    <row r="75" spans="1:7" ht="55.05" hidden="1" outlineLevel="5" x14ac:dyDescent="0.25">
      <c r="A75" s="423" t="s">
        <v>33</v>
      </c>
      <c r="B75" s="425" t="s">
        <v>455</v>
      </c>
      <c r="C75" s="425" t="s">
        <v>24</v>
      </c>
      <c r="D75" s="425" t="s">
        <v>130</v>
      </c>
      <c r="E75" s="401" t="s">
        <v>6</v>
      </c>
      <c r="F75" s="402">
        <f>F76+F78+F80</f>
        <v>17959911</v>
      </c>
      <c r="G75" s="402">
        <f>G76+G78+G80</f>
        <v>16038307</v>
      </c>
    </row>
    <row r="76" spans="1:7" ht="91.7" hidden="1" outlineLevel="6" x14ac:dyDescent="0.25">
      <c r="A76" s="423" t="s">
        <v>11</v>
      </c>
      <c r="B76" s="425" t="s">
        <v>455</v>
      </c>
      <c r="C76" s="425" t="s">
        <v>24</v>
      </c>
      <c r="D76" s="425" t="s">
        <v>130</v>
      </c>
      <c r="E76" s="401" t="s">
        <v>12</v>
      </c>
      <c r="F76" s="402">
        <f>F77</f>
        <v>11908068</v>
      </c>
      <c r="G76" s="402">
        <f>G77</f>
        <v>10524390</v>
      </c>
    </row>
    <row r="77" spans="1:7" hidden="1" outlineLevel="7" x14ac:dyDescent="0.25">
      <c r="A77" s="423" t="s">
        <v>34</v>
      </c>
      <c r="B77" s="425" t="s">
        <v>455</v>
      </c>
      <c r="C77" s="425" t="s">
        <v>24</v>
      </c>
      <c r="D77" s="425" t="s">
        <v>130</v>
      </c>
      <c r="E77" s="401" t="s">
        <v>35</v>
      </c>
      <c r="F77" s="345">
        <f>15408068-3500000</f>
        <v>11908068</v>
      </c>
      <c r="G77" s="345">
        <f>16024390-5500000</f>
        <v>10524390</v>
      </c>
    </row>
    <row r="78" spans="1:7" ht="36.700000000000003" hidden="1" outlineLevel="6" x14ac:dyDescent="0.25">
      <c r="A78" s="423" t="s">
        <v>15</v>
      </c>
      <c r="B78" s="425" t="s">
        <v>455</v>
      </c>
      <c r="C78" s="425" t="s">
        <v>24</v>
      </c>
      <c r="D78" s="425" t="s">
        <v>130</v>
      </c>
      <c r="E78" s="401" t="s">
        <v>16</v>
      </c>
      <c r="F78" s="402">
        <f>F79</f>
        <v>5220625</v>
      </c>
      <c r="G78" s="402">
        <f>G79</f>
        <v>4649450</v>
      </c>
    </row>
    <row r="79" spans="1:7" ht="21.25" hidden="1" customHeight="1" outlineLevel="7" x14ac:dyDescent="0.25">
      <c r="A79" s="423" t="s">
        <v>17</v>
      </c>
      <c r="B79" s="425" t="s">
        <v>455</v>
      </c>
      <c r="C79" s="425" t="s">
        <v>24</v>
      </c>
      <c r="D79" s="425" t="s">
        <v>130</v>
      </c>
      <c r="E79" s="401" t="s">
        <v>18</v>
      </c>
      <c r="F79" s="345">
        <f>10720625-5500000</f>
        <v>5220625</v>
      </c>
      <c r="G79" s="345">
        <f>11149450-6500000</f>
        <v>4649450</v>
      </c>
    </row>
    <row r="80" spans="1:7" hidden="1" outlineLevel="6" x14ac:dyDescent="0.25">
      <c r="A80" s="423" t="s">
        <v>19</v>
      </c>
      <c r="B80" s="425" t="s">
        <v>455</v>
      </c>
      <c r="C80" s="425" t="s">
        <v>24</v>
      </c>
      <c r="D80" s="425" t="s">
        <v>130</v>
      </c>
      <c r="E80" s="401" t="s">
        <v>20</v>
      </c>
      <c r="F80" s="402">
        <f>F81</f>
        <v>831218</v>
      </c>
      <c r="G80" s="402">
        <f>G81</f>
        <v>864467</v>
      </c>
    </row>
    <row r="81" spans="1:8" hidden="1" outlineLevel="7" x14ac:dyDescent="0.25">
      <c r="A81" s="423" t="s">
        <v>21</v>
      </c>
      <c r="B81" s="425" t="s">
        <v>455</v>
      </c>
      <c r="C81" s="425" t="s">
        <v>24</v>
      </c>
      <c r="D81" s="425" t="s">
        <v>130</v>
      </c>
      <c r="E81" s="401" t="s">
        <v>22</v>
      </c>
      <c r="F81" s="345">
        <v>831218</v>
      </c>
      <c r="G81" s="345">
        <v>864467</v>
      </c>
    </row>
    <row r="82" spans="1:8" hidden="1" outlineLevel="7" x14ac:dyDescent="0.25">
      <c r="A82" s="423" t="s">
        <v>670</v>
      </c>
      <c r="B82" s="425" t="s">
        <v>455</v>
      </c>
      <c r="C82" s="425" t="s">
        <v>24</v>
      </c>
      <c r="D82" s="425" t="s">
        <v>624</v>
      </c>
      <c r="E82" s="425" t="s">
        <v>6</v>
      </c>
      <c r="F82" s="402">
        <f>F83</f>
        <v>1463844</v>
      </c>
      <c r="G82" s="402">
        <f>G83</f>
        <v>1463844</v>
      </c>
    </row>
    <row r="83" spans="1:8" ht="36.700000000000003" hidden="1" outlineLevel="7" x14ac:dyDescent="0.25">
      <c r="A83" s="423" t="s">
        <v>622</v>
      </c>
      <c r="B83" s="425" t="s">
        <v>455</v>
      </c>
      <c r="C83" s="425" t="s">
        <v>24</v>
      </c>
      <c r="D83" s="425" t="s">
        <v>621</v>
      </c>
      <c r="E83" s="425" t="s">
        <v>6</v>
      </c>
      <c r="F83" s="402">
        <f>F86+F84</f>
        <v>1463844</v>
      </c>
      <c r="G83" s="402">
        <f>G86+G84</f>
        <v>1463844</v>
      </c>
    </row>
    <row r="84" spans="1:8" ht="94.75" hidden="1" customHeight="1" outlineLevel="7" x14ac:dyDescent="0.25">
      <c r="A84" s="423" t="s">
        <v>11</v>
      </c>
      <c r="B84" s="425" t="s">
        <v>455</v>
      </c>
      <c r="C84" s="425" t="s">
        <v>24</v>
      </c>
      <c r="D84" s="425" t="s">
        <v>621</v>
      </c>
      <c r="E84" s="425" t="s">
        <v>12</v>
      </c>
      <c r="F84" s="402">
        <f>F85</f>
        <v>128744</v>
      </c>
      <c r="G84" s="402">
        <f>G85</f>
        <v>128744</v>
      </c>
    </row>
    <row r="85" spans="1:8" ht="36.700000000000003" hidden="1" outlineLevel="7" x14ac:dyDescent="0.25">
      <c r="A85" s="423" t="s">
        <v>13</v>
      </c>
      <c r="B85" s="425" t="s">
        <v>455</v>
      </c>
      <c r="C85" s="425" t="s">
        <v>24</v>
      </c>
      <c r="D85" s="425" t="s">
        <v>621</v>
      </c>
      <c r="E85" s="425" t="s">
        <v>14</v>
      </c>
      <c r="F85" s="402">
        <v>128744</v>
      </c>
      <c r="G85" s="402">
        <v>128744</v>
      </c>
    </row>
    <row r="86" spans="1:8" ht="36.700000000000003" hidden="1" outlineLevel="7" x14ac:dyDescent="0.25">
      <c r="A86" s="423" t="s">
        <v>15</v>
      </c>
      <c r="B86" s="425" t="s">
        <v>455</v>
      </c>
      <c r="C86" s="425" t="s">
        <v>24</v>
      </c>
      <c r="D86" s="425" t="s">
        <v>621</v>
      </c>
      <c r="E86" s="425" t="s">
        <v>16</v>
      </c>
      <c r="F86" s="402">
        <f>F87</f>
        <v>1335100</v>
      </c>
      <c r="G86" s="402">
        <f>G87</f>
        <v>1335100</v>
      </c>
    </row>
    <row r="87" spans="1:8" ht="36.700000000000003" hidden="1" outlineLevel="7" x14ac:dyDescent="0.25">
      <c r="A87" s="423" t="s">
        <v>17</v>
      </c>
      <c r="B87" s="425" t="s">
        <v>455</v>
      </c>
      <c r="C87" s="425" t="s">
        <v>24</v>
      </c>
      <c r="D87" s="425" t="s">
        <v>621</v>
      </c>
      <c r="E87" s="425" t="s">
        <v>18</v>
      </c>
      <c r="F87" s="345">
        <v>1335100</v>
      </c>
      <c r="G87" s="345">
        <v>1335100</v>
      </c>
    </row>
    <row r="88" spans="1:8" s="76" customFormat="1" ht="55.05" hidden="1" outlineLevel="7" x14ac:dyDescent="0.25">
      <c r="A88" s="45" t="s">
        <v>1152</v>
      </c>
      <c r="B88" s="387" t="s">
        <v>455</v>
      </c>
      <c r="C88" s="387" t="s">
        <v>24</v>
      </c>
      <c r="D88" s="387" t="s">
        <v>131</v>
      </c>
      <c r="E88" s="403" t="s">
        <v>6</v>
      </c>
      <c r="F88" s="347">
        <f t="shared" ref="F88:G91" si="6">F89</f>
        <v>50000</v>
      </c>
      <c r="G88" s="347">
        <f t="shared" si="6"/>
        <v>50000</v>
      </c>
      <c r="H88" s="75"/>
    </row>
    <row r="89" spans="1:8" hidden="1" outlineLevel="7" x14ac:dyDescent="0.25">
      <c r="A89" s="423" t="s">
        <v>312</v>
      </c>
      <c r="B89" s="425" t="s">
        <v>455</v>
      </c>
      <c r="C89" s="425" t="s">
        <v>24</v>
      </c>
      <c r="D89" s="425" t="s">
        <v>230</v>
      </c>
      <c r="E89" s="401" t="s">
        <v>6</v>
      </c>
      <c r="F89" s="402">
        <f t="shared" si="6"/>
        <v>50000</v>
      </c>
      <c r="G89" s="402">
        <f t="shared" si="6"/>
        <v>50000</v>
      </c>
    </row>
    <row r="90" spans="1:8" ht="36.700000000000003" hidden="1" outlineLevel="7" x14ac:dyDescent="0.25">
      <c r="A90" s="423" t="s">
        <v>313</v>
      </c>
      <c r="B90" s="425" t="s">
        <v>455</v>
      </c>
      <c r="C90" s="425" t="s">
        <v>24</v>
      </c>
      <c r="D90" s="425" t="s">
        <v>314</v>
      </c>
      <c r="E90" s="401" t="s">
        <v>6</v>
      </c>
      <c r="F90" s="402">
        <f t="shared" si="6"/>
        <v>50000</v>
      </c>
      <c r="G90" s="402">
        <f t="shared" si="6"/>
        <v>50000</v>
      </c>
    </row>
    <row r="91" spans="1:8" ht="36.700000000000003" hidden="1" outlineLevel="7" x14ac:dyDescent="0.25">
      <c r="A91" s="423" t="s">
        <v>15</v>
      </c>
      <c r="B91" s="425" t="s">
        <v>455</v>
      </c>
      <c r="C91" s="425" t="s">
        <v>24</v>
      </c>
      <c r="D91" s="425" t="s">
        <v>314</v>
      </c>
      <c r="E91" s="401" t="s">
        <v>16</v>
      </c>
      <c r="F91" s="402">
        <f t="shared" si="6"/>
        <v>50000</v>
      </c>
      <c r="G91" s="402">
        <f t="shared" si="6"/>
        <v>50000</v>
      </c>
    </row>
    <row r="92" spans="1:8" ht="21.25" hidden="1" customHeight="1" outlineLevel="7" x14ac:dyDescent="0.25">
      <c r="A92" s="423" t="s">
        <v>17</v>
      </c>
      <c r="B92" s="425" t="s">
        <v>455</v>
      </c>
      <c r="C92" s="425" t="s">
        <v>24</v>
      </c>
      <c r="D92" s="425" t="s">
        <v>314</v>
      </c>
      <c r="E92" s="401" t="s">
        <v>18</v>
      </c>
      <c r="F92" s="345">
        <v>50000</v>
      </c>
      <c r="G92" s="345">
        <v>50000</v>
      </c>
    </row>
    <row r="93" spans="1:8" s="76" customFormat="1" ht="59.3" hidden="1" customHeight="1" outlineLevel="7" x14ac:dyDescent="0.25">
      <c r="A93" s="45" t="s">
        <v>1150</v>
      </c>
      <c r="B93" s="387" t="s">
        <v>455</v>
      </c>
      <c r="C93" s="387" t="s">
        <v>24</v>
      </c>
      <c r="D93" s="387" t="s">
        <v>305</v>
      </c>
      <c r="E93" s="403" t="s">
        <v>6</v>
      </c>
      <c r="F93" s="347">
        <f>F94</f>
        <v>729600</v>
      </c>
      <c r="G93" s="347">
        <f>G94</f>
        <v>822780</v>
      </c>
      <c r="H93" s="75"/>
    </row>
    <row r="94" spans="1:8" ht="42.8" hidden="1" customHeight="1" outlineLevel="7" x14ac:dyDescent="0.25">
      <c r="A94" s="423" t="s">
        <v>315</v>
      </c>
      <c r="B94" s="425" t="s">
        <v>455</v>
      </c>
      <c r="C94" s="425" t="s">
        <v>24</v>
      </c>
      <c r="D94" s="425" t="s">
        <v>306</v>
      </c>
      <c r="E94" s="401" t="s">
        <v>6</v>
      </c>
      <c r="F94" s="402">
        <f>F95+F98</f>
        <v>729600</v>
      </c>
      <c r="G94" s="402">
        <f>G95+G98</f>
        <v>822780</v>
      </c>
    </row>
    <row r="95" spans="1:8" ht="37.549999999999997" hidden="1" customHeight="1" outlineLevel="7" x14ac:dyDescent="0.25">
      <c r="A95" s="423" t="s">
        <v>316</v>
      </c>
      <c r="B95" s="425" t="s">
        <v>455</v>
      </c>
      <c r="C95" s="425" t="s">
        <v>24</v>
      </c>
      <c r="D95" s="425" t="s">
        <v>317</v>
      </c>
      <c r="E95" s="401" t="s">
        <v>6</v>
      </c>
      <c r="F95" s="402">
        <f>F96</f>
        <v>697320</v>
      </c>
      <c r="G95" s="402">
        <f>G96</f>
        <v>789210</v>
      </c>
    </row>
    <row r="96" spans="1:8" ht="36.700000000000003" hidden="1" outlineLevel="7" x14ac:dyDescent="0.25">
      <c r="A96" s="423" t="s">
        <v>15</v>
      </c>
      <c r="B96" s="425" t="s">
        <v>455</v>
      </c>
      <c r="C96" s="425" t="s">
        <v>24</v>
      </c>
      <c r="D96" s="425" t="s">
        <v>317</v>
      </c>
      <c r="E96" s="401" t="s">
        <v>16</v>
      </c>
      <c r="F96" s="402">
        <f>F97</f>
        <v>697320</v>
      </c>
      <c r="G96" s="402">
        <f>G97</f>
        <v>789210</v>
      </c>
    </row>
    <row r="97" spans="1:8" ht="18.7" hidden="1" customHeight="1" outlineLevel="7" x14ac:dyDescent="0.25">
      <c r="A97" s="423" t="s">
        <v>17</v>
      </c>
      <c r="B97" s="425" t="s">
        <v>455</v>
      </c>
      <c r="C97" s="425" t="s">
        <v>24</v>
      </c>
      <c r="D97" s="425" t="s">
        <v>317</v>
      </c>
      <c r="E97" s="401" t="s">
        <v>18</v>
      </c>
      <c r="F97" s="345">
        <f>2297320-1600000</f>
        <v>697320</v>
      </c>
      <c r="G97" s="345">
        <f>2389210-1600000</f>
        <v>789210</v>
      </c>
    </row>
    <row r="98" spans="1:8" ht="36.700000000000003" hidden="1" outlineLevel="7" x14ac:dyDescent="0.25">
      <c r="A98" s="423" t="s">
        <v>318</v>
      </c>
      <c r="B98" s="425" t="s">
        <v>455</v>
      </c>
      <c r="C98" s="425" t="s">
        <v>24</v>
      </c>
      <c r="D98" s="425" t="s">
        <v>307</v>
      </c>
      <c r="E98" s="401" t="s">
        <v>6</v>
      </c>
      <c r="F98" s="402">
        <f>F99</f>
        <v>32280</v>
      </c>
      <c r="G98" s="402">
        <f>G99</f>
        <v>33570</v>
      </c>
    </row>
    <row r="99" spans="1:8" ht="36.700000000000003" hidden="1" outlineLevel="7" x14ac:dyDescent="0.25">
      <c r="A99" s="423" t="s">
        <v>15</v>
      </c>
      <c r="B99" s="425" t="s">
        <v>455</v>
      </c>
      <c r="C99" s="425" t="s">
        <v>24</v>
      </c>
      <c r="D99" s="425" t="s">
        <v>307</v>
      </c>
      <c r="E99" s="401" t="s">
        <v>16</v>
      </c>
      <c r="F99" s="402">
        <f>F100</f>
        <v>32280</v>
      </c>
      <c r="G99" s="402">
        <f>G100</f>
        <v>33570</v>
      </c>
    </row>
    <row r="100" spans="1:8" ht="19.55" hidden="1" customHeight="1" outlineLevel="7" x14ac:dyDescent="0.25">
      <c r="A100" s="423" t="s">
        <v>17</v>
      </c>
      <c r="B100" s="425" t="s">
        <v>455</v>
      </c>
      <c r="C100" s="425" t="s">
        <v>24</v>
      </c>
      <c r="D100" s="425" t="s">
        <v>307</v>
      </c>
      <c r="E100" s="401" t="s">
        <v>18</v>
      </c>
      <c r="F100" s="402">
        <v>32280</v>
      </c>
      <c r="G100" s="402">
        <v>33570</v>
      </c>
    </row>
    <row r="101" spans="1:8" s="76" customFormat="1" ht="55.05" hidden="1" outlineLevel="7" x14ac:dyDescent="0.25">
      <c r="A101" s="45" t="s">
        <v>1153</v>
      </c>
      <c r="B101" s="387" t="s">
        <v>455</v>
      </c>
      <c r="C101" s="387" t="s">
        <v>24</v>
      </c>
      <c r="D101" s="387" t="s">
        <v>319</v>
      </c>
      <c r="E101" s="403" t="s">
        <v>6</v>
      </c>
      <c r="F101" s="347">
        <f>F102</f>
        <v>600000</v>
      </c>
      <c r="G101" s="347">
        <f>G102</f>
        <v>600000</v>
      </c>
      <c r="H101" s="75"/>
    </row>
    <row r="102" spans="1:8" ht="42.8" hidden="1" customHeight="1" outlineLevel="7" x14ac:dyDescent="0.25">
      <c r="A102" s="423" t="s">
        <v>212</v>
      </c>
      <c r="B102" s="425" t="s">
        <v>455</v>
      </c>
      <c r="C102" s="425" t="s">
        <v>24</v>
      </c>
      <c r="D102" s="425" t="s">
        <v>320</v>
      </c>
      <c r="E102" s="401" t="s">
        <v>6</v>
      </c>
      <c r="F102" s="402">
        <f>F103</f>
        <v>600000</v>
      </c>
      <c r="G102" s="402">
        <f>G103</f>
        <v>600000</v>
      </c>
    </row>
    <row r="103" spans="1:8" ht="73.400000000000006" hidden="1" outlineLevel="5" x14ac:dyDescent="0.25">
      <c r="A103" s="423" t="s">
        <v>32</v>
      </c>
      <c r="B103" s="425" t="s">
        <v>455</v>
      </c>
      <c r="C103" s="425" t="s">
        <v>24</v>
      </c>
      <c r="D103" s="425" t="s">
        <v>321</v>
      </c>
      <c r="E103" s="401" t="s">
        <v>6</v>
      </c>
      <c r="F103" s="402">
        <f>F104+F106</f>
        <v>600000</v>
      </c>
      <c r="G103" s="402">
        <f>G104+G106</f>
        <v>600000</v>
      </c>
    </row>
    <row r="104" spans="1:8" ht="36.700000000000003" hidden="1" outlineLevel="6" x14ac:dyDescent="0.25">
      <c r="A104" s="423" t="s">
        <v>15</v>
      </c>
      <c r="B104" s="425" t="s">
        <v>455</v>
      </c>
      <c r="C104" s="425" t="s">
        <v>24</v>
      </c>
      <c r="D104" s="425" t="s">
        <v>321</v>
      </c>
      <c r="E104" s="401" t="s">
        <v>16</v>
      </c>
      <c r="F104" s="402">
        <f>F105</f>
        <v>460000</v>
      </c>
      <c r="G104" s="402">
        <f>G105</f>
        <v>460000</v>
      </c>
    </row>
    <row r="105" spans="1:8" ht="20.25" hidden="1" customHeight="1" outlineLevel="7" x14ac:dyDescent="0.25">
      <c r="A105" s="423" t="s">
        <v>17</v>
      </c>
      <c r="B105" s="425" t="s">
        <v>455</v>
      </c>
      <c r="C105" s="425" t="s">
        <v>24</v>
      </c>
      <c r="D105" s="425" t="s">
        <v>321</v>
      </c>
      <c r="E105" s="401" t="s">
        <v>18</v>
      </c>
      <c r="F105" s="402">
        <v>460000</v>
      </c>
      <c r="G105" s="402">
        <v>460000</v>
      </c>
    </row>
    <row r="106" spans="1:8" hidden="1" outlineLevel="6" x14ac:dyDescent="0.25">
      <c r="A106" s="423" t="s">
        <v>19</v>
      </c>
      <c r="B106" s="425" t="s">
        <v>455</v>
      </c>
      <c r="C106" s="425" t="s">
        <v>24</v>
      </c>
      <c r="D106" s="425" t="s">
        <v>321</v>
      </c>
      <c r="E106" s="401" t="s">
        <v>20</v>
      </c>
      <c r="F106" s="402">
        <f>F107</f>
        <v>140000</v>
      </c>
      <c r="G106" s="402">
        <f>G107</f>
        <v>140000</v>
      </c>
    </row>
    <row r="107" spans="1:8" hidden="1" outlineLevel="7" x14ac:dyDescent="0.25">
      <c r="A107" s="423" t="s">
        <v>21</v>
      </c>
      <c r="B107" s="425" t="s">
        <v>455</v>
      </c>
      <c r="C107" s="425" t="s">
        <v>24</v>
      </c>
      <c r="D107" s="425" t="s">
        <v>321</v>
      </c>
      <c r="E107" s="401" t="s">
        <v>22</v>
      </c>
      <c r="F107" s="345">
        <v>140000</v>
      </c>
      <c r="G107" s="345">
        <v>140000</v>
      </c>
    </row>
    <row r="108" spans="1:8" ht="55.05" hidden="1" outlineLevel="7" x14ac:dyDescent="0.25">
      <c r="A108" s="45" t="s">
        <v>1154</v>
      </c>
      <c r="B108" s="387" t="s">
        <v>455</v>
      </c>
      <c r="C108" s="387" t="s">
        <v>24</v>
      </c>
      <c r="D108" s="387" t="s">
        <v>819</v>
      </c>
      <c r="E108" s="387" t="s">
        <v>6</v>
      </c>
      <c r="F108" s="345">
        <f t="shared" ref="F108:G111" si="7">F109</f>
        <v>100000</v>
      </c>
      <c r="G108" s="345">
        <f t="shared" si="7"/>
        <v>100000</v>
      </c>
    </row>
    <row r="109" spans="1:8" ht="36.700000000000003" hidden="1" outlineLevel="7" x14ac:dyDescent="0.25">
      <c r="A109" s="423" t="s">
        <v>818</v>
      </c>
      <c r="B109" s="425" t="s">
        <v>455</v>
      </c>
      <c r="C109" s="425" t="s">
        <v>24</v>
      </c>
      <c r="D109" s="425" t="s">
        <v>820</v>
      </c>
      <c r="E109" s="425" t="s">
        <v>6</v>
      </c>
      <c r="F109" s="345">
        <f t="shared" si="7"/>
        <v>100000</v>
      </c>
      <c r="G109" s="345">
        <f t="shared" si="7"/>
        <v>100000</v>
      </c>
    </row>
    <row r="110" spans="1:8" hidden="1" outlineLevel="7" x14ac:dyDescent="0.25">
      <c r="A110" s="423" t="s">
        <v>310</v>
      </c>
      <c r="B110" s="425" t="s">
        <v>455</v>
      </c>
      <c r="C110" s="425" t="s">
        <v>24</v>
      </c>
      <c r="D110" s="425" t="s">
        <v>821</v>
      </c>
      <c r="E110" s="425" t="s">
        <v>6</v>
      </c>
      <c r="F110" s="345">
        <f t="shared" si="7"/>
        <v>100000</v>
      </c>
      <c r="G110" s="345">
        <f t="shared" si="7"/>
        <v>100000</v>
      </c>
    </row>
    <row r="111" spans="1:8" ht="36.700000000000003" hidden="1" outlineLevel="7" x14ac:dyDescent="0.25">
      <c r="A111" s="423" t="s">
        <v>15</v>
      </c>
      <c r="B111" s="425" t="s">
        <v>455</v>
      </c>
      <c r="C111" s="425" t="s">
        <v>24</v>
      </c>
      <c r="D111" s="425" t="s">
        <v>821</v>
      </c>
      <c r="E111" s="425" t="s">
        <v>16</v>
      </c>
      <c r="F111" s="345">
        <f t="shared" si="7"/>
        <v>100000</v>
      </c>
      <c r="G111" s="345">
        <f t="shared" si="7"/>
        <v>100000</v>
      </c>
    </row>
    <row r="112" spans="1:8" ht="36.700000000000003" hidden="1" outlineLevel="7" x14ac:dyDescent="0.25">
      <c r="A112" s="423" t="s">
        <v>17</v>
      </c>
      <c r="B112" s="425" t="s">
        <v>455</v>
      </c>
      <c r="C112" s="425" t="s">
        <v>24</v>
      </c>
      <c r="D112" s="425" t="s">
        <v>821</v>
      </c>
      <c r="E112" s="425" t="s">
        <v>18</v>
      </c>
      <c r="F112" s="345">
        <v>100000</v>
      </c>
      <c r="G112" s="345">
        <v>100000</v>
      </c>
    </row>
    <row r="113" spans="1:12" ht="36.700000000000003" hidden="1" outlineLevel="3" x14ac:dyDescent="0.25">
      <c r="A113" s="423" t="s">
        <v>132</v>
      </c>
      <c r="B113" s="425" t="s">
        <v>455</v>
      </c>
      <c r="C113" s="425" t="s">
        <v>24</v>
      </c>
      <c r="D113" s="425" t="s">
        <v>127</v>
      </c>
      <c r="E113" s="401" t="s">
        <v>6</v>
      </c>
      <c r="F113" s="402">
        <f>F133+F114+F130+F119</f>
        <v>47947994.269999996</v>
      </c>
      <c r="G113" s="402">
        <f>G133+G114+G130+G119</f>
        <v>48485392.07</v>
      </c>
    </row>
    <row r="114" spans="1:12" ht="51.65" hidden="1" customHeight="1" outlineLevel="5" x14ac:dyDescent="0.25">
      <c r="A114" s="423" t="s">
        <v>449</v>
      </c>
      <c r="B114" s="425" t="s">
        <v>455</v>
      </c>
      <c r="C114" s="425" t="s">
        <v>24</v>
      </c>
      <c r="D114" s="425" t="s">
        <v>450</v>
      </c>
      <c r="E114" s="401" t="s">
        <v>6</v>
      </c>
      <c r="F114" s="402">
        <f>F115+F117</f>
        <v>38146909</v>
      </c>
      <c r="G114" s="402">
        <f>G115+G117</f>
        <v>37977200</v>
      </c>
    </row>
    <row r="115" spans="1:12" ht="42.45" hidden="1" customHeight="1" outlineLevel="6" x14ac:dyDescent="0.25">
      <c r="A115" s="423" t="s">
        <v>11</v>
      </c>
      <c r="B115" s="425" t="s">
        <v>455</v>
      </c>
      <c r="C115" s="425" t="s">
        <v>24</v>
      </c>
      <c r="D115" s="425" t="s">
        <v>450</v>
      </c>
      <c r="E115" s="401" t="s">
        <v>12</v>
      </c>
      <c r="F115" s="402">
        <f>F116</f>
        <v>38126909</v>
      </c>
      <c r="G115" s="402">
        <f>G116</f>
        <v>37957200</v>
      </c>
    </row>
    <row r="116" spans="1:12" s="67" customFormat="1" ht="52.3" hidden="1" customHeight="1" outlineLevel="7" x14ac:dyDescent="0.25">
      <c r="A116" s="423" t="s">
        <v>13</v>
      </c>
      <c r="B116" s="425" t="s">
        <v>455</v>
      </c>
      <c r="C116" s="425" t="s">
        <v>24</v>
      </c>
      <c r="D116" s="425" t="s">
        <v>450</v>
      </c>
      <c r="E116" s="401" t="s">
        <v>14</v>
      </c>
      <c r="F116" s="402">
        <f>43026909-400000-4500000</f>
        <v>38126909</v>
      </c>
      <c r="G116" s="402">
        <f>43457200-1000000-4500000</f>
        <v>37957200</v>
      </c>
      <c r="I116" s="1"/>
      <c r="J116" s="1"/>
      <c r="K116" s="1"/>
      <c r="L116" s="1"/>
    </row>
    <row r="117" spans="1:12" s="67" customFormat="1" ht="53.7" hidden="1" customHeight="1" outlineLevel="7" x14ac:dyDescent="0.25">
      <c r="A117" s="423" t="s">
        <v>15</v>
      </c>
      <c r="B117" s="425" t="s">
        <v>455</v>
      </c>
      <c r="C117" s="425" t="s">
        <v>24</v>
      </c>
      <c r="D117" s="425" t="s">
        <v>450</v>
      </c>
      <c r="E117" s="401" t="s">
        <v>16</v>
      </c>
      <c r="F117" s="345">
        <f>F118</f>
        <v>20000</v>
      </c>
      <c r="G117" s="345">
        <f>G118</f>
        <v>20000</v>
      </c>
      <c r="I117" s="1"/>
      <c r="J117" s="1"/>
      <c r="K117" s="1"/>
      <c r="L117" s="1"/>
    </row>
    <row r="118" spans="1:12" s="67" customFormat="1" ht="39.4" hidden="1" customHeight="1" outlineLevel="7" x14ac:dyDescent="0.25">
      <c r="A118" s="423" t="s">
        <v>17</v>
      </c>
      <c r="B118" s="425" t="s">
        <v>455</v>
      </c>
      <c r="C118" s="425" t="s">
        <v>24</v>
      </c>
      <c r="D118" s="425" t="s">
        <v>450</v>
      </c>
      <c r="E118" s="401" t="s">
        <v>18</v>
      </c>
      <c r="F118" s="402">
        <v>20000</v>
      </c>
      <c r="G118" s="402">
        <v>20000</v>
      </c>
      <c r="I118" s="1"/>
      <c r="J118" s="1"/>
      <c r="K118" s="1"/>
      <c r="L118" s="1"/>
    </row>
    <row r="119" spans="1:12" s="67" customFormat="1" ht="39.25" hidden="1" customHeight="1" outlineLevel="7" x14ac:dyDescent="0.25">
      <c r="A119" s="423" t="s">
        <v>620</v>
      </c>
      <c r="B119" s="425" t="s">
        <v>455</v>
      </c>
      <c r="C119" s="425" t="s">
        <v>24</v>
      </c>
      <c r="D119" s="425" t="s">
        <v>618</v>
      </c>
      <c r="E119" s="425" t="s">
        <v>6</v>
      </c>
      <c r="F119" s="402">
        <f>F122+F120</f>
        <v>0</v>
      </c>
      <c r="G119" s="402">
        <f>G122+G120</f>
        <v>0</v>
      </c>
      <c r="I119" s="1"/>
      <c r="J119" s="1"/>
      <c r="K119" s="1"/>
      <c r="L119" s="1"/>
    </row>
    <row r="120" spans="1:12" s="67" customFormat="1" ht="39.25" hidden="1" customHeight="1" outlineLevel="7" x14ac:dyDescent="0.25">
      <c r="A120" s="423" t="s">
        <v>15</v>
      </c>
      <c r="B120" s="425" t="s">
        <v>455</v>
      </c>
      <c r="C120" s="425" t="s">
        <v>24</v>
      </c>
      <c r="D120" s="425" t="s">
        <v>618</v>
      </c>
      <c r="E120" s="425" t="s">
        <v>16</v>
      </c>
      <c r="F120" s="402">
        <f>F121</f>
        <v>0</v>
      </c>
      <c r="G120" s="402">
        <f>G121</f>
        <v>0</v>
      </c>
      <c r="I120" s="1"/>
      <c r="J120" s="1"/>
      <c r="K120" s="1"/>
      <c r="L120" s="1"/>
    </row>
    <row r="121" spans="1:12" s="67" customFormat="1" ht="39.25" hidden="1" customHeight="1" outlineLevel="7" x14ac:dyDescent="0.25">
      <c r="A121" s="423" t="s">
        <v>17</v>
      </c>
      <c r="B121" s="425" t="s">
        <v>455</v>
      </c>
      <c r="C121" s="425" t="s">
        <v>24</v>
      </c>
      <c r="D121" s="425" t="s">
        <v>618</v>
      </c>
      <c r="E121" s="425" t="s">
        <v>18</v>
      </c>
      <c r="F121" s="402">
        <v>0</v>
      </c>
      <c r="G121" s="402">
        <v>0</v>
      </c>
      <c r="I121" s="1"/>
      <c r="J121" s="1"/>
      <c r="K121" s="1"/>
      <c r="L121" s="1"/>
    </row>
    <row r="122" spans="1:12" s="67" customFormat="1" ht="28.55" hidden="1" customHeight="1" outlineLevel="7" x14ac:dyDescent="0.25">
      <c r="A122" s="423" t="s">
        <v>19</v>
      </c>
      <c r="B122" s="425" t="s">
        <v>455</v>
      </c>
      <c r="C122" s="425" t="s">
        <v>24</v>
      </c>
      <c r="D122" s="425" t="s">
        <v>618</v>
      </c>
      <c r="E122" s="425" t="s">
        <v>20</v>
      </c>
      <c r="F122" s="402">
        <f>F123+F124</f>
        <v>0</v>
      </c>
      <c r="G122" s="402">
        <f>G123+G124</f>
        <v>0</v>
      </c>
      <c r="I122" s="1"/>
      <c r="J122" s="1"/>
      <c r="K122" s="1"/>
      <c r="L122" s="1"/>
    </row>
    <row r="123" spans="1:12" s="67" customFormat="1" ht="18.7" hidden="1" customHeight="1" outlineLevel="7" x14ac:dyDescent="0.25">
      <c r="A123" s="423" t="s">
        <v>646</v>
      </c>
      <c r="B123" s="425" t="s">
        <v>455</v>
      </c>
      <c r="C123" s="425" t="s">
        <v>24</v>
      </c>
      <c r="D123" s="425" t="s">
        <v>618</v>
      </c>
      <c r="E123" s="425" t="s">
        <v>647</v>
      </c>
      <c r="F123" s="402">
        <v>0</v>
      </c>
      <c r="G123" s="402">
        <v>0</v>
      </c>
      <c r="I123" s="1"/>
      <c r="J123" s="1"/>
      <c r="K123" s="1"/>
      <c r="L123" s="1"/>
    </row>
    <row r="124" spans="1:12" s="67" customFormat="1" ht="18" hidden="1" customHeight="1" outlineLevel="7" x14ac:dyDescent="0.25">
      <c r="A124" s="423" t="s">
        <v>619</v>
      </c>
      <c r="B124" s="425" t="s">
        <v>455</v>
      </c>
      <c r="C124" s="425" t="s">
        <v>24</v>
      </c>
      <c r="D124" s="425" t="s">
        <v>618</v>
      </c>
      <c r="E124" s="425" t="s">
        <v>22</v>
      </c>
      <c r="F124" s="402"/>
      <c r="G124" s="402"/>
      <c r="I124" s="1"/>
      <c r="J124" s="1"/>
      <c r="K124" s="1"/>
      <c r="L124" s="1"/>
    </row>
    <row r="125" spans="1:12" s="67" customFormat="1" ht="36" hidden="1" customHeight="1" outlineLevel="7" x14ac:dyDescent="0.25">
      <c r="A125" s="423" t="s">
        <v>544</v>
      </c>
      <c r="B125" s="425" t="s">
        <v>455</v>
      </c>
      <c r="C125" s="425" t="s">
        <v>24</v>
      </c>
      <c r="D125" s="425" t="s">
        <v>545</v>
      </c>
      <c r="E125" s="425" t="s">
        <v>6</v>
      </c>
      <c r="F125" s="402">
        <f>F126</f>
        <v>0</v>
      </c>
      <c r="G125" s="402">
        <f>G126</f>
        <v>0</v>
      </c>
      <c r="I125" s="1"/>
      <c r="J125" s="1"/>
      <c r="K125" s="1"/>
      <c r="L125" s="1"/>
    </row>
    <row r="126" spans="1:12" s="67" customFormat="1" ht="18.7" hidden="1" customHeight="1" outlineLevel="7" x14ac:dyDescent="0.25">
      <c r="A126" s="423" t="s">
        <v>15</v>
      </c>
      <c r="B126" s="425" t="s">
        <v>455</v>
      </c>
      <c r="C126" s="425" t="s">
        <v>24</v>
      </c>
      <c r="D126" s="425" t="s">
        <v>545</v>
      </c>
      <c r="E126" s="425" t="s">
        <v>16</v>
      </c>
      <c r="F126" s="402">
        <f>F127</f>
        <v>0</v>
      </c>
      <c r="G126" s="402">
        <f>G127</f>
        <v>0</v>
      </c>
      <c r="I126" s="1"/>
      <c r="J126" s="1"/>
      <c r="K126" s="1"/>
      <c r="L126" s="1"/>
    </row>
    <row r="127" spans="1:12" s="67" customFormat="1" ht="18.7" hidden="1" customHeight="1" outlineLevel="7" x14ac:dyDescent="0.25">
      <c r="A127" s="423" t="s">
        <v>17</v>
      </c>
      <c r="B127" s="425" t="s">
        <v>455</v>
      </c>
      <c r="C127" s="425" t="s">
        <v>24</v>
      </c>
      <c r="D127" s="425" t="s">
        <v>545</v>
      </c>
      <c r="E127" s="425" t="s">
        <v>18</v>
      </c>
      <c r="F127" s="402"/>
      <c r="G127" s="402"/>
      <c r="I127" s="1"/>
      <c r="J127" s="1"/>
      <c r="K127" s="1"/>
      <c r="L127" s="1"/>
    </row>
    <row r="128" spans="1:12" s="67" customFormat="1" ht="18.7" hidden="1" customHeight="1" outlineLevel="7" x14ac:dyDescent="0.25">
      <c r="A128" s="423" t="s">
        <v>90</v>
      </c>
      <c r="B128" s="425" t="s">
        <v>455</v>
      </c>
      <c r="C128" s="425" t="s">
        <v>24</v>
      </c>
      <c r="D128" s="425" t="s">
        <v>545</v>
      </c>
      <c r="E128" s="425" t="s">
        <v>91</v>
      </c>
      <c r="F128" s="402">
        <f>F129</f>
        <v>0</v>
      </c>
      <c r="G128" s="402">
        <f>G129</f>
        <v>0</v>
      </c>
      <c r="I128" s="1"/>
      <c r="J128" s="1"/>
      <c r="K128" s="1"/>
      <c r="L128" s="1"/>
    </row>
    <row r="129" spans="1:12" s="67" customFormat="1" ht="38.25" hidden="1" customHeight="1" outlineLevel="7" x14ac:dyDescent="0.25">
      <c r="A129" s="423" t="s">
        <v>97</v>
      </c>
      <c r="B129" s="425" t="s">
        <v>455</v>
      </c>
      <c r="C129" s="425" t="s">
        <v>24</v>
      </c>
      <c r="D129" s="425" t="s">
        <v>545</v>
      </c>
      <c r="E129" s="425" t="s">
        <v>98</v>
      </c>
      <c r="F129" s="402">
        <v>0</v>
      </c>
      <c r="G129" s="402">
        <v>0</v>
      </c>
      <c r="I129" s="1"/>
      <c r="J129" s="1"/>
      <c r="K129" s="1"/>
      <c r="L129" s="1"/>
    </row>
    <row r="130" spans="1:12" s="67" customFormat="1" ht="40.75" hidden="1" customHeight="1" outlineLevel="7" x14ac:dyDescent="0.25">
      <c r="A130" s="423" t="s">
        <v>458</v>
      </c>
      <c r="B130" s="425" t="s">
        <v>455</v>
      </c>
      <c r="C130" s="425" t="s">
        <v>24</v>
      </c>
      <c r="D130" s="425" t="s">
        <v>457</v>
      </c>
      <c r="E130" s="401" t="s">
        <v>6</v>
      </c>
      <c r="F130" s="345">
        <f>F131</f>
        <v>250000</v>
      </c>
      <c r="G130" s="345">
        <f>G131</f>
        <v>250000</v>
      </c>
      <c r="I130" s="1"/>
      <c r="J130" s="1"/>
      <c r="K130" s="1"/>
      <c r="L130" s="1"/>
    </row>
    <row r="131" spans="1:12" s="67" customFormat="1" ht="36.700000000000003" hidden="1" outlineLevel="7" x14ac:dyDescent="0.25">
      <c r="A131" s="423" t="s">
        <v>15</v>
      </c>
      <c r="B131" s="425" t="s">
        <v>455</v>
      </c>
      <c r="C131" s="425" t="s">
        <v>24</v>
      </c>
      <c r="D131" s="425" t="s">
        <v>457</v>
      </c>
      <c r="E131" s="401" t="s">
        <v>16</v>
      </c>
      <c r="F131" s="345">
        <f>F132</f>
        <v>250000</v>
      </c>
      <c r="G131" s="345">
        <f>G132</f>
        <v>250000</v>
      </c>
      <c r="I131" s="1"/>
      <c r="J131" s="1"/>
      <c r="K131" s="1"/>
      <c r="L131" s="1"/>
    </row>
    <row r="132" spans="1:12" s="67" customFormat="1" ht="20.25" hidden="1" customHeight="1" outlineLevel="7" x14ac:dyDescent="0.25">
      <c r="A132" s="423" t="s">
        <v>17</v>
      </c>
      <c r="B132" s="425" t="s">
        <v>455</v>
      </c>
      <c r="C132" s="425" t="s">
        <v>24</v>
      </c>
      <c r="D132" s="425" t="s">
        <v>457</v>
      </c>
      <c r="E132" s="401" t="s">
        <v>18</v>
      </c>
      <c r="F132" s="402">
        <v>250000</v>
      </c>
      <c r="G132" s="402">
        <v>250000</v>
      </c>
      <c r="I132" s="1"/>
      <c r="J132" s="1"/>
      <c r="K132" s="1"/>
      <c r="L132" s="1"/>
    </row>
    <row r="133" spans="1:12" s="67" customFormat="1" hidden="1" outlineLevel="3" x14ac:dyDescent="0.25">
      <c r="A133" s="423" t="s">
        <v>269</v>
      </c>
      <c r="B133" s="425" t="s">
        <v>455</v>
      </c>
      <c r="C133" s="425" t="s">
        <v>24</v>
      </c>
      <c r="D133" s="425" t="s">
        <v>268</v>
      </c>
      <c r="E133" s="401" t="s">
        <v>6</v>
      </c>
      <c r="F133" s="402">
        <f>F160+F134+F142+F150+F155+F139+F147</f>
        <v>9551085.2699999996</v>
      </c>
      <c r="G133" s="402">
        <f>G160+G134+G142+G150+G155+G139+G147</f>
        <v>10258192.07</v>
      </c>
      <c r="I133" s="1"/>
      <c r="J133" s="1"/>
      <c r="K133" s="1"/>
      <c r="L133" s="1"/>
    </row>
    <row r="134" spans="1:12" s="67" customFormat="1" ht="66.599999999999994" hidden="1" customHeight="1" outlineLevel="3" x14ac:dyDescent="0.25">
      <c r="A134" s="31" t="s">
        <v>962</v>
      </c>
      <c r="B134" s="425" t="s">
        <v>455</v>
      </c>
      <c r="C134" s="425" t="s">
        <v>24</v>
      </c>
      <c r="D134" s="425" t="s">
        <v>270</v>
      </c>
      <c r="E134" s="401" t="s">
        <v>6</v>
      </c>
      <c r="F134" s="402">
        <f>F135+F137</f>
        <v>1641578</v>
      </c>
      <c r="G134" s="402">
        <f>G135+G137</f>
        <v>1696267</v>
      </c>
      <c r="I134" s="1"/>
      <c r="J134" s="1"/>
      <c r="K134" s="1"/>
      <c r="L134" s="1"/>
    </row>
    <row r="135" spans="1:12" s="67" customFormat="1" ht="91.7" hidden="1" outlineLevel="3" x14ac:dyDescent="0.25">
      <c r="A135" s="423" t="s">
        <v>11</v>
      </c>
      <c r="B135" s="425" t="s">
        <v>455</v>
      </c>
      <c r="C135" s="425" t="s">
        <v>24</v>
      </c>
      <c r="D135" s="425" t="s">
        <v>270</v>
      </c>
      <c r="E135" s="401" t="s">
        <v>12</v>
      </c>
      <c r="F135" s="402">
        <f>F136</f>
        <v>1626578</v>
      </c>
      <c r="G135" s="402">
        <f>G136</f>
        <v>1681267</v>
      </c>
      <c r="I135" s="1"/>
      <c r="J135" s="1"/>
      <c r="K135" s="1"/>
      <c r="L135" s="1"/>
    </row>
    <row r="136" spans="1:12" s="67" customFormat="1" ht="36.700000000000003" hidden="1" outlineLevel="3" x14ac:dyDescent="0.3">
      <c r="A136" s="423" t="s">
        <v>13</v>
      </c>
      <c r="B136" s="425" t="s">
        <v>455</v>
      </c>
      <c r="C136" s="425" t="s">
        <v>24</v>
      </c>
      <c r="D136" s="425" t="s">
        <v>270</v>
      </c>
      <c r="E136" s="401" t="s">
        <v>14</v>
      </c>
      <c r="F136" s="164">
        <v>1626578</v>
      </c>
      <c r="G136" s="164">
        <v>1681267</v>
      </c>
      <c r="I136" s="1"/>
      <c r="J136" s="1"/>
      <c r="K136" s="1"/>
      <c r="L136" s="1"/>
    </row>
    <row r="137" spans="1:12" s="67" customFormat="1" ht="47.25" hidden="1" customHeight="1" outlineLevel="7" x14ac:dyDescent="0.25">
      <c r="A137" s="423" t="s">
        <v>15</v>
      </c>
      <c r="B137" s="425" t="s">
        <v>455</v>
      </c>
      <c r="C137" s="425" t="s">
        <v>24</v>
      </c>
      <c r="D137" s="425" t="s">
        <v>270</v>
      </c>
      <c r="E137" s="401" t="s">
        <v>16</v>
      </c>
      <c r="F137" s="402">
        <f>F138</f>
        <v>15000</v>
      </c>
      <c r="G137" s="402">
        <f>G138</f>
        <v>15000</v>
      </c>
      <c r="I137" s="1"/>
      <c r="J137" s="1"/>
      <c r="K137" s="1"/>
      <c r="L137" s="1"/>
    </row>
    <row r="138" spans="1:12" s="67" customFormat="1" ht="36.700000000000003" hidden="1" outlineLevel="7" x14ac:dyDescent="0.3">
      <c r="A138" s="423" t="s">
        <v>17</v>
      </c>
      <c r="B138" s="425" t="s">
        <v>455</v>
      </c>
      <c r="C138" s="425" t="s">
        <v>24</v>
      </c>
      <c r="D138" s="425" t="s">
        <v>270</v>
      </c>
      <c r="E138" s="401" t="s">
        <v>18</v>
      </c>
      <c r="F138" s="164">
        <v>15000</v>
      </c>
      <c r="G138" s="164">
        <v>15000</v>
      </c>
      <c r="I138" s="1"/>
      <c r="J138" s="1"/>
      <c r="K138" s="1"/>
      <c r="L138" s="1"/>
    </row>
    <row r="139" spans="1:12" s="67" customFormat="1" ht="76.099999999999994" hidden="1" customHeight="1" outlineLevel="7" x14ac:dyDescent="0.25">
      <c r="A139" s="44" t="s">
        <v>944</v>
      </c>
      <c r="B139" s="425" t="s">
        <v>455</v>
      </c>
      <c r="C139" s="425" t="s">
        <v>24</v>
      </c>
      <c r="D139" s="425" t="s">
        <v>652</v>
      </c>
      <c r="E139" s="425" t="s">
        <v>6</v>
      </c>
      <c r="F139" s="402">
        <f>F140</f>
        <v>465453</v>
      </c>
      <c r="G139" s="402">
        <f>G140</f>
        <v>482312</v>
      </c>
      <c r="I139" s="1"/>
      <c r="J139" s="1"/>
      <c r="K139" s="1"/>
      <c r="L139" s="1"/>
    </row>
    <row r="140" spans="1:12" s="67" customFormat="1" ht="36.700000000000003" hidden="1" outlineLevel="7" x14ac:dyDescent="0.25">
      <c r="A140" s="423" t="s">
        <v>13</v>
      </c>
      <c r="B140" s="425" t="s">
        <v>455</v>
      </c>
      <c r="C140" s="425" t="s">
        <v>24</v>
      </c>
      <c r="D140" s="425" t="s">
        <v>652</v>
      </c>
      <c r="E140" s="425" t="s">
        <v>12</v>
      </c>
      <c r="F140" s="402">
        <f>F141</f>
        <v>465453</v>
      </c>
      <c r="G140" s="402">
        <f>G141</f>
        <v>482312</v>
      </c>
      <c r="I140" s="1"/>
      <c r="J140" s="1"/>
      <c r="K140" s="1"/>
      <c r="L140" s="1"/>
    </row>
    <row r="141" spans="1:12" s="67" customFormat="1" ht="20.25" hidden="1" customHeight="1" outlineLevel="7" x14ac:dyDescent="0.3">
      <c r="A141" s="423" t="s">
        <v>15</v>
      </c>
      <c r="B141" s="425" t="s">
        <v>455</v>
      </c>
      <c r="C141" s="425" t="s">
        <v>24</v>
      </c>
      <c r="D141" s="425" t="s">
        <v>652</v>
      </c>
      <c r="E141" s="425" t="s">
        <v>14</v>
      </c>
      <c r="F141" s="164">
        <v>465453</v>
      </c>
      <c r="G141" s="164">
        <v>482312</v>
      </c>
      <c r="I141" s="1"/>
      <c r="J141" s="1"/>
      <c r="K141" s="1"/>
      <c r="L141" s="1"/>
    </row>
    <row r="142" spans="1:12" s="67" customFormat="1" ht="71.5" hidden="1" customHeight="1" outlineLevel="7" x14ac:dyDescent="0.25">
      <c r="A142" s="44" t="s">
        <v>945</v>
      </c>
      <c r="B142" s="425" t="s">
        <v>455</v>
      </c>
      <c r="C142" s="425" t="s">
        <v>24</v>
      </c>
      <c r="D142" s="425" t="s">
        <v>947</v>
      </c>
      <c r="E142" s="425" t="s">
        <v>6</v>
      </c>
      <c r="F142" s="402">
        <f>F143+F145</f>
        <v>1707918</v>
      </c>
      <c r="G142" s="402">
        <f>G143+G145</f>
        <v>1776235</v>
      </c>
      <c r="I142" s="1"/>
      <c r="J142" s="1"/>
      <c r="K142" s="1"/>
      <c r="L142" s="1"/>
    </row>
    <row r="143" spans="1:12" s="67" customFormat="1" ht="59.1" hidden="1" customHeight="1" outlineLevel="7" x14ac:dyDescent="0.25">
      <c r="A143" s="423" t="s">
        <v>11</v>
      </c>
      <c r="B143" s="425" t="s">
        <v>455</v>
      </c>
      <c r="C143" s="425" t="s">
        <v>24</v>
      </c>
      <c r="D143" s="425" t="s">
        <v>947</v>
      </c>
      <c r="E143" s="425" t="s">
        <v>12</v>
      </c>
      <c r="F143" s="402">
        <f>F144</f>
        <v>1692918</v>
      </c>
      <c r="G143" s="402">
        <f>G144</f>
        <v>1761235</v>
      </c>
      <c r="I143" s="1"/>
      <c r="J143" s="1"/>
      <c r="K143" s="1"/>
      <c r="L143" s="1"/>
    </row>
    <row r="144" spans="1:12" s="67" customFormat="1" ht="39.75" hidden="1" customHeight="1" outlineLevel="7" x14ac:dyDescent="0.3">
      <c r="A144" s="423" t="s">
        <v>13</v>
      </c>
      <c r="B144" s="425" t="s">
        <v>455</v>
      </c>
      <c r="C144" s="425" t="s">
        <v>24</v>
      </c>
      <c r="D144" s="425" t="s">
        <v>947</v>
      </c>
      <c r="E144" s="425" t="s">
        <v>14</v>
      </c>
      <c r="F144" s="164">
        <v>1692918</v>
      </c>
      <c r="G144" s="164">
        <v>1761235</v>
      </c>
      <c r="I144" s="1"/>
      <c r="J144" s="1"/>
      <c r="K144" s="1"/>
      <c r="L144" s="1"/>
    </row>
    <row r="145" spans="1:12" s="67" customFormat="1" ht="36.700000000000003" hidden="1" outlineLevel="7" x14ac:dyDescent="0.25">
      <c r="A145" s="423" t="s">
        <v>15</v>
      </c>
      <c r="B145" s="425" t="s">
        <v>455</v>
      </c>
      <c r="C145" s="425" t="s">
        <v>24</v>
      </c>
      <c r="D145" s="425" t="s">
        <v>947</v>
      </c>
      <c r="E145" s="425" t="s">
        <v>16</v>
      </c>
      <c r="F145" s="402">
        <f>F146</f>
        <v>15000</v>
      </c>
      <c r="G145" s="402">
        <f>G146</f>
        <v>15000</v>
      </c>
      <c r="I145" s="1"/>
      <c r="J145" s="1"/>
      <c r="K145" s="1"/>
      <c r="L145" s="1"/>
    </row>
    <row r="146" spans="1:12" s="67" customFormat="1" ht="36.700000000000003" hidden="1" outlineLevel="7" x14ac:dyDescent="0.3">
      <c r="A146" s="423" t="s">
        <v>17</v>
      </c>
      <c r="B146" s="425" t="s">
        <v>455</v>
      </c>
      <c r="C146" s="425" t="s">
        <v>24</v>
      </c>
      <c r="D146" s="425" t="s">
        <v>947</v>
      </c>
      <c r="E146" s="425" t="s">
        <v>18</v>
      </c>
      <c r="F146" s="164">
        <v>15000</v>
      </c>
      <c r="G146" s="164">
        <v>15000</v>
      </c>
      <c r="I146" s="1"/>
      <c r="J146" s="1"/>
      <c r="K146" s="1"/>
      <c r="L146" s="1"/>
    </row>
    <row r="147" spans="1:12" s="67" customFormat="1" ht="55.05" hidden="1" outlineLevel="7" x14ac:dyDescent="0.3">
      <c r="A147" s="390" t="s">
        <v>946</v>
      </c>
      <c r="B147" s="425" t="s">
        <v>455</v>
      </c>
      <c r="C147" s="425" t="s">
        <v>24</v>
      </c>
      <c r="D147" s="425" t="s">
        <v>948</v>
      </c>
      <c r="E147" s="425" t="s">
        <v>6</v>
      </c>
      <c r="F147" s="402">
        <f>F148</f>
        <v>1352000</v>
      </c>
      <c r="G147" s="402">
        <f>G148</f>
        <v>1406080</v>
      </c>
      <c r="I147" s="1"/>
      <c r="J147" s="1"/>
      <c r="K147" s="1"/>
      <c r="L147" s="1"/>
    </row>
    <row r="148" spans="1:12" s="67" customFormat="1" ht="91.7" hidden="1" outlineLevel="7" x14ac:dyDescent="0.25">
      <c r="A148" s="423" t="s">
        <v>11</v>
      </c>
      <c r="B148" s="425" t="s">
        <v>455</v>
      </c>
      <c r="C148" s="425" t="s">
        <v>24</v>
      </c>
      <c r="D148" s="425" t="s">
        <v>948</v>
      </c>
      <c r="E148" s="425" t="s">
        <v>12</v>
      </c>
      <c r="F148" s="402">
        <f>F149</f>
        <v>1352000</v>
      </c>
      <c r="G148" s="402">
        <f>G149</f>
        <v>1406080</v>
      </c>
      <c r="I148" s="1"/>
      <c r="J148" s="1"/>
      <c r="K148" s="1"/>
      <c r="L148" s="1"/>
    </row>
    <row r="149" spans="1:12" s="67" customFormat="1" ht="36.700000000000003" hidden="1" outlineLevel="7" x14ac:dyDescent="0.3">
      <c r="A149" s="423" t="s">
        <v>13</v>
      </c>
      <c r="B149" s="425" t="s">
        <v>455</v>
      </c>
      <c r="C149" s="425" t="s">
        <v>24</v>
      </c>
      <c r="D149" s="425" t="s">
        <v>948</v>
      </c>
      <c r="E149" s="425" t="s">
        <v>14</v>
      </c>
      <c r="F149" s="164">
        <v>1352000</v>
      </c>
      <c r="G149" s="164">
        <v>1406080</v>
      </c>
      <c r="I149" s="1"/>
      <c r="J149" s="1"/>
      <c r="K149" s="1"/>
      <c r="L149" s="1"/>
    </row>
    <row r="150" spans="1:12" s="67" customFormat="1" ht="65.25" hidden="1" customHeight="1" outlineLevel="7" x14ac:dyDescent="0.25">
      <c r="A150" s="31" t="s">
        <v>939</v>
      </c>
      <c r="B150" s="425" t="s">
        <v>455</v>
      </c>
      <c r="C150" s="425" t="s">
        <v>24</v>
      </c>
      <c r="D150" s="425" t="s">
        <v>271</v>
      </c>
      <c r="E150" s="401" t="s">
        <v>6</v>
      </c>
      <c r="F150" s="402">
        <f>F151+F153</f>
        <v>1265652</v>
      </c>
      <c r="G150" s="402">
        <f>G151+G153</f>
        <v>1313679</v>
      </c>
      <c r="I150" s="1"/>
      <c r="J150" s="1"/>
      <c r="K150" s="1"/>
      <c r="L150" s="1"/>
    </row>
    <row r="151" spans="1:12" s="67" customFormat="1" ht="91.7" hidden="1" outlineLevel="7" x14ac:dyDescent="0.25">
      <c r="A151" s="423" t="s">
        <v>11</v>
      </c>
      <c r="B151" s="425" t="s">
        <v>455</v>
      </c>
      <c r="C151" s="425" t="s">
        <v>24</v>
      </c>
      <c r="D151" s="425" t="s">
        <v>271</v>
      </c>
      <c r="E151" s="401" t="s">
        <v>12</v>
      </c>
      <c r="F151" s="402">
        <f>F152</f>
        <v>1220652</v>
      </c>
      <c r="G151" s="402">
        <f>G152</f>
        <v>1268679</v>
      </c>
      <c r="I151" s="1"/>
      <c r="J151" s="1"/>
      <c r="K151" s="1"/>
      <c r="L151" s="1"/>
    </row>
    <row r="152" spans="1:12" s="67" customFormat="1" ht="21.25" hidden="1" customHeight="1" outlineLevel="7" x14ac:dyDescent="0.3">
      <c r="A152" s="423" t="s">
        <v>13</v>
      </c>
      <c r="B152" s="425" t="s">
        <v>455</v>
      </c>
      <c r="C152" s="425" t="s">
        <v>24</v>
      </c>
      <c r="D152" s="425" t="s">
        <v>271</v>
      </c>
      <c r="E152" s="401" t="s">
        <v>14</v>
      </c>
      <c r="F152" s="164">
        <v>1220652</v>
      </c>
      <c r="G152" s="164">
        <v>1268679</v>
      </c>
      <c r="I152" s="1"/>
      <c r="J152" s="1"/>
      <c r="K152" s="1"/>
      <c r="L152" s="1"/>
    </row>
    <row r="153" spans="1:12" s="67" customFormat="1" ht="56.25" hidden="1" customHeight="1" outlineLevel="7" x14ac:dyDescent="0.25">
      <c r="A153" s="423" t="s">
        <v>15</v>
      </c>
      <c r="B153" s="425" t="s">
        <v>455</v>
      </c>
      <c r="C153" s="425" t="s">
        <v>24</v>
      </c>
      <c r="D153" s="425" t="s">
        <v>271</v>
      </c>
      <c r="E153" s="401" t="s">
        <v>16</v>
      </c>
      <c r="F153" s="402">
        <f>F154</f>
        <v>45000</v>
      </c>
      <c r="G153" s="402">
        <f>G154</f>
        <v>45000</v>
      </c>
      <c r="I153" s="1"/>
      <c r="J153" s="1"/>
      <c r="K153" s="1"/>
      <c r="L153" s="1"/>
    </row>
    <row r="154" spans="1:12" s="67" customFormat="1" ht="43.5" hidden="1" customHeight="1" outlineLevel="7" x14ac:dyDescent="0.3">
      <c r="A154" s="423" t="s">
        <v>17</v>
      </c>
      <c r="B154" s="425" t="s">
        <v>455</v>
      </c>
      <c r="C154" s="425" t="s">
        <v>24</v>
      </c>
      <c r="D154" s="425" t="s">
        <v>271</v>
      </c>
      <c r="E154" s="401" t="s">
        <v>18</v>
      </c>
      <c r="F154" s="164">
        <v>45000</v>
      </c>
      <c r="G154" s="164">
        <v>45000</v>
      </c>
      <c r="I154" s="1"/>
      <c r="J154" s="1"/>
      <c r="K154" s="1"/>
      <c r="L154" s="1"/>
    </row>
    <row r="155" spans="1:12" s="67" customFormat="1" ht="55.05" hidden="1" outlineLevel="7" x14ac:dyDescent="0.25">
      <c r="A155" s="44" t="s">
        <v>943</v>
      </c>
      <c r="B155" s="425" t="s">
        <v>455</v>
      </c>
      <c r="C155" s="425" t="s">
        <v>24</v>
      </c>
      <c r="D155" s="425" t="s">
        <v>381</v>
      </c>
      <c r="E155" s="401" t="s">
        <v>6</v>
      </c>
      <c r="F155" s="402">
        <f>F156+F158</f>
        <v>2705139</v>
      </c>
      <c r="G155" s="402">
        <f>G156+G158</f>
        <v>2807041</v>
      </c>
      <c r="I155" s="1"/>
      <c r="J155" s="1"/>
      <c r="K155" s="1"/>
      <c r="L155" s="1"/>
    </row>
    <row r="156" spans="1:12" s="67" customFormat="1" ht="91.7" hidden="1" outlineLevel="7" x14ac:dyDescent="0.25">
      <c r="A156" s="423" t="s">
        <v>11</v>
      </c>
      <c r="B156" s="425" t="s">
        <v>455</v>
      </c>
      <c r="C156" s="425" t="s">
        <v>24</v>
      </c>
      <c r="D156" s="425" t="s">
        <v>381</v>
      </c>
      <c r="E156" s="401" t="s">
        <v>12</v>
      </c>
      <c r="F156" s="402">
        <f>F157</f>
        <v>2547539</v>
      </c>
      <c r="G156" s="402">
        <f>G157</f>
        <v>2649441</v>
      </c>
      <c r="I156" s="1"/>
      <c r="J156" s="1"/>
      <c r="K156" s="1"/>
      <c r="L156" s="1"/>
    </row>
    <row r="157" spans="1:12" s="67" customFormat="1" ht="41.45" hidden="1" customHeight="1" outlineLevel="7" x14ac:dyDescent="0.3">
      <c r="A157" s="423" t="s">
        <v>13</v>
      </c>
      <c r="B157" s="425" t="s">
        <v>455</v>
      </c>
      <c r="C157" s="425" t="s">
        <v>24</v>
      </c>
      <c r="D157" s="425" t="s">
        <v>381</v>
      </c>
      <c r="E157" s="401" t="s">
        <v>14</v>
      </c>
      <c r="F157" s="164">
        <v>2547539</v>
      </c>
      <c r="G157" s="164">
        <v>2649441</v>
      </c>
      <c r="I157" s="1"/>
      <c r="J157" s="1"/>
      <c r="K157" s="1"/>
      <c r="L157" s="1"/>
    </row>
    <row r="158" spans="1:12" s="67" customFormat="1" ht="38.25" hidden="1" customHeight="1" outlineLevel="7" x14ac:dyDescent="0.25">
      <c r="A158" s="423" t="s">
        <v>15</v>
      </c>
      <c r="B158" s="425" t="s">
        <v>455</v>
      </c>
      <c r="C158" s="425" t="s">
        <v>24</v>
      </c>
      <c r="D158" s="425" t="s">
        <v>381</v>
      </c>
      <c r="E158" s="401" t="s">
        <v>16</v>
      </c>
      <c r="F158" s="402">
        <f>F159</f>
        <v>157600</v>
      </c>
      <c r="G158" s="402">
        <f>G159</f>
        <v>157600</v>
      </c>
      <c r="I158" s="1"/>
      <c r="J158" s="1"/>
      <c r="K158" s="1"/>
      <c r="L158" s="1"/>
    </row>
    <row r="159" spans="1:12" s="67" customFormat="1" ht="36.700000000000003" hidden="1" outlineLevel="7" x14ac:dyDescent="0.3">
      <c r="A159" s="423" t="s">
        <v>17</v>
      </c>
      <c r="B159" s="425" t="s">
        <v>455</v>
      </c>
      <c r="C159" s="425" t="s">
        <v>24</v>
      </c>
      <c r="D159" s="425" t="s">
        <v>381</v>
      </c>
      <c r="E159" s="401" t="s">
        <v>18</v>
      </c>
      <c r="F159" s="164">
        <v>157600</v>
      </c>
      <c r="G159" s="164">
        <v>157600</v>
      </c>
      <c r="I159" s="1"/>
      <c r="J159" s="1"/>
      <c r="K159" s="1"/>
      <c r="L159" s="1"/>
    </row>
    <row r="160" spans="1:12" s="67" customFormat="1" ht="120.25" hidden="1" customHeight="1" outlineLevel="7" x14ac:dyDescent="0.25">
      <c r="A160" s="44" t="s">
        <v>959</v>
      </c>
      <c r="B160" s="425" t="s">
        <v>455</v>
      </c>
      <c r="C160" s="425" t="s">
        <v>24</v>
      </c>
      <c r="D160" s="425" t="s">
        <v>1114</v>
      </c>
      <c r="E160" s="401" t="s">
        <v>6</v>
      </c>
      <c r="F160" s="402">
        <f>F161+F163</f>
        <v>413345.27</v>
      </c>
      <c r="G160" s="402">
        <f>G161+G163</f>
        <v>776578.07</v>
      </c>
      <c r="I160" s="1"/>
      <c r="J160" s="1"/>
      <c r="K160" s="1"/>
      <c r="L160" s="1"/>
    </row>
    <row r="161" spans="1:12" s="67" customFormat="1" ht="91.7" hidden="1" outlineLevel="7" x14ac:dyDescent="0.25">
      <c r="A161" s="423" t="s">
        <v>11</v>
      </c>
      <c r="B161" s="425" t="s">
        <v>455</v>
      </c>
      <c r="C161" s="425" t="s">
        <v>24</v>
      </c>
      <c r="D161" s="425" t="s">
        <v>1114</v>
      </c>
      <c r="E161" s="401" t="s">
        <v>12</v>
      </c>
      <c r="F161" s="402">
        <f>F162</f>
        <v>413345.27</v>
      </c>
      <c r="G161" s="402">
        <f>G162</f>
        <v>716578.07</v>
      </c>
      <c r="I161" s="1"/>
      <c r="J161" s="1"/>
      <c r="K161" s="1"/>
      <c r="L161" s="1"/>
    </row>
    <row r="162" spans="1:12" s="67" customFormat="1" ht="19.55" hidden="1" customHeight="1" outlineLevel="7" x14ac:dyDescent="0.3">
      <c r="A162" s="423" t="s">
        <v>13</v>
      </c>
      <c r="B162" s="425" t="s">
        <v>455</v>
      </c>
      <c r="C162" s="425" t="s">
        <v>24</v>
      </c>
      <c r="D162" s="425" t="s">
        <v>1114</v>
      </c>
      <c r="E162" s="401" t="s">
        <v>14</v>
      </c>
      <c r="F162" s="164">
        <v>413345.27</v>
      </c>
      <c r="G162" s="164">
        <v>716578.07</v>
      </c>
      <c r="I162" s="1"/>
      <c r="J162" s="1"/>
      <c r="K162" s="1"/>
      <c r="L162" s="1"/>
    </row>
    <row r="163" spans="1:12" s="67" customFormat="1" ht="41.3" hidden="1" customHeight="1" outlineLevel="3" x14ac:dyDescent="0.25">
      <c r="A163" s="423" t="s">
        <v>15</v>
      </c>
      <c r="B163" s="425" t="s">
        <v>455</v>
      </c>
      <c r="C163" s="425" t="s">
        <v>24</v>
      </c>
      <c r="D163" s="425" t="s">
        <v>1114</v>
      </c>
      <c r="E163" s="401" t="s">
        <v>16</v>
      </c>
      <c r="F163" s="402">
        <f>F164</f>
        <v>0</v>
      </c>
      <c r="G163" s="402">
        <f>G164</f>
        <v>60000</v>
      </c>
      <c r="I163" s="1"/>
      <c r="J163" s="1"/>
      <c r="K163" s="1"/>
      <c r="L163" s="1"/>
    </row>
    <row r="164" spans="1:12" s="67" customFormat="1" ht="36.700000000000003" hidden="1" outlineLevel="3" x14ac:dyDescent="0.25">
      <c r="A164" s="423" t="s">
        <v>17</v>
      </c>
      <c r="B164" s="425" t="s">
        <v>455</v>
      </c>
      <c r="C164" s="425" t="s">
        <v>24</v>
      </c>
      <c r="D164" s="425" t="s">
        <v>1114</v>
      </c>
      <c r="E164" s="401" t="s">
        <v>18</v>
      </c>
      <c r="F164" s="402">
        <v>0</v>
      </c>
      <c r="G164" s="402">
        <v>60000</v>
      </c>
      <c r="I164" s="1"/>
      <c r="J164" s="1"/>
      <c r="K164" s="1"/>
      <c r="L164" s="1"/>
    </row>
    <row r="165" spans="1:12" s="67" customFormat="1" ht="23.3" hidden="1" customHeight="1" outlineLevel="3" x14ac:dyDescent="0.25">
      <c r="A165" s="45" t="s">
        <v>525</v>
      </c>
      <c r="B165" s="387" t="s">
        <v>455</v>
      </c>
      <c r="C165" s="387" t="s">
        <v>26</v>
      </c>
      <c r="D165" s="387" t="s">
        <v>126</v>
      </c>
      <c r="E165" s="403" t="s">
        <v>6</v>
      </c>
      <c r="F165" s="402">
        <f t="shared" ref="F165:G170" si="8">F166</f>
        <v>2139840</v>
      </c>
      <c r="G165" s="402">
        <f t="shared" si="8"/>
        <v>2139840</v>
      </c>
      <c r="I165" s="1"/>
      <c r="J165" s="1"/>
      <c r="K165" s="1"/>
      <c r="L165" s="1"/>
    </row>
    <row r="166" spans="1:12" s="67" customFormat="1" ht="20.25" hidden="1" customHeight="1" outlineLevel="3" x14ac:dyDescent="0.25">
      <c r="A166" s="423" t="s">
        <v>526</v>
      </c>
      <c r="B166" s="425" t="s">
        <v>455</v>
      </c>
      <c r="C166" s="425" t="s">
        <v>527</v>
      </c>
      <c r="D166" s="425" t="s">
        <v>126</v>
      </c>
      <c r="E166" s="401" t="s">
        <v>6</v>
      </c>
      <c r="F166" s="402">
        <f t="shared" si="8"/>
        <v>2139840</v>
      </c>
      <c r="G166" s="402">
        <f t="shared" si="8"/>
        <v>2139840</v>
      </c>
      <c r="I166" s="1"/>
      <c r="J166" s="1"/>
      <c r="K166" s="1"/>
      <c r="L166" s="1"/>
    </row>
    <row r="167" spans="1:12" s="67" customFormat="1" ht="36.700000000000003" hidden="1" outlineLevel="3" x14ac:dyDescent="0.25">
      <c r="A167" s="423" t="s">
        <v>132</v>
      </c>
      <c r="B167" s="425" t="s">
        <v>455</v>
      </c>
      <c r="C167" s="425" t="s">
        <v>527</v>
      </c>
      <c r="D167" s="425" t="s">
        <v>127</v>
      </c>
      <c r="E167" s="401" t="s">
        <v>6</v>
      </c>
      <c r="F167" s="402">
        <f>F168+F172</f>
        <v>2139840</v>
      </c>
      <c r="G167" s="402">
        <f>G168+G172</f>
        <v>2139840</v>
      </c>
      <c r="I167" s="1"/>
      <c r="J167" s="1"/>
      <c r="K167" s="1"/>
      <c r="L167" s="1"/>
    </row>
    <row r="168" spans="1:12" s="67" customFormat="1" ht="19.55" hidden="1" customHeight="1" outlineLevel="3" x14ac:dyDescent="0.25">
      <c r="A168" s="423" t="s">
        <v>269</v>
      </c>
      <c r="B168" s="425" t="s">
        <v>455</v>
      </c>
      <c r="C168" s="425" t="s">
        <v>527</v>
      </c>
      <c r="D168" s="425" t="s">
        <v>268</v>
      </c>
      <c r="E168" s="401" t="s">
        <v>6</v>
      </c>
      <c r="F168" s="402">
        <f t="shared" si="8"/>
        <v>1869840</v>
      </c>
      <c r="G168" s="402">
        <f t="shared" si="8"/>
        <v>1869840</v>
      </c>
      <c r="I168" s="1"/>
      <c r="J168" s="1"/>
      <c r="K168" s="1"/>
      <c r="L168" s="1"/>
    </row>
    <row r="169" spans="1:12" ht="55.7" hidden="1" customHeight="1" outlineLevel="3" x14ac:dyDescent="0.25">
      <c r="A169" s="423" t="s">
        <v>960</v>
      </c>
      <c r="B169" s="425" t="s">
        <v>455</v>
      </c>
      <c r="C169" s="425" t="s">
        <v>527</v>
      </c>
      <c r="D169" s="425" t="s">
        <v>529</v>
      </c>
      <c r="E169" s="401" t="s">
        <v>6</v>
      </c>
      <c r="F169" s="402">
        <f t="shared" si="8"/>
        <v>1869840</v>
      </c>
      <c r="G169" s="402">
        <f t="shared" si="8"/>
        <v>1869840</v>
      </c>
    </row>
    <row r="170" spans="1:12" ht="95.1" hidden="1" customHeight="1" outlineLevel="3" x14ac:dyDescent="0.25">
      <c r="A170" s="423" t="s">
        <v>11</v>
      </c>
      <c r="B170" s="425" t="s">
        <v>455</v>
      </c>
      <c r="C170" s="425" t="s">
        <v>527</v>
      </c>
      <c r="D170" s="425" t="s">
        <v>529</v>
      </c>
      <c r="E170" s="401" t="s">
        <v>12</v>
      </c>
      <c r="F170" s="402">
        <f t="shared" si="8"/>
        <v>1869840</v>
      </c>
      <c r="G170" s="402">
        <f t="shared" si="8"/>
        <v>1869840</v>
      </c>
    </row>
    <row r="171" spans="1:12" ht="36.700000000000003" hidden="1" outlineLevel="3" x14ac:dyDescent="0.25">
      <c r="A171" s="423" t="s">
        <v>13</v>
      </c>
      <c r="B171" s="425" t="s">
        <v>455</v>
      </c>
      <c r="C171" s="425" t="s">
        <v>527</v>
      </c>
      <c r="D171" s="425" t="s">
        <v>529</v>
      </c>
      <c r="E171" s="401" t="s">
        <v>14</v>
      </c>
      <c r="F171" s="523">
        <v>1869840</v>
      </c>
      <c r="G171" s="523">
        <v>1869840</v>
      </c>
    </row>
    <row r="172" spans="1:12" ht="55.05" hidden="1" outlineLevel="3" x14ac:dyDescent="0.25">
      <c r="A172" s="423" t="s">
        <v>654</v>
      </c>
      <c r="B172" s="425" t="s">
        <v>455</v>
      </c>
      <c r="C172" s="425" t="s">
        <v>527</v>
      </c>
      <c r="D172" s="425" t="s">
        <v>659</v>
      </c>
      <c r="E172" s="425" t="s">
        <v>6</v>
      </c>
      <c r="F172" s="402">
        <f>F173</f>
        <v>270000</v>
      </c>
      <c r="G172" s="402">
        <f>G173</f>
        <v>270000</v>
      </c>
    </row>
    <row r="173" spans="1:12" ht="91.7" hidden="1" outlineLevel="3" x14ac:dyDescent="0.25">
      <c r="A173" s="423" t="s">
        <v>11</v>
      </c>
      <c r="B173" s="425" t="s">
        <v>455</v>
      </c>
      <c r="C173" s="425" t="s">
        <v>527</v>
      </c>
      <c r="D173" s="425" t="s">
        <v>659</v>
      </c>
      <c r="E173" s="425" t="s">
        <v>12</v>
      </c>
      <c r="F173" s="402">
        <f>F174</f>
        <v>270000</v>
      </c>
      <c r="G173" s="402">
        <f>G174</f>
        <v>270000</v>
      </c>
    </row>
    <row r="174" spans="1:12" ht="36.700000000000003" hidden="1" outlineLevel="3" x14ac:dyDescent="0.25">
      <c r="A174" s="423" t="s">
        <v>13</v>
      </c>
      <c r="B174" s="425" t="s">
        <v>455</v>
      </c>
      <c r="C174" s="425" t="s">
        <v>527</v>
      </c>
      <c r="D174" s="425" t="s">
        <v>659</v>
      </c>
      <c r="E174" s="425" t="s">
        <v>14</v>
      </c>
      <c r="F174" s="402">
        <v>270000</v>
      </c>
      <c r="G174" s="402">
        <v>270000</v>
      </c>
    </row>
    <row r="175" spans="1:12" ht="36.700000000000003" hidden="1" outlineLevel="3" x14ac:dyDescent="0.25">
      <c r="A175" s="45" t="s">
        <v>41</v>
      </c>
      <c r="B175" s="387" t="s">
        <v>455</v>
      </c>
      <c r="C175" s="387" t="s">
        <v>42</v>
      </c>
      <c r="D175" s="387" t="s">
        <v>126</v>
      </c>
      <c r="E175" s="403" t="s">
        <v>6</v>
      </c>
      <c r="F175" s="347">
        <f>F176+F181</f>
        <v>785000</v>
      </c>
      <c r="G175" s="347">
        <f>G176+G181</f>
        <v>785000</v>
      </c>
    </row>
    <row r="176" spans="1:12" ht="55.05" hidden="1" outlineLevel="3" x14ac:dyDescent="0.25">
      <c r="A176" s="423" t="s">
        <v>43</v>
      </c>
      <c r="B176" s="425" t="s">
        <v>455</v>
      </c>
      <c r="C176" s="425" t="s">
        <v>44</v>
      </c>
      <c r="D176" s="425" t="s">
        <v>126</v>
      </c>
      <c r="E176" s="401" t="s">
        <v>6</v>
      </c>
      <c r="F176" s="402">
        <f t="shared" ref="F176:G179" si="9">F177</f>
        <v>200000</v>
      </c>
      <c r="G176" s="402">
        <f t="shared" si="9"/>
        <v>200000</v>
      </c>
    </row>
    <row r="177" spans="1:8" ht="36.700000000000003" hidden="1" outlineLevel="3" x14ac:dyDescent="0.25">
      <c r="A177" s="423" t="s">
        <v>132</v>
      </c>
      <c r="B177" s="425" t="s">
        <v>455</v>
      </c>
      <c r="C177" s="425" t="s">
        <v>44</v>
      </c>
      <c r="D177" s="425" t="s">
        <v>127</v>
      </c>
      <c r="E177" s="401" t="s">
        <v>6</v>
      </c>
      <c r="F177" s="402">
        <f t="shared" si="9"/>
        <v>200000</v>
      </c>
      <c r="G177" s="402">
        <f t="shared" si="9"/>
        <v>200000</v>
      </c>
    </row>
    <row r="178" spans="1:8" s="76" customFormat="1" ht="36.700000000000003" hidden="1" outlineLevel="1" x14ac:dyDescent="0.25">
      <c r="A178" s="423" t="s">
        <v>45</v>
      </c>
      <c r="B178" s="425" t="s">
        <v>455</v>
      </c>
      <c r="C178" s="425" t="s">
        <v>44</v>
      </c>
      <c r="D178" s="425" t="s">
        <v>133</v>
      </c>
      <c r="E178" s="401" t="s">
        <v>6</v>
      </c>
      <c r="F178" s="402">
        <f t="shared" si="9"/>
        <v>200000</v>
      </c>
      <c r="G178" s="402">
        <f t="shared" si="9"/>
        <v>200000</v>
      </c>
      <c r="H178" s="75"/>
    </row>
    <row r="179" spans="1:8" ht="36.700000000000003" hidden="1" outlineLevel="2" x14ac:dyDescent="0.25">
      <c r="A179" s="423" t="s">
        <v>15</v>
      </c>
      <c r="B179" s="425" t="s">
        <v>455</v>
      </c>
      <c r="C179" s="425" t="s">
        <v>44</v>
      </c>
      <c r="D179" s="425" t="s">
        <v>133</v>
      </c>
      <c r="E179" s="401" t="s">
        <v>16</v>
      </c>
      <c r="F179" s="402">
        <f t="shared" si="9"/>
        <v>200000</v>
      </c>
      <c r="G179" s="402">
        <f t="shared" si="9"/>
        <v>200000</v>
      </c>
    </row>
    <row r="180" spans="1:8" ht="36.700000000000003" hidden="1" outlineLevel="4" x14ac:dyDescent="0.25">
      <c r="A180" s="423" t="s">
        <v>17</v>
      </c>
      <c r="B180" s="425" t="s">
        <v>455</v>
      </c>
      <c r="C180" s="425" t="s">
        <v>44</v>
      </c>
      <c r="D180" s="425" t="s">
        <v>133</v>
      </c>
      <c r="E180" s="401" t="s">
        <v>18</v>
      </c>
      <c r="F180" s="402">
        <v>200000</v>
      </c>
      <c r="G180" s="402">
        <v>200000</v>
      </c>
    </row>
    <row r="181" spans="1:8" hidden="1" outlineLevel="5" x14ac:dyDescent="0.25">
      <c r="A181" s="423" t="s">
        <v>459</v>
      </c>
      <c r="B181" s="425" t="s">
        <v>455</v>
      </c>
      <c r="C181" s="425" t="s">
        <v>460</v>
      </c>
      <c r="D181" s="425" t="s">
        <v>126</v>
      </c>
      <c r="E181" s="401" t="s">
        <v>6</v>
      </c>
      <c r="F181" s="402">
        <f t="shared" ref="F181:G184" si="10">F182</f>
        <v>585000</v>
      </c>
      <c r="G181" s="402">
        <f t="shared" si="10"/>
        <v>585000</v>
      </c>
    </row>
    <row r="182" spans="1:8" ht="36.700000000000003" hidden="1" outlineLevel="6" x14ac:dyDescent="0.25">
      <c r="A182" s="423" t="s">
        <v>132</v>
      </c>
      <c r="B182" s="425" t="s">
        <v>455</v>
      </c>
      <c r="C182" s="425" t="s">
        <v>460</v>
      </c>
      <c r="D182" s="425" t="s">
        <v>127</v>
      </c>
      <c r="E182" s="401" t="s">
        <v>6</v>
      </c>
      <c r="F182" s="402">
        <f t="shared" si="10"/>
        <v>585000</v>
      </c>
      <c r="G182" s="402">
        <f t="shared" si="10"/>
        <v>585000</v>
      </c>
    </row>
    <row r="183" spans="1:8" ht="48.25" hidden="1" customHeight="1" outlineLevel="7" x14ac:dyDescent="0.25">
      <c r="A183" s="423" t="s">
        <v>461</v>
      </c>
      <c r="B183" s="425" t="s">
        <v>455</v>
      </c>
      <c r="C183" s="425" t="s">
        <v>460</v>
      </c>
      <c r="D183" s="425" t="s">
        <v>617</v>
      </c>
      <c r="E183" s="401" t="s">
        <v>6</v>
      </c>
      <c r="F183" s="402">
        <f t="shared" si="10"/>
        <v>585000</v>
      </c>
      <c r="G183" s="402">
        <f t="shared" si="10"/>
        <v>585000</v>
      </c>
    </row>
    <row r="184" spans="1:8" ht="20.25" hidden="1" customHeight="1" outlineLevel="7" x14ac:dyDescent="0.25">
      <c r="A184" s="423" t="s">
        <v>15</v>
      </c>
      <c r="B184" s="425" t="s">
        <v>455</v>
      </c>
      <c r="C184" s="425" t="s">
        <v>460</v>
      </c>
      <c r="D184" s="425" t="s">
        <v>617</v>
      </c>
      <c r="E184" s="401" t="s">
        <v>16</v>
      </c>
      <c r="F184" s="402">
        <f t="shared" si="10"/>
        <v>585000</v>
      </c>
      <c r="G184" s="402">
        <f t="shared" si="10"/>
        <v>585000</v>
      </c>
    </row>
    <row r="185" spans="1:8" ht="36.700000000000003" hidden="1" outlineLevel="7" x14ac:dyDescent="0.25">
      <c r="A185" s="423" t="s">
        <v>17</v>
      </c>
      <c r="B185" s="425" t="s">
        <v>455</v>
      </c>
      <c r="C185" s="425" t="s">
        <v>460</v>
      </c>
      <c r="D185" s="425" t="s">
        <v>617</v>
      </c>
      <c r="E185" s="401" t="s">
        <v>18</v>
      </c>
      <c r="F185" s="402">
        <f>1085000-500000</f>
        <v>585000</v>
      </c>
      <c r="G185" s="402">
        <f>1085000-500000</f>
        <v>585000</v>
      </c>
    </row>
    <row r="186" spans="1:8" ht="20.25" hidden="1" customHeight="1" outlineLevel="7" x14ac:dyDescent="0.25">
      <c r="A186" s="45" t="s">
        <v>119</v>
      </c>
      <c r="B186" s="387" t="s">
        <v>455</v>
      </c>
      <c r="C186" s="387" t="s">
        <v>46</v>
      </c>
      <c r="D186" s="387" t="s">
        <v>126</v>
      </c>
      <c r="E186" s="403" t="s">
        <v>6</v>
      </c>
      <c r="F186" s="347">
        <f>F204+F193+F216+F187</f>
        <v>19778133.93</v>
      </c>
      <c r="G186" s="347">
        <f>G204+G193+G216+G187</f>
        <v>20475133.93</v>
      </c>
    </row>
    <row r="187" spans="1:8" hidden="1" outlineLevel="7" x14ac:dyDescent="0.25">
      <c r="A187" s="423" t="s">
        <v>121</v>
      </c>
      <c r="B187" s="425" t="s">
        <v>455</v>
      </c>
      <c r="C187" s="425" t="s">
        <v>122</v>
      </c>
      <c r="D187" s="425" t="s">
        <v>126</v>
      </c>
      <c r="E187" s="401" t="s">
        <v>6</v>
      </c>
      <c r="F187" s="402">
        <f>F188</f>
        <v>1122746.8500000001</v>
      </c>
      <c r="G187" s="402">
        <f>G188</f>
        <v>1122746.8500000001</v>
      </c>
    </row>
    <row r="188" spans="1:8" ht="36.700000000000003" hidden="1" outlineLevel="7" x14ac:dyDescent="0.25">
      <c r="A188" s="45" t="s">
        <v>132</v>
      </c>
      <c r="B188" s="425" t="s">
        <v>455</v>
      </c>
      <c r="C188" s="387" t="s">
        <v>122</v>
      </c>
      <c r="D188" s="387" t="s">
        <v>127</v>
      </c>
      <c r="E188" s="403" t="s">
        <v>6</v>
      </c>
      <c r="F188" s="347">
        <f>F190</f>
        <v>1122746.8500000001</v>
      </c>
      <c r="G188" s="347">
        <f>G190</f>
        <v>1122746.8500000001</v>
      </c>
    </row>
    <row r="189" spans="1:8" s="76" customFormat="1" hidden="1" outlineLevel="7" x14ac:dyDescent="0.25">
      <c r="A189" s="423" t="s">
        <v>269</v>
      </c>
      <c r="B189" s="425" t="s">
        <v>455</v>
      </c>
      <c r="C189" s="425" t="s">
        <v>122</v>
      </c>
      <c r="D189" s="425" t="s">
        <v>268</v>
      </c>
      <c r="E189" s="401" t="s">
        <v>6</v>
      </c>
      <c r="F189" s="402">
        <f t="shared" ref="F189:G191" si="11">F190</f>
        <v>1122746.8500000001</v>
      </c>
      <c r="G189" s="402">
        <f t="shared" si="11"/>
        <v>1122746.8500000001</v>
      </c>
      <c r="H189" s="75"/>
    </row>
    <row r="190" spans="1:8" ht="63.2" hidden="1" customHeight="1" outlineLevel="7" x14ac:dyDescent="0.25">
      <c r="A190" s="389" t="s">
        <v>933</v>
      </c>
      <c r="B190" s="425" t="s">
        <v>455</v>
      </c>
      <c r="C190" s="425" t="s">
        <v>122</v>
      </c>
      <c r="D190" s="425" t="s">
        <v>278</v>
      </c>
      <c r="E190" s="401" t="s">
        <v>6</v>
      </c>
      <c r="F190" s="402">
        <f t="shared" si="11"/>
        <v>1122746.8500000001</v>
      </c>
      <c r="G190" s="402">
        <f t="shared" si="11"/>
        <v>1122746.8500000001</v>
      </c>
    </row>
    <row r="191" spans="1:8" ht="36.700000000000003" hidden="1" outlineLevel="7" x14ac:dyDescent="0.25">
      <c r="A191" s="423" t="s">
        <v>15</v>
      </c>
      <c r="B191" s="425" t="s">
        <v>455</v>
      </c>
      <c r="C191" s="425" t="s">
        <v>122</v>
      </c>
      <c r="D191" s="425" t="s">
        <v>278</v>
      </c>
      <c r="E191" s="401" t="s">
        <v>16</v>
      </c>
      <c r="F191" s="402">
        <f t="shared" si="11"/>
        <v>1122746.8500000001</v>
      </c>
      <c r="G191" s="402">
        <f t="shared" si="11"/>
        <v>1122746.8500000001</v>
      </c>
    </row>
    <row r="192" spans="1:8" ht="36.700000000000003" hidden="1" outlineLevel="7" x14ac:dyDescent="0.3">
      <c r="A192" s="423" t="s">
        <v>17</v>
      </c>
      <c r="B192" s="425" t="s">
        <v>455</v>
      </c>
      <c r="C192" s="425" t="s">
        <v>122</v>
      </c>
      <c r="D192" s="425" t="s">
        <v>278</v>
      </c>
      <c r="E192" s="401" t="s">
        <v>18</v>
      </c>
      <c r="F192" s="164">
        <v>1122746.8500000001</v>
      </c>
      <c r="G192" s="164">
        <v>1122746.8500000001</v>
      </c>
    </row>
    <row r="193" spans="1:8" hidden="1" outlineLevel="7" x14ac:dyDescent="0.25">
      <c r="A193" s="423" t="s">
        <v>282</v>
      </c>
      <c r="B193" s="425" t="s">
        <v>455</v>
      </c>
      <c r="C193" s="425" t="s">
        <v>283</v>
      </c>
      <c r="D193" s="425" t="s">
        <v>126</v>
      </c>
      <c r="E193" s="401" t="s">
        <v>6</v>
      </c>
      <c r="F193" s="402">
        <f>F194+F201</f>
        <v>1287387.08</v>
      </c>
      <c r="G193" s="402">
        <f>G194+G201</f>
        <v>1287387.08</v>
      </c>
    </row>
    <row r="194" spans="1:8" ht="36.700000000000003" hidden="1" outlineLevel="7" x14ac:dyDescent="0.25">
      <c r="A194" s="423" t="s">
        <v>132</v>
      </c>
      <c r="B194" s="425" t="s">
        <v>455</v>
      </c>
      <c r="C194" s="425" t="s">
        <v>283</v>
      </c>
      <c r="D194" s="425" t="s">
        <v>127</v>
      </c>
      <c r="E194" s="401" t="s">
        <v>6</v>
      </c>
      <c r="F194" s="402">
        <f>F196</f>
        <v>3387.08</v>
      </c>
      <c r="G194" s="402">
        <f>G196</f>
        <v>3387.08</v>
      </c>
    </row>
    <row r="195" spans="1:8" ht="20.25" hidden="1" customHeight="1" outlineLevel="7" x14ac:dyDescent="0.25">
      <c r="A195" s="423" t="s">
        <v>269</v>
      </c>
      <c r="B195" s="425" t="s">
        <v>455</v>
      </c>
      <c r="C195" s="425" t="s">
        <v>283</v>
      </c>
      <c r="D195" s="425" t="s">
        <v>268</v>
      </c>
      <c r="E195" s="401" t="s">
        <v>6</v>
      </c>
      <c r="F195" s="402">
        <f t="shared" ref="F195:G197" si="12">F196</f>
        <v>3387.08</v>
      </c>
      <c r="G195" s="402">
        <f t="shared" si="12"/>
        <v>3387.08</v>
      </c>
    </row>
    <row r="196" spans="1:8" ht="73.400000000000006" hidden="1" outlineLevel="7" x14ac:dyDescent="0.25">
      <c r="A196" s="7" t="s">
        <v>940</v>
      </c>
      <c r="B196" s="425" t="s">
        <v>455</v>
      </c>
      <c r="C196" s="425" t="s">
        <v>283</v>
      </c>
      <c r="D196" s="425" t="s">
        <v>364</v>
      </c>
      <c r="E196" s="401" t="s">
        <v>6</v>
      </c>
      <c r="F196" s="402">
        <f t="shared" si="12"/>
        <v>3387.08</v>
      </c>
      <c r="G196" s="402">
        <f t="shared" si="12"/>
        <v>3387.08</v>
      </c>
    </row>
    <row r="197" spans="1:8" ht="36.700000000000003" hidden="1" outlineLevel="7" x14ac:dyDescent="0.25">
      <c r="A197" s="423" t="s">
        <v>15</v>
      </c>
      <c r="B197" s="425" t="s">
        <v>455</v>
      </c>
      <c r="C197" s="425" t="s">
        <v>283</v>
      </c>
      <c r="D197" s="425" t="s">
        <v>364</v>
      </c>
      <c r="E197" s="401" t="s">
        <v>16</v>
      </c>
      <c r="F197" s="402">
        <f t="shared" si="12"/>
        <v>3387.08</v>
      </c>
      <c r="G197" s="402">
        <f t="shared" si="12"/>
        <v>3387.08</v>
      </c>
    </row>
    <row r="198" spans="1:8" s="76" customFormat="1" ht="36.700000000000003" hidden="1" outlineLevel="7" x14ac:dyDescent="0.3">
      <c r="A198" s="423" t="s">
        <v>17</v>
      </c>
      <c r="B198" s="425" t="s">
        <v>455</v>
      </c>
      <c r="C198" s="425" t="s">
        <v>283</v>
      </c>
      <c r="D198" s="425" t="s">
        <v>364</v>
      </c>
      <c r="E198" s="401" t="s">
        <v>18</v>
      </c>
      <c r="F198" s="193">
        <v>3387.08</v>
      </c>
      <c r="G198" s="193">
        <v>3387.08</v>
      </c>
      <c r="H198" s="75"/>
    </row>
    <row r="199" spans="1:8" s="76" customFormat="1" ht="84.75" hidden="1" customHeight="1" outlineLevel="7" x14ac:dyDescent="0.25">
      <c r="A199" s="405" t="s">
        <v>716</v>
      </c>
      <c r="B199" s="425" t="s">
        <v>455</v>
      </c>
      <c r="C199" s="425" t="s">
        <v>283</v>
      </c>
      <c r="D199" s="425" t="s">
        <v>308</v>
      </c>
      <c r="E199" s="401" t="s">
        <v>6</v>
      </c>
      <c r="F199" s="345">
        <f t="shared" ref="F199:G202" si="13">F200</f>
        <v>1284000</v>
      </c>
      <c r="G199" s="345">
        <f t="shared" si="13"/>
        <v>1284000</v>
      </c>
      <c r="H199" s="75"/>
    </row>
    <row r="200" spans="1:8" s="76" customFormat="1" ht="36.700000000000003" hidden="1" outlineLevel="7" x14ac:dyDescent="0.25">
      <c r="A200" s="406" t="s">
        <v>711</v>
      </c>
      <c r="B200" s="425" t="s">
        <v>455</v>
      </c>
      <c r="C200" s="425" t="s">
        <v>283</v>
      </c>
      <c r="D200" s="425" t="s">
        <v>712</v>
      </c>
      <c r="E200" s="401" t="s">
        <v>6</v>
      </c>
      <c r="F200" s="345">
        <f t="shared" si="13"/>
        <v>1284000</v>
      </c>
      <c r="G200" s="345">
        <f t="shared" si="13"/>
        <v>1284000</v>
      </c>
      <c r="H200" s="75"/>
    </row>
    <row r="201" spans="1:8" s="76" customFormat="1" ht="36.700000000000003" hidden="1" outlineLevel="7" x14ac:dyDescent="0.25">
      <c r="A201" s="423" t="s">
        <v>1085</v>
      </c>
      <c r="B201" s="425" t="s">
        <v>455</v>
      </c>
      <c r="C201" s="425" t="s">
        <v>283</v>
      </c>
      <c r="D201" s="425" t="s">
        <v>1086</v>
      </c>
      <c r="E201" s="401" t="s">
        <v>6</v>
      </c>
      <c r="F201" s="345">
        <f t="shared" si="13"/>
        <v>1284000</v>
      </c>
      <c r="G201" s="345">
        <f t="shared" si="13"/>
        <v>1284000</v>
      </c>
      <c r="H201" s="75"/>
    </row>
    <row r="202" spans="1:8" s="76" customFormat="1" ht="44.5" hidden="1" customHeight="1" outlineLevel="7" x14ac:dyDescent="0.25">
      <c r="A202" s="423" t="s">
        <v>15</v>
      </c>
      <c r="B202" s="425" t="s">
        <v>455</v>
      </c>
      <c r="C202" s="425" t="s">
        <v>283</v>
      </c>
      <c r="D202" s="425" t="s">
        <v>1086</v>
      </c>
      <c r="E202" s="401" t="s">
        <v>16</v>
      </c>
      <c r="F202" s="345">
        <f t="shared" si="13"/>
        <v>1284000</v>
      </c>
      <c r="G202" s="345">
        <f t="shared" si="13"/>
        <v>1284000</v>
      </c>
      <c r="H202" s="75"/>
    </row>
    <row r="203" spans="1:8" s="76" customFormat="1" ht="44.15" hidden="1" customHeight="1" outlineLevel="7" x14ac:dyDescent="0.25">
      <c r="A203" s="423" t="s">
        <v>17</v>
      </c>
      <c r="B203" s="425" t="s">
        <v>455</v>
      </c>
      <c r="C203" s="425" t="s">
        <v>283</v>
      </c>
      <c r="D203" s="425" t="s">
        <v>1086</v>
      </c>
      <c r="E203" s="401" t="s">
        <v>18</v>
      </c>
      <c r="F203" s="345">
        <f>3784000-2500000</f>
        <v>1284000</v>
      </c>
      <c r="G203" s="345">
        <f>3784000-2500000</f>
        <v>1284000</v>
      </c>
      <c r="H203" s="75"/>
    </row>
    <row r="204" spans="1:8" ht="36" hidden="1" customHeight="1" outlineLevel="7" x14ac:dyDescent="0.25">
      <c r="A204" s="423" t="s">
        <v>49</v>
      </c>
      <c r="B204" s="425" t="s">
        <v>455</v>
      </c>
      <c r="C204" s="425" t="s">
        <v>50</v>
      </c>
      <c r="D204" s="425" t="s">
        <v>126</v>
      </c>
      <c r="E204" s="401" t="s">
        <v>6</v>
      </c>
      <c r="F204" s="402">
        <f>F205</f>
        <v>17038000</v>
      </c>
      <c r="G204" s="402">
        <f>G205</f>
        <v>17735000</v>
      </c>
    </row>
    <row r="205" spans="1:8" ht="73.400000000000006" hidden="1" outlineLevel="7" x14ac:dyDescent="0.25">
      <c r="A205" s="45" t="s">
        <v>1155</v>
      </c>
      <c r="B205" s="387" t="s">
        <v>455</v>
      </c>
      <c r="C205" s="387" t="s">
        <v>50</v>
      </c>
      <c r="D205" s="387" t="s">
        <v>322</v>
      </c>
      <c r="E205" s="403" t="s">
        <v>6</v>
      </c>
      <c r="F205" s="347">
        <f>F206</f>
        <v>17038000</v>
      </c>
      <c r="G205" s="347">
        <f>G206</f>
        <v>17735000</v>
      </c>
    </row>
    <row r="206" spans="1:8" ht="44.5" hidden="1" customHeight="1" outlineLevel="7" x14ac:dyDescent="0.25">
      <c r="A206" s="423" t="s">
        <v>323</v>
      </c>
      <c r="B206" s="425" t="s">
        <v>455</v>
      </c>
      <c r="C206" s="425" t="s">
        <v>50</v>
      </c>
      <c r="D206" s="425" t="s">
        <v>324</v>
      </c>
      <c r="E206" s="401" t="s">
        <v>6</v>
      </c>
      <c r="F206" s="402">
        <f>F207+F213</f>
        <v>17038000</v>
      </c>
      <c r="G206" s="402">
        <f>G207+G213</f>
        <v>17735000</v>
      </c>
    </row>
    <row r="207" spans="1:8" ht="73.400000000000006" hidden="1" outlineLevel="7" x14ac:dyDescent="0.25">
      <c r="A207" s="44" t="s">
        <v>700</v>
      </c>
      <c r="B207" s="425" t="s">
        <v>455</v>
      </c>
      <c r="C207" s="425" t="s">
        <v>50</v>
      </c>
      <c r="D207" s="425" t="s">
        <v>326</v>
      </c>
      <c r="E207" s="401" t="s">
        <v>6</v>
      </c>
      <c r="F207" s="402">
        <f>F208</f>
        <v>17038000</v>
      </c>
      <c r="G207" s="402">
        <f>G208</f>
        <v>17735000</v>
      </c>
    </row>
    <row r="208" spans="1:8" s="76" customFormat="1" ht="36.700000000000003" hidden="1" outlineLevel="7" x14ac:dyDescent="0.25">
      <c r="A208" s="423" t="s">
        <v>15</v>
      </c>
      <c r="B208" s="425" t="s">
        <v>455</v>
      </c>
      <c r="C208" s="425" t="s">
        <v>50</v>
      </c>
      <c r="D208" s="425" t="s">
        <v>326</v>
      </c>
      <c r="E208" s="401" t="s">
        <v>16</v>
      </c>
      <c r="F208" s="402">
        <f>F209</f>
        <v>17038000</v>
      </c>
      <c r="G208" s="402">
        <f>G209</f>
        <v>17735000</v>
      </c>
      <c r="H208" s="75"/>
    </row>
    <row r="209" spans="1:7" ht="41.45" hidden="1" customHeight="1" outlineLevel="7" x14ac:dyDescent="0.25">
      <c r="A209" s="423" t="s">
        <v>17</v>
      </c>
      <c r="B209" s="425" t="s">
        <v>455</v>
      </c>
      <c r="C209" s="425" t="s">
        <v>50</v>
      </c>
      <c r="D209" s="425" t="s">
        <v>326</v>
      </c>
      <c r="E209" s="401" t="s">
        <v>18</v>
      </c>
      <c r="F209" s="402">
        <v>17038000</v>
      </c>
      <c r="G209" s="402">
        <v>17735000</v>
      </c>
    </row>
    <row r="210" spans="1:7" ht="73.400000000000006" hidden="1" outlineLevel="7" x14ac:dyDescent="0.25">
      <c r="A210" s="44" t="s">
        <v>954</v>
      </c>
      <c r="B210" s="425" t="s">
        <v>455</v>
      </c>
      <c r="C210" s="425" t="s">
        <v>50</v>
      </c>
      <c r="D210" s="425" t="s">
        <v>530</v>
      </c>
      <c r="E210" s="425" t="s">
        <v>6</v>
      </c>
      <c r="F210" s="402">
        <f>F211</f>
        <v>0</v>
      </c>
      <c r="G210" s="402">
        <f>G211</f>
        <v>0</v>
      </c>
    </row>
    <row r="211" spans="1:7" ht="36.700000000000003" hidden="1" outlineLevel="7" x14ac:dyDescent="0.25">
      <c r="A211" s="423" t="s">
        <v>15</v>
      </c>
      <c r="B211" s="425" t="s">
        <v>455</v>
      </c>
      <c r="C211" s="425" t="s">
        <v>50</v>
      </c>
      <c r="D211" s="425" t="s">
        <v>530</v>
      </c>
      <c r="E211" s="425" t="s">
        <v>16</v>
      </c>
      <c r="F211" s="402">
        <f>F212</f>
        <v>0</v>
      </c>
      <c r="G211" s="402">
        <f>G212</f>
        <v>0</v>
      </c>
    </row>
    <row r="212" spans="1:7" ht="21.75" hidden="1" customHeight="1" outlineLevel="7" x14ac:dyDescent="0.25">
      <c r="A212" s="423" t="s">
        <v>17</v>
      </c>
      <c r="B212" s="425" t="s">
        <v>455</v>
      </c>
      <c r="C212" s="425" t="s">
        <v>50</v>
      </c>
      <c r="D212" s="425" t="s">
        <v>530</v>
      </c>
      <c r="E212" s="425" t="s">
        <v>18</v>
      </c>
      <c r="F212" s="402">
        <v>0</v>
      </c>
      <c r="G212" s="402">
        <v>0</v>
      </c>
    </row>
    <row r="213" spans="1:7" ht="55.05" hidden="1" outlineLevel="7" x14ac:dyDescent="0.25">
      <c r="A213" s="423" t="s">
        <v>272</v>
      </c>
      <c r="B213" s="425" t="s">
        <v>455</v>
      </c>
      <c r="C213" s="425" t="s">
        <v>50</v>
      </c>
      <c r="D213" s="425" t="s">
        <v>383</v>
      </c>
      <c r="E213" s="401" t="s">
        <v>6</v>
      </c>
      <c r="F213" s="345">
        <f>F214</f>
        <v>0</v>
      </c>
      <c r="G213" s="345">
        <f>G214</f>
        <v>0</v>
      </c>
    </row>
    <row r="214" spans="1:7" ht="36.700000000000003" hidden="1" outlineLevel="7" x14ac:dyDescent="0.25">
      <c r="A214" s="423" t="s">
        <v>15</v>
      </c>
      <c r="B214" s="425" t="s">
        <v>455</v>
      </c>
      <c r="C214" s="425" t="s">
        <v>50</v>
      </c>
      <c r="D214" s="425" t="s">
        <v>383</v>
      </c>
      <c r="E214" s="401" t="s">
        <v>16</v>
      </c>
      <c r="F214" s="345">
        <f>F215</f>
        <v>0</v>
      </c>
      <c r="G214" s="345">
        <f>G215</f>
        <v>0</v>
      </c>
    </row>
    <row r="215" spans="1:7" ht="36.700000000000003" hidden="1" outlineLevel="7" x14ac:dyDescent="0.25">
      <c r="A215" s="423" t="s">
        <v>17</v>
      </c>
      <c r="B215" s="425" t="s">
        <v>455</v>
      </c>
      <c r="C215" s="425" t="s">
        <v>50</v>
      </c>
      <c r="D215" s="425" t="s">
        <v>383</v>
      </c>
      <c r="E215" s="401" t="s">
        <v>18</v>
      </c>
      <c r="F215" s="402">
        <v>0</v>
      </c>
      <c r="G215" s="402">
        <v>0</v>
      </c>
    </row>
    <row r="216" spans="1:7" hidden="1" outlineLevel="7" x14ac:dyDescent="0.25">
      <c r="A216" s="423" t="s">
        <v>52</v>
      </c>
      <c r="B216" s="425" t="s">
        <v>455</v>
      </c>
      <c r="C216" s="425" t="s">
        <v>53</v>
      </c>
      <c r="D216" s="425" t="s">
        <v>126</v>
      </c>
      <c r="E216" s="401" t="s">
        <v>6</v>
      </c>
      <c r="F216" s="402">
        <f>F217+F222</f>
        <v>330000</v>
      </c>
      <c r="G216" s="402">
        <f>G217+G222</f>
        <v>330000</v>
      </c>
    </row>
    <row r="217" spans="1:7" ht="57.25" hidden="1" customHeight="1" outlineLevel="7" x14ac:dyDescent="0.25">
      <c r="A217" s="45" t="s">
        <v>1156</v>
      </c>
      <c r="B217" s="387" t="s">
        <v>455</v>
      </c>
      <c r="C217" s="387" t="s">
        <v>53</v>
      </c>
      <c r="D217" s="387" t="s">
        <v>385</v>
      </c>
      <c r="E217" s="387" t="s">
        <v>6</v>
      </c>
      <c r="F217" s="402">
        <f>F218</f>
        <v>100000</v>
      </c>
      <c r="G217" s="402">
        <f>G218</f>
        <v>100000</v>
      </c>
    </row>
    <row r="218" spans="1:7" ht="36.700000000000003" hidden="1" outlineLevel="7" x14ac:dyDescent="0.25">
      <c r="A218" s="423" t="s">
        <v>692</v>
      </c>
      <c r="B218" s="425" t="s">
        <v>455</v>
      </c>
      <c r="C218" s="425" t="s">
        <v>53</v>
      </c>
      <c r="D218" s="425" t="s">
        <v>387</v>
      </c>
      <c r="E218" s="425" t="s">
        <v>6</v>
      </c>
      <c r="F218" s="402">
        <f t="shared" ref="F218:G220" si="14">F219</f>
        <v>100000</v>
      </c>
      <c r="G218" s="402">
        <f t="shared" si="14"/>
        <v>100000</v>
      </c>
    </row>
    <row r="219" spans="1:7" ht="99.7" hidden="1" customHeight="1" outlineLevel="7" x14ac:dyDescent="0.25">
      <c r="A219" s="423" t="s">
        <v>693</v>
      </c>
      <c r="B219" s="425" t="s">
        <v>455</v>
      </c>
      <c r="C219" s="425" t="s">
        <v>53</v>
      </c>
      <c r="D219" s="425" t="s">
        <v>694</v>
      </c>
      <c r="E219" s="425" t="s">
        <v>6</v>
      </c>
      <c r="F219" s="402">
        <f t="shared" si="14"/>
        <v>100000</v>
      </c>
      <c r="G219" s="402">
        <f t="shared" si="14"/>
        <v>100000</v>
      </c>
    </row>
    <row r="220" spans="1:7" hidden="1" outlineLevel="2" x14ac:dyDescent="0.25">
      <c r="A220" s="423" t="s">
        <v>19</v>
      </c>
      <c r="B220" s="425" t="s">
        <v>455</v>
      </c>
      <c r="C220" s="425" t="s">
        <v>53</v>
      </c>
      <c r="D220" s="425" t="s">
        <v>694</v>
      </c>
      <c r="E220" s="425" t="s">
        <v>20</v>
      </c>
      <c r="F220" s="402">
        <f t="shared" si="14"/>
        <v>100000</v>
      </c>
      <c r="G220" s="402">
        <f t="shared" si="14"/>
        <v>100000</v>
      </c>
    </row>
    <row r="221" spans="1:7" ht="73.400000000000006" hidden="1" outlineLevel="2" x14ac:dyDescent="0.25">
      <c r="A221" s="423" t="s">
        <v>963</v>
      </c>
      <c r="B221" s="425" t="s">
        <v>455</v>
      </c>
      <c r="C221" s="425" t="s">
        <v>53</v>
      </c>
      <c r="D221" s="425" t="s">
        <v>694</v>
      </c>
      <c r="E221" s="425" t="s">
        <v>48</v>
      </c>
      <c r="F221" s="402">
        <v>100000</v>
      </c>
      <c r="G221" s="402">
        <v>100000</v>
      </c>
    </row>
    <row r="222" spans="1:7" ht="76.75" hidden="1" customHeight="1" outlineLevel="2" x14ac:dyDescent="0.25">
      <c r="A222" s="45" t="s">
        <v>1157</v>
      </c>
      <c r="B222" s="387" t="s">
        <v>455</v>
      </c>
      <c r="C222" s="387" t="s">
        <v>53</v>
      </c>
      <c r="D222" s="387" t="s">
        <v>327</v>
      </c>
      <c r="E222" s="403" t="s">
        <v>6</v>
      </c>
      <c r="F222" s="347">
        <f>F223+F227</f>
        <v>230000</v>
      </c>
      <c r="G222" s="347">
        <f>G223+G227</f>
        <v>230000</v>
      </c>
    </row>
    <row r="223" spans="1:7" ht="36.700000000000003" hidden="1" outlineLevel="2" x14ac:dyDescent="0.25">
      <c r="A223" s="423" t="s">
        <v>366</v>
      </c>
      <c r="B223" s="425" t="s">
        <v>455</v>
      </c>
      <c r="C223" s="425" t="s">
        <v>53</v>
      </c>
      <c r="D223" s="425" t="s">
        <v>328</v>
      </c>
      <c r="E223" s="401" t="s">
        <v>6</v>
      </c>
      <c r="F223" s="345">
        <f t="shared" ref="F223:G225" si="15">F224</f>
        <v>100000</v>
      </c>
      <c r="G223" s="345">
        <f t="shared" si="15"/>
        <v>100000</v>
      </c>
    </row>
    <row r="224" spans="1:7" ht="36.700000000000003" hidden="1" outlineLevel="2" x14ac:dyDescent="0.25">
      <c r="A224" s="423" t="s">
        <v>329</v>
      </c>
      <c r="B224" s="425" t="s">
        <v>455</v>
      </c>
      <c r="C224" s="425" t="s">
        <v>53</v>
      </c>
      <c r="D224" s="425" t="s">
        <v>330</v>
      </c>
      <c r="E224" s="401" t="s">
        <v>6</v>
      </c>
      <c r="F224" s="345">
        <f t="shared" si="15"/>
        <v>100000</v>
      </c>
      <c r="G224" s="345">
        <f t="shared" si="15"/>
        <v>100000</v>
      </c>
    </row>
    <row r="225" spans="1:8" s="76" customFormat="1" ht="36.700000000000003" hidden="1" outlineLevel="3" x14ac:dyDescent="0.25">
      <c r="A225" s="423" t="s">
        <v>15</v>
      </c>
      <c r="B225" s="425" t="s">
        <v>455</v>
      </c>
      <c r="C225" s="425" t="s">
        <v>53</v>
      </c>
      <c r="D225" s="425" t="s">
        <v>330</v>
      </c>
      <c r="E225" s="401" t="s">
        <v>16</v>
      </c>
      <c r="F225" s="345">
        <f t="shared" si="15"/>
        <v>100000</v>
      </c>
      <c r="G225" s="345">
        <f t="shared" si="15"/>
        <v>100000</v>
      </c>
      <c r="H225" s="75"/>
    </row>
    <row r="226" spans="1:8" ht="36.700000000000003" hidden="1" outlineLevel="3" x14ac:dyDescent="0.25">
      <c r="A226" s="423" t="s">
        <v>17</v>
      </c>
      <c r="B226" s="425" t="s">
        <v>455</v>
      </c>
      <c r="C226" s="425" t="s">
        <v>53</v>
      </c>
      <c r="D226" s="425" t="s">
        <v>330</v>
      </c>
      <c r="E226" s="401" t="s">
        <v>18</v>
      </c>
      <c r="F226" s="402">
        <v>100000</v>
      </c>
      <c r="G226" s="402">
        <v>100000</v>
      </c>
    </row>
    <row r="227" spans="1:8" ht="36.700000000000003" hidden="1" outlineLevel="3" x14ac:dyDescent="0.25">
      <c r="A227" s="423" t="s">
        <v>368</v>
      </c>
      <c r="B227" s="425" t="s">
        <v>455</v>
      </c>
      <c r="C227" s="425" t="s">
        <v>53</v>
      </c>
      <c r="D227" s="425" t="s">
        <v>367</v>
      </c>
      <c r="E227" s="401" t="s">
        <v>6</v>
      </c>
      <c r="F227" s="402">
        <f t="shared" ref="F227:G229" si="16">F228</f>
        <v>130000</v>
      </c>
      <c r="G227" s="402">
        <f t="shared" si="16"/>
        <v>130000</v>
      </c>
    </row>
    <row r="228" spans="1:8" ht="36.700000000000003" hidden="1" outlineLevel="3" x14ac:dyDescent="0.25">
      <c r="A228" s="423" t="s">
        <v>331</v>
      </c>
      <c r="B228" s="425" t="s">
        <v>455</v>
      </c>
      <c r="C228" s="425" t="s">
        <v>53</v>
      </c>
      <c r="D228" s="425" t="s">
        <v>403</v>
      </c>
      <c r="E228" s="401" t="s">
        <v>6</v>
      </c>
      <c r="F228" s="402">
        <f t="shared" si="16"/>
        <v>130000</v>
      </c>
      <c r="G228" s="402">
        <f t="shared" si="16"/>
        <v>130000</v>
      </c>
    </row>
    <row r="229" spans="1:8" ht="18.7" hidden="1" customHeight="1" outlineLevel="3" x14ac:dyDescent="0.25">
      <c r="A229" s="423" t="s">
        <v>15</v>
      </c>
      <c r="B229" s="425" t="s">
        <v>455</v>
      </c>
      <c r="C229" s="425" t="s">
        <v>53</v>
      </c>
      <c r="D229" s="425" t="s">
        <v>403</v>
      </c>
      <c r="E229" s="401" t="s">
        <v>16</v>
      </c>
      <c r="F229" s="402">
        <f t="shared" si="16"/>
        <v>130000</v>
      </c>
      <c r="G229" s="402">
        <f t="shared" si="16"/>
        <v>130000</v>
      </c>
    </row>
    <row r="230" spans="1:8" ht="19.55" hidden="1" customHeight="1" outlineLevel="3" x14ac:dyDescent="0.25">
      <c r="A230" s="423" t="s">
        <v>17</v>
      </c>
      <c r="B230" s="425" t="s">
        <v>455</v>
      </c>
      <c r="C230" s="425" t="s">
        <v>53</v>
      </c>
      <c r="D230" s="425" t="s">
        <v>403</v>
      </c>
      <c r="E230" s="401" t="s">
        <v>18</v>
      </c>
      <c r="F230" s="402">
        <v>130000</v>
      </c>
      <c r="G230" s="402">
        <v>130000</v>
      </c>
    </row>
    <row r="231" spans="1:8" hidden="1" outlineLevel="5" x14ac:dyDescent="0.25">
      <c r="A231" s="45" t="s">
        <v>54</v>
      </c>
      <c r="B231" s="387" t="s">
        <v>455</v>
      </c>
      <c r="C231" s="387" t="s">
        <v>55</v>
      </c>
      <c r="D231" s="387" t="s">
        <v>126</v>
      </c>
      <c r="E231" s="403" t="s">
        <v>6</v>
      </c>
      <c r="F231" s="347">
        <f>F232+F238+F254+F294</f>
        <v>13710716.370000001</v>
      </c>
      <c r="G231" s="347">
        <f>G232+G238+G254+G294</f>
        <v>13254253.370000001</v>
      </c>
    </row>
    <row r="232" spans="1:8" hidden="1" outlineLevel="6" x14ac:dyDescent="0.25">
      <c r="A232" s="423" t="s">
        <v>56</v>
      </c>
      <c r="B232" s="425" t="s">
        <v>455</v>
      </c>
      <c r="C232" s="425" t="s">
        <v>57</v>
      </c>
      <c r="D232" s="425" t="s">
        <v>126</v>
      </c>
      <c r="E232" s="401" t="s">
        <v>6</v>
      </c>
      <c r="F232" s="402">
        <f>F233</f>
        <v>600000</v>
      </c>
      <c r="G232" s="402">
        <f>G233</f>
        <v>600000</v>
      </c>
    </row>
    <row r="233" spans="1:8" ht="68.3" hidden="1" customHeight="1" outlineLevel="7" x14ac:dyDescent="0.25">
      <c r="A233" s="45" t="s">
        <v>1158</v>
      </c>
      <c r="B233" s="387" t="s">
        <v>455</v>
      </c>
      <c r="C233" s="387" t="s">
        <v>57</v>
      </c>
      <c r="D233" s="387" t="s">
        <v>319</v>
      </c>
      <c r="E233" s="403" t="s">
        <v>6</v>
      </c>
      <c r="F233" s="347">
        <f>F234</f>
        <v>600000</v>
      </c>
      <c r="G233" s="347">
        <f>G234</f>
        <v>600000</v>
      </c>
    </row>
    <row r="234" spans="1:8" s="76" customFormat="1" ht="36.700000000000003" hidden="1" outlineLevel="1" x14ac:dyDescent="0.25">
      <c r="A234" s="423" t="s">
        <v>332</v>
      </c>
      <c r="B234" s="425" t="s">
        <v>455</v>
      </c>
      <c r="C234" s="425" t="s">
        <v>57</v>
      </c>
      <c r="D234" s="425" t="s">
        <v>320</v>
      </c>
      <c r="E234" s="401" t="s">
        <v>6</v>
      </c>
      <c r="F234" s="402">
        <f t="shared" ref="F234:G236" si="17">F235</f>
        <v>600000</v>
      </c>
      <c r="G234" s="402">
        <f t="shared" si="17"/>
        <v>600000</v>
      </c>
      <c r="H234" s="75"/>
    </row>
    <row r="235" spans="1:8" ht="36.700000000000003" hidden="1" outlineLevel="1" x14ac:dyDescent="0.25">
      <c r="A235" s="423" t="s">
        <v>333</v>
      </c>
      <c r="B235" s="425" t="s">
        <v>455</v>
      </c>
      <c r="C235" s="425" t="s">
        <v>57</v>
      </c>
      <c r="D235" s="425" t="s">
        <v>334</v>
      </c>
      <c r="E235" s="401" t="s">
        <v>6</v>
      </c>
      <c r="F235" s="402">
        <f t="shared" si="17"/>
        <v>600000</v>
      </c>
      <c r="G235" s="402">
        <f t="shared" si="17"/>
        <v>600000</v>
      </c>
    </row>
    <row r="236" spans="1:8" s="76" customFormat="1" ht="36.700000000000003" hidden="1" outlineLevel="1" x14ac:dyDescent="0.25">
      <c r="A236" s="423" t="s">
        <v>15</v>
      </c>
      <c r="B236" s="425" t="s">
        <v>455</v>
      </c>
      <c r="C236" s="425" t="s">
        <v>57</v>
      </c>
      <c r="D236" s="425" t="s">
        <v>334</v>
      </c>
      <c r="E236" s="401" t="s">
        <v>16</v>
      </c>
      <c r="F236" s="402">
        <f t="shared" si="17"/>
        <v>600000</v>
      </c>
      <c r="G236" s="402">
        <f t="shared" si="17"/>
        <v>600000</v>
      </c>
      <c r="H236" s="75"/>
    </row>
    <row r="237" spans="1:8" ht="50.95" hidden="1" customHeight="1" outlineLevel="1" x14ac:dyDescent="0.25">
      <c r="A237" s="423" t="s">
        <v>17</v>
      </c>
      <c r="B237" s="425" t="s">
        <v>455</v>
      </c>
      <c r="C237" s="425" t="s">
        <v>57</v>
      </c>
      <c r="D237" s="425" t="s">
        <v>334</v>
      </c>
      <c r="E237" s="401" t="s">
        <v>18</v>
      </c>
      <c r="F237" s="345">
        <f>1100000-500000</f>
        <v>600000</v>
      </c>
      <c r="G237" s="345">
        <f>1100000-500000</f>
        <v>600000</v>
      </c>
    </row>
    <row r="238" spans="1:8" ht="19.55" hidden="1" customHeight="1" outlineLevel="7" x14ac:dyDescent="0.25">
      <c r="A238" s="423" t="s">
        <v>58</v>
      </c>
      <c r="B238" s="425" t="s">
        <v>455</v>
      </c>
      <c r="C238" s="425" t="s">
        <v>59</v>
      </c>
      <c r="D238" s="425" t="s">
        <v>126</v>
      </c>
      <c r="E238" s="401" t="s">
        <v>6</v>
      </c>
      <c r="F238" s="402">
        <f>F239</f>
        <v>100000</v>
      </c>
      <c r="G238" s="402">
        <f>G239</f>
        <v>100000</v>
      </c>
    </row>
    <row r="239" spans="1:8" ht="73.400000000000006" hidden="1" outlineLevel="7" x14ac:dyDescent="0.25">
      <c r="A239" s="45" t="s">
        <v>1159</v>
      </c>
      <c r="B239" s="387" t="s">
        <v>455</v>
      </c>
      <c r="C239" s="387" t="s">
        <v>59</v>
      </c>
      <c r="D239" s="387" t="s">
        <v>134</v>
      </c>
      <c r="E239" s="403" t="s">
        <v>6</v>
      </c>
      <c r="F239" s="347">
        <f>F240</f>
        <v>100000</v>
      </c>
      <c r="G239" s="347">
        <f>G240</f>
        <v>100000</v>
      </c>
    </row>
    <row r="240" spans="1:8" ht="55.05" hidden="1" outlineLevel="7" x14ac:dyDescent="0.25">
      <c r="A240" s="423" t="s">
        <v>1033</v>
      </c>
      <c r="B240" s="425" t="s">
        <v>455</v>
      </c>
      <c r="C240" s="425" t="s">
        <v>59</v>
      </c>
      <c r="D240" s="425" t="s">
        <v>335</v>
      </c>
      <c r="E240" s="401" t="s">
        <v>6</v>
      </c>
      <c r="F240" s="402">
        <f>F241+F248+F251</f>
        <v>100000</v>
      </c>
      <c r="G240" s="402">
        <f>G241+G248+G251</f>
        <v>100000</v>
      </c>
    </row>
    <row r="241" spans="1:12" ht="91.7" hidden="1" outlineLevel="1" x14ac:dyDescent="0.25">
      <c r="A241" s="423" t="s">
        <v>60</v>
      </c>
      <c r="B241" s="425" t="s">
        <v>455</v>
      </c>
      <c r="C241" s="425" t="s">
        <v>59</v>
      </c>
      <c r="D241" s="425" t="s">
        <v>336</v>
      </c>
      <c r="E241" s="401" t="s">
        <v>6</v>
      </c>
      <c r="F241" s="402">
        <f>F242+F244+F246</f>
        <v>100000</v>
      </c>
      <c r="G241" s="402">
        <f>G242+G244+G246</f>
        <v>100000</v>
      </c>
    </row>
    <row r="242" spans="1:12" s="76" customFormat="1" ht="36.700000000000003" hidden="1" outlineLevel="1" x14ac:dyDescent="0.25">
      <c r="A242" s="423" t="s">
        <v>15</v>
      </c>
      <c r="B242" s="425" t="s">
        <v>455</v>
      </c>
      <c r="C242" s="425" t="s">
        <v>59</v>
      </c>
      <c r="D242" s="425" t="s">
        <v>336</v>
      </c>
      <c r="E242" s="401" t="s">
        <v>16</v>
      </c>
      <c r="F242" s="402">
        <f>F243</f>
        <v>100000</v>
      </c>
      <c r="G242" s="402">
        <f>G243</f>
        <v>100000</v>
      </c>
      <c r="H242" s="75"/>
    </row>
    <row r="243" spans="1:12" ht="54.7" hidden="1" customHeight="1" outlineLevel="1" x14ac:dyDescent="0.25">
      <c r="A243" s="423" t="s">
        <v>17</v>
      </c>
      <c r="B243" s="425" t="s">
        <v>455</v>
      </c>
      <c r="C243" s="425" t="s">
        <v>59</v>
      </c>
      <c r="D243" s="425" t="s">
        <v>336</v>
      </c>
      <c r="E243" s="401" t="s">
        <v>18</v>
      </c>
      <c r="F243" s="345">
        <v>100000</v>
      </c>
      <c r="G243" s="345">
        <v>100000</v>
      </c>
    </row>
    <row r="244" spans="1:12" s="67" customFormat="1" ht="55.05" hidden="1" outlineLevel="1" x14ac:dyDescent="0.25">
      <c r="A244" s="423" t="s">
        <v>258</v>
      </c>
      <c r="B244" s="425" t="s">
        <v>455</v>
      </c>
      <c r="C244" s="425" t="s">
        <v>59</v>
      </c>
      <c r="D244" s="425" t="s">
        <v>336</v>
      </c>
      <c r="E244" s="425" t="s">
        <v>259</v>
      </c>
      <c r="F244" s="345">
        <f>F245</f>
        <v>0</v>
      </c>
      <c r="G244" s="345">
        <f>G245</f>
        <v>0</v>
      </c>
      <c r="I244" s="1"/>
      <c r="J244" s="1"/>
      <c r="K244" s="1"/>
      <c r="L244" s="1"/>
    </row>
    <row r="245" spans="1:12" s="67" customFormat="1" hidden="1" outlineLevel="1" x14ac:dyDescent="0.25">
      <c r="A245" s="423" t="s">
        <v>260</v>
      </c>
      <c r="B245" s="425" t="s">
        <v>455</v>
      </c>
      <c r="C245" s="425" t="s">
        <v>59</v>
      </c>
      <c r="D245" s="425" t="s">
        <v>336</v>
      </c>
      <c r="E245" s="425" t="s">
        <v>261</v>
      </c>
      <c r="F245" s="345">
        <v>0</v>
      </c>
      <c r="G245" s="345">
        <v>0</v>
      </c>
      <c r="I245" s="1"/>
      <c r="J245" s="1"/>
      <c r="K245" s="1"/>
      <c r="L245" s="1"/>
    </row>
    <row r="246" spans="1:12" s="67" customFormat="1" ht="24.8" hidden="1" customHeight="1" outlineLevel="1" x14ac:dyDescent="0.25">
      <c r="A246" s="423" t="s">
        <v>19</v>
      </c>
      <c r="B246" s="425" t="s">
        <v>455</v>
      </c>
      <c r="C246" s="425" t="s">
        <v>59</v>
      </c>
      <c r="D246" s="425" t="s">
        <v>336</v>
      </c>
      <c r="E246" s="425" t="s">
        <v>20</v>
      </c>
      <c r="F246" s="345">
        <f>F247</f>
        <v>0</v>
      </c>
      <c r="G246" s="345">
        <f>G247</f>
        <v>0</v>
      </c>
      <c r="I246" s="1"/>
      <c r="J246" s="1"/>
      <c r="K246" s="1"/>
      <c r="L246" s="1"/>
    </row>
    <row r="247" spans="1:12" s="67" customFormat="1" ht="68.599999999999994" hidden="1" customHeight="1" outlineLevel="1" x14ac:dyDescent="0.25">
      <c r="A247" s="423" t="s">
        <v>963</v>
      </c>
      <c r="B247" s="425" t="s">
        <v>455</v>
      </c>
      <c r="C247" s="425" t="s">
        <v>59</v>
      </c>
      <c r="D247" s="425" t="s">
        <v>336</v>
      </c>
      <c r="E247" s="425" t="s">
        <v>48</v>
      </c>
      <c r="F247" s="345">
        <v>0</v>
      </c>
      <c r="G247" s="345">
        <v>0</v>
      </c>
      <c r="I247" s="1"/>
      <c r="J247" s="1"/>
      <c r="K247" s="1"/>
      <c r="L247" s="1"/>
    </row>
    <row r="248" spans="1:12" s="67" customFormat="1" ht="64.55" hidden="1" customHeight="1" outlineLevel="1" x14ac:dyDescent="0.25">
      <c r="A248" s="423" t="s">
        <v>246</v>
      </c>
      <c r="B248" s="425" t="s">
        <v>455</v>
      </c>
      <c r="C248" s="425" t="s">
        <v>59</v>
      </c>
      <c r="D248" s="425" t="s">
        <v>337</v>
      </c>
      <c r="E248" s="401" t="s">
        <v>6</v>
      </c>
      <c r="F248" s="345">
        <f>F249</f>
        <v>0</v>
      </c>
      <c r="G248" s="345">
        <f>G249</f>
        <v>0</v>
      </c>
      <c r="I248" s="1"/>
      <c r="J248" s="1"/>
      <c r="K248" s="1"/>
      <c r="L248" s="1"/>
    </row>
    <row r="249" spans="1:12" s="67" customFormat="1" ht="21.25" hidden="1" customHeight="1" outlineLevel="1" x14ac:dyDescent="0.25">
      <c r="A249" s="423" t="s">
        <v>19</v>
      </c>
      <c r="B249" s="425" t="s">
        <v>455</v>
      </c>
      <c r="C249" s="425" t="s">
        <v>59</v>
      </c>
      <c r="D249" s="425" t="s">
        <v>337</v>
      </c>
      <c r="E249" s="401" t="s">
        <v>20</v>
      </c>
      <c r="F249" s="345">
        <f>F250</f>
        <v>0</v>
      </c>
      <c r="G249" s="345">
        <f>G250</f>
        <v>0</v>
      </c>
      <c r="I249" s="1"/>
      <c r="J249" s="1"/>
      <c r="K249" s="1"/>
      <c r="L249" s="1"/>
    </row>
    <row r="250" spans="1:12" s="67" customFormat="1" ht="55.55" hidden="1" customHeight="1" outlineLevel="1" x14ac:dyDescent="0.25">
      <c r="A250" s="423" t="s">
        <v>963</v>
      </c>
      <c r="B250" s="425" t="s">
        <v>455</v>
      </c>
      <c r="C250" s="425" t="s">
        <v>59</v>
      </c>
      <c r="D250" s="425" t="s">
        <v>337</v>
      </c>
      <c r="E250" s="401" t="s">
        <v>48</v>
      </c>
      <c r="F250" s="402">
        <v>0</v>
      </c>
      <c r="G250" s="402">
        <v>0</v>
      </c>
      <c r="I250" s="1"/>
      <c r="J250" s="1"/>
      <c r="K250" s="1"/>
      <c r="L250" s="1"/>
    </row>
    <row r="251" spans="1:12" s="67" customFormat="1" ht="27.2" hidden="1" customHeight="1" outlineLevel="1" x14ac:dyDescent="0.25">
      <c r="A251" s="423" t="s">
        <v>256</v>
      </c>
      <c r="B251" s="425" t="s">
        <v>455</v>
      </c>
      <c r="C251" s="425" t="s">
        <v>59</v>
      </c>
      <c r="D251" s="425" t="s">
        <v>338</v>
      </c>
      <c r="E251" s="401" t="s">
        <v>6</v>
      </c>
      <c r="F251" s="345">
        <f>F252</f>
        <v>0</v>
      </c>
      <c r="G251" s="345">
        <f>G252</f>
        <v>0</v>
      </c>
      <c r="I251" s="1"/>
      <c r="J251" s="1"/>
      <c r="K251" s="1"/>
      <c r="L251" s="1"/>
    </row>
    <row r="252" spans="1:12" s="67" customFormat="1" ht="32.6" hidden="1" customHeight="1" outlineLevel="1" x14ac:dyDescent="0.25">
      <c r="A252" s="423" t="s">
        <v>19</v>
      </c>
      <c r="B252" s="425" t="s">
        <v>455</v>
      </c>
      <c r="C252" s="425" t="s">
        <v>59</v>
      </c>
      <c r="D252" s="425" t="s">
        <v>338</v>
      </c>
      <c r="E252" s="401" t="s">
        <v>20</v>
      </c>
      <c r="F252" s="345">
        <f>F253</f>
        <v>0</v>
      </c>
      <c r="G252" s="345">
        <f>G253</f>
        <v>0</v>
      </c>
      <c r="I252" s="1"/>
      <c r="J252" s="1"/>
      <c r="K252" s="1"/>
      <c r="L252" s="1"/>
    </row>
    <row r="253" spans="1:12" s="67" customFormat="1" ht="53.5" hidden="1" customHeight="1" outlineLevel="1" x14ac:dyDescent="0.25">
      <c r="A253" s="423" t="s">
        <v>963</v>
      </c>
      <c r="B253" s="425" t="s">
        <v>455</v>
      </c>
      <c r="C253" s="425" t="s">
        <v>59</v>
      </c>
      <c r="D253" s="425" t="s">
        <v>338</v>
      </c>
      <c r="E253" s="401" t="s">
        <v>48</v>
      </c>
      <c r="F253" s="402">
        <v>0</v>
      </c>
      <c r="G253" s="402">
        <v>0</v>
      </c>
      <c r="I253" s="1"/>
      <c r="J253" s="1"/>
      <c r="K253" s="1"/>
      <c r="L253" s="1"/>
    </row>
    <row r="254" spans="1:12" hidden="1" outlineLevel="1" x14ac:dyDescent="0.25">
      <c r="A254" s="423" t="s">
        <v>61</v>
      </c>
      <c r="B254" s="425" t="s">
        <v>455</v>
      </c>
      <c r="C254" s="425" t="s">
        <v>62</v>
      </c>
      <c r="D254" s="425" t="s">
        <v>126</v>
      </c>
      <c r="E254" s="401" t="s">
        <v>6</v>
      </c>
      <c r="F254" s="402">
        <f>F255+F263+F274</f>
        <v>13010716.370000001</v>
      </c>
      <c r="G254" s="402">
        <f>G255+G263+G274</f>
        <v>12554253.370000001</v>
      </c>
    </row>
    <row r="255" spans="1:12" ht="73.400000000000006" hidden="1" outlineLevel="1" x14ac:dyDescent="0.25">
      <c r="A255" s="45" t="s">
        <v>1159</v>
      </c>
      <c r="B255" s="425" t="s">
        <v>455</v>
      </c>
      <c r="C255" s="387" t="s">
        <v>62</v>
      </c>
      <c r="D255" s="387" t="s">
        <v>134</v>
      </c>
      <c r="E255" s="403" t="s">
        <v>6</v>
      </c>
      <c r="F255" s="402">
        <f>F256</f>
        <v>200000</v>
      </c>
      <c r="G255" s="402">
        <f>G256</f>
        <v>200000</v>
      </c>
    </row>
    <row r="256" spans="1:12" hidden="1" outlineLevel="1" x14ac:dyDescent="0.25">
      <c r="A256" s="423" t="s">
        <v>339</v>
      </c>
      <c r="B256" s="425" t="s">
        <v>455</v>
      </c>
      <c r="C256" s="425" t="s">
        <v>62</v>
      </c>
      <c r="D256" s="425" t="s">
        <v>229</v>
      </c>
      <c r="E256" s="401" t="s">
        <v>6</v>
      </c>
      <c r="F256" s="402">
        <f>F257+F260</f>
        <v>200000</v>
      </c>
      <c r="G256" s="402">
        <f>G257+G260</f>
        <v>200000</v>
      </c>
    </row>
    <row r="257" spans="1:8" ht="36.700000000000003" hidden="1" outlineLevel="1" x14ac:dyDescent="0.25">
      <c r="A257" s="423" t="s">
        <v>343</v>
      </c>
      <c r="B257" s="425" t="s">
        <v>455</v>
      </c>
      <c r="C257" s="425" t="s">
        <v>62</v>
      </c>
      <c r="D257" s="425" t="s">
        <v>418</v>
      </c>
      <c r="E257" s="401" t="s">
        <v>6</v>
      </c>
      <c r="F257" s="402">
        <f>F258</f>
        <v>0</v>
      </c>
      <c r="G257" s="402">
        <f>G258</f>
        <v>0</v>
      </c>
    </row>
    <row r="258" spans="1:8" s="76" customFormat="1" ht="36.700000000000003" hidden="1" outlineLevel="1" x14ac:dyDescent="0.25">
      <c r="A258" s="423" t="s">
        <v>15</v>
      </c>
      <c r="B258" s="425" t="s">
        <v>455</v>
      </c>
      <c r="C258" s="425" t="s">
        <v>62</v>
      </c>
      <c r="D258" s="425" t="s">
        <v>418</v>
      </c>
      <c r="E258" s="401" t="s">
        <v>16</v>
      </c>
      <c r="F258" s="402">
        <f>F259</f>
        <v>0</v>
      </c>
      <c r="G258" s="402">
        <f>G259</f>
        <v>0</v>
      </c>
      <c r="H258" s="75"/>
    </row>
    <row r="259" spans="1:8" ht="42.3" hidden="1" customHeight="1" outlineLevel="1" x14ac:dyDescent="0.25">
      <c r="A259" s="423" t="s">
        <v>17</v>
      </c>
      <c r="B259" s="425" t="s">
        <v>455</v>
      </c>
      <c r="C259" s="425" t="s">
        <v>62</v>
      </c>
      <c r="D259" s="425" t="s">
        <v>418</v>
      </c>
      <c r="E259" s="401" t="s">
        <v>18</v>
      </c>
      <c r="F259" s="402">
        <v>0</v>
      </c>
      <c r="G259" s="402">
        <f>400000-400000</f>
        <v>0</v>
      </c>
    </row>
    <row r="260" spans="1:8" ht="36.700000000000003" hidden="1" outlineLevel="1" x14ac:dyDescent="0.25">
      <c r="A260" s="423" t="s">
        <v>63</v>
      </c>
      <c r="B260" s="425" t="s">
        <v>455</v>
      </c>
      <c r="C260" s="425" t="s">
        <v>62</v>
      </c>
      <c r="D260" s="425" t="s">
        <v>340</v>
      </c>
      <c r="E260" s="401" t="s">
        <v>6</v>
      </c>
      <c r="F260" s="402">
        <f>F261</f>
        <v>200000</v>
      </c>
      <c r="G260" s="402">
        <f>G261</f>
        <v>200000</v>
      </c>
    </row>
    <row r="261" spans="1:8" ht="36.700000000000003" hidden="1" outlineLevel="1" x14ac:dyDescent="0.25">
      <c r="A261" s="423" t="s">
        <v>15</v>
      </c>
      <c r="B261" s="425" t="s">
        <v>455</v>
      </c>
      <c r="C261" s="425" t="s">
        <v>62</v>
      </c>
      <c r="D261" s="425" t="s">
        <v>340</v>
      </c>
      <c r="E261" s="401" t="s">
        <v>16</v>
      </c>
      <c r="F261" s="402">
        <f>F262</f>
        <v>200000</v>
      </c>
      <c r="G261" s="402">
        <f>G262</f>
        <v>200000</v>
      </c>
    </row>
    <row r="262" spans="1:8" ht="22.75" hidden="1" customHeight="1" outlineLevel="1" x14ac:dyDescent="0.25">
      <c r="A262" s="423" t="s">
        <v>17</v>
      </c>
      <c r="B262" s="425" t="s">
        <v>455</v>
      </c>
      <c r="C262" s="425" t="s">
        <v>62</v>
      </c>
      <c r="D262" s="425" t="s">
        <v>340</v>
      </c>
      <c r="E262" s="401" t="s">
        <v>18</v>
      </c>
      <c r="F262" s="345">
        <v>200000</v>
      </c>
      <c r="G262" s="345">
        <v>200000</v>
      </c>
    </row>
    <row r="263" spans="1:8" s="76" customFormat="1" ht="55.05" hidden="1" outlineLevel="1" x14ac:dyDescent="0.25">
      <c r="A263" s="45" t="s">
        <v>1160</v>
      </c>
      <c r="B263" s="387" t="s">
        <v>455</v>
      </c>
      <c r="C263" s="387" t="s">
        <v>62</v>
      </c>
      <c r="D263" s="387" t="s">
        <v>464</v>
      </c>
      <c r="E263" s="403" t="s">
        <v>6</v>
      </c>
      <c r="F263" s="402">
        <f>F264</f>
        <v>1345000</v>
      </c>
      <c r="G263" s="402">
        <f>G264</f>
        <v>888537</v>
      </c>
      <c r="H263" s="75"/>
    </row>
    <row r="264" spans="1:8" ht="36.700000000000003" hidden="1" outlineLevel="1" x14ac:dyDescent="0.25">
      <c r="A264" s="423" t="s">
        <v>465</v>
      </c>
      <c r="B264" s="425" t="s">
        <v>455</v>
      </c>
      <c r="C264" s="425" t="s">
        <v>62</v>
      </c>
      <c r="D264" s="425" t="s">
        <v>466</v>
      </c>
      <c r="E264" s="401" t="s">
        <v>6</v>
      </c>
      <c r="F264" s="402">
        <f>F265+F268+F271</f>
        <v>1345000</v>
      </c>
      <c r="G264" s="402">
        <f>G265+G268+G271</f>
        <v>888537</v>
      </c>
    </row>
    <row r="265" spans="1:8" ht="56.25" hidden="1" customHeight="1" outlineLevel="1" x14ac:dyDescent="0.25">
      <c r="A265" s="423" t="s">
        <v>467</v>
      </c>
      <c r="B265" s="425" t="s">
        <v>455</v>
      </c>
      <c r="C265" s="425" t="s">
        <v>62</v>
      </c>
      <c r="D265" s="425" t="s">
        <v>468</v>
      </c>
      <c r="E265" s="401" t="s">
        <v>6</v>
      </c>
      <c r="F265" s="402">
        <f>F266</f>
        <v>970000</v>
      </c>
      <c r="G265" s="402">
        <f>G266</f>
        <v>513537</v>
      </c>
    </row>
    <row r="266" spans="1:8" ht="36.700000000000003" hidden="1" outlineLevel="1" x14ac:dyDescent="0.25">
      <c r="A266" s="423" t="s">
        <v>15</v>
      </c>
      <c r="B266" s="425" t="s">
        <v>455</v>
      </c>
      <c r="C266" s="425" t="s">
        <v>62</v>
      </c>
      <c r="D266" s="425" t="s">
        <v>468</v>
      </c>
      <c r="E266" s="401" t="s">
        <v>16</v>
      </c>
      <c r="F266" s="402">
        <f>F267</f>
        <v>970000</v>
      </c>
      <c r="G266" s="402">
        <f>G267</f>
        <v>513537</v>
      </c>
    </row>
    <row r="267" spans="1:8" ht="36.700000000000003" hidden="1" outlineLevel="1" x14ac:dyDescent="0.25">
      <c r="A267" s="423" t="s">
        <v>17</v>
      </c>
      <c r="B267" s="425" t="s">
        <v>455</v>
      </c>
      <c r="C267" s="425" t="s">
        <v>62</v>
      </c>
      <c r="D267" s="425" t="s">
        <v>468</v>
      </c>
      <c r="E267" s="401" t="s">
        <v>18</v>
      </c>
      <c r="F267" s="345">
        <f>2470000-1500000</f>
        <v>970000</v>
      </c>
      <c r="G267" s="345">
        <f>2613537-2100000</f>
        <v>513537</v>
      </c>
    </row>
    <row r="268" spans="1:8" ht="38.25" hidden="1" customHeight="1" outlineLevel="1" x14ac:dyDescent="0.25">
      <c r="A268" s="423" t="s">
        <v>469</v>
      </c>
      <c r="B268" s="425" t="s">
        <v>455</v>
      </c>
      <c r="C268" s="425" t="s">
        <v>62</v>
      </c>
      <c r="D268" s="425" t="s">
        <v>470</v>
      </c>
      <c r="E268" s="401" t="s">
        <v>6</v>
      </c>
      <c r="F268" s="402">
        <f>F269</f>
        <v>0</v>
      </c>
      <c r="G268" s="402">
        <f>G269</f>
        <v>0</v>
      </c>
    </row>
    <row r="269" spans="1:8" ht="36.700000000000003" hidden="1" outlineLevel="1" x14ac:dyDescent="0.25">
      <c r="A269" s="423" t="s">
        <v>15</v>
      </c>
      <c r="B269" s="425" t="s">
        <v>455</v>
      </c>
      <c r="C269" s="425" t="s">
        <v>62</v>
      </c>
      <c r="D269" s="425" t="s">
        <v>470</v>
      </c>
      <c r="E269" s="401" t="s">
        <v>16</v>
      </c>
      <c r="F269" s="402">
        <f>F270</f>
        <v>0</v>
      </c>
      <c r="G269" s="402">
        <f>G270</f>
        <v>0</v>
      </c>
    </row>
    <row r="270" spans="1:8" ht="36.700000000000003" hidden="1" outlineLevel="1" x14ac:dyDescent="0.25">
      <c r="A270" s="423" t="s">
        <v>17</v>
      </c>
      <c r="B270" s="425" t="s">
        <v>455</v>
      </c>
      <c r="C270" s="425" t="s">
        <v>62</v>
      </c>
      <c r="D270" s="425" t="s">
        <v>470</v>
      </c>
      <c r="E270" s="401" t="s">
        <v>18</v>
      </c>
      <c r="F270" s="345">
        <f>4910000-4910000</f>
        <v>0</v>
      </c>
      <c r="G270" s="345">
        <f>5150000-5150000</f>
        <v>0</v>
      </c>
    </row>
    <row r="271" spans="1:8" ht="36.700000000000003" hidden="1" outlineLevel="1" x14ac:dyDescent="0.25">
      <c r="A271" s="423" t="s">
        <v>471</v>
      </c>
      <c r="B271" s="425" t="s">
        <v>455</v>
      </c>
      <c r="C271" s="425" t="s">
        <v>62</v>
      </c>
      <c r="D271" s="425" t="s">
        <v>472</v>
      </c>
      <c r="E271" s="401" t="s">
        <v>6</v>
      </c>
      <c r="F271" s="402">
        <f>F272</f>
        <v>375000</v>
      </c>
      <c r="G271" s="402">
        <f>G272</f>
        <v>375000</v>
      </c>
    </row>
    <row r="272" spans="1:8" ht="36.700000000000003" hidden="1" outlineLevel="1" x14ac:dyDescent="0.25">
      <c r="A272" s="423" t="s">
        <v>15</v>
      </c>
      <c r="B272" s="425" t="s">
        <v>455</v>
      </c>
      <c r="C272" s="425" t="s">
        <v>62</v>
      </c>
      <c r="D272" s="425" t="s">
        <v>472</v>
      </c>
      <c r="E272" s="401" t="s">
        <v>16</v>
      </c>
      <c r="F272" s="402">
        <f>F273</f>
        <v>375000</v>
      </c>
      <c r="G272" s="402">
        <f>G273</f>
        <v>375000</v>
      </c>
    </row>
    <row r="273" spans="1:8" ht="36.700000000000003" hidden="1" outlineLevel="1" x14ac:dyDescent="0.25">
      <c r="A273" s="423" t="s">
        <v>17</v>
      </c>
      <c r="B273" s="425" t="s">
        <v>455</v>
      </c>
      <c r="C273" s="425" t="s">
        <v>62</v>
      </c>
      <c r="D273" s="425" t="s">
        <v>472</v>
      </c>
      <c r="E273" s="401" t="s">
        <v>18</v>
      </c>
      <c r="F273" s="345">
        <f>3875000-3500000</f>
        <v>375000</v>
      </c>
      <c r="G273" s="345">
        <f>3875000-3500000</f>
        <v>375000</v>
      </c>
    </row>
    <row r="274" spans="1:8" s="76" customFormat="1" ht="73.400000000000006" hidden="1" outlineLevel="1" x14ac:dyDescent="0.25">
      <c r="A274" s="45" t="s">
        <v>473</v>
      </c>
      <c r="B274" s="387" t="s">
        <v>455</v>
      </c>
      <c r="C274" s="387" t="s">
        <v>62</v>
      </c>
      <c r="D274" s="387" t="s">
        <v>474</v>
      </c>
      <c r="E274" s="403" t="s">
        <v>6</v>
      </c>
      <c r="F274" s="402">
        <f>F275+F283</f>
        <v>11465716.370000001</v>
      </c>
      <c r="G274" s="402">
        <f>G275+G283</f>
        <v>11465716.370000001</v>
      </c>
      <c r="H274" s="75"/>
    </row>
    <row r="275" spans="1:8" s="76" customFormat="1" ht="55.05" hidden="1" outlineLevel="1" x14ac:dyDescent="0.25">
      <c r="A275" s="45" t="s">
        <v>501</v>
      </c>
      <c r="B275" s="387" t="s">
        <v>455</v>
      </c>
      <c r="C275" s="387" t="s">
        <v>62</v>
      </c>
      <c r="D275" s="387" t="s">
        <v>502</v>
      </c>
      <c r="E275" s="403" t="s">
        <v>6</v>
      </c>
      <c r="F275" s="402">
        <f>F276+F280</f>
        <v>0</v>
      </c>
      <c r="G275" s="402">
        <f>G276+G280</f>
        <v>0</v>
      </c>
      <c r="H275" s="75"/>
    </row>
    <row r="276" spans="1:8" ht="36.700000000000003" hidden="1" outlineLevel="1" x14ac:dyDescent="0.25">
      <c r="A276" s="423" t="s">
        <v>931</v>
      </c>
      <c r="B276" s="425" t="s">
        <v>455</v>
      </c>
      <c r="C276" s="425" t="s">
        <v>62</v>
      </c>
      <c r="D276" s="425" t="s">
        <v>503</v>
      </c>
      <c r="E276" s="401" t="s">
        <v>6</v>
      </c>
      <c r="F276" s="402">
        <f t="shared" ref="F276:G278" si="18">F277</f>
        <v>0</v>
      </c>
      <c r="G276" s="402">
        <f t="shared" si="18"/>
        <v>0</v>
      </c>
    </row>
    <row r="277" spans="1:8" ht="36.700000000000003" hidden="1" outlineLevel="1" x14ac:dyDescent="0.25">
      <c r="A277" s="423" t="s">
        <v>499</v>
      </c>
      <c r="B277" s="425" t="s">
        <v>455</v>
      </c>
      <c r="C277" s="425" t="s">
        <v>62</v>
      </c>
      <c r="D277" s="425" t="s">
        <v>504</v>
      </c>
      <c r="E277" s="401" t="s">
        <v>6</v>
      </c>
      <c r="F277" s="402">
        <f t="shared" si="18"/>
        <v>0</v>
      </c>
      <c r="G277" s="402">
        <f t="shared" si="18"/>
        <v>0</v>
      </c>
    </row>
    <row r="278" spans="1:8" ht="36.700000000000003" hidden="1" outlineLevel="1" x14ac:dyDescent="0.25">
      <c r="A278" s="423" t="s">
        <v>15</v>
      </c>
      <c r="B278" s="425" t="s">
        <v>455</v>
      </c>
      <c r="C278" s="425" t="s">
        <v>62</v>
      </c>
      <c r="D278" s="425" t="s">
        <v>504</v>
      </c>
      <c r="E278" s="401" t="s">
        <v>16</v>
      </c>
      <c r="F278" s="402">
        <f t="shared" si="18"/>
        <v>0</v>
      </c>
      <c r="G278" s="402">
        <f t="shared" si="18"/>
        <v>0</v>
      </c>
    </row>
    <row r="279" spans="1:8" ht="52.5" hidden="1" customHeight="1" outlineLevel="1" x14ac:dyDescent="0.25">
      <c r="A279" s="423" t="s">
        <v>17</v>
      </c>
      <c r="B279" s="425" t="s">
        <v>455</v>
      </c>
      <c r="C279" s="425" t="s">
        <v>62</v>
      </c>
      <c r="D279" s="425" t="s">
        <v>504</v>
      </c>
      <c r="E279" s="401" t="s">
        <v>18</v>
      </c>
      <c r="F279" s="402">
        <v>0</v>
      </c>
      <c r="G279" s="402">
        <f>38021.38-38021.38</f>
        <v>0</v>
      </c>
      <c r="H279" s="67" t="s">
        <v>881</v>
      </c>
    </row>
    <row r="280" spans="1:8" ht="55.05" hidden="1" outlineLevel="1" x14ac:dyDescent="0.25">
      <c r="A280" s="423" t="s">
        <v>614</v>
      </c>
      <c r="B280" s="425" t="s">
        <v>455</v>
      </c>
      <c r="C280" s="425" t="s">
        <v>62</v>
      </c>
      <c r="D280" s="425" t="s">
        <v>655</v>
      </c>
      <c r="E280" s="425" t="s">
        <v>6</v>
      </c>
      <c r="F280" s="402">
        <f>F281</f>
        <v>0</v>
      </c>
      <c r="G280" s="402">
        <f>G281</f>
        <v>0</v>
      </c>
    </row>
    <row r="281" spans="1:8" ht="36.700000000000003" hidden="1" outlineLevel="1" x14ac:dyDescent="0.25">
      <c r="A281" s="423" t="s">
        <v>15</v>
      </c>
      <c r="B281" s="425" t="s">
        <v>455</v>
      </c>
      <c r="C281" s="425" t="s">
        <v>62</v>
      </c>
      <c r="D281" s="425" t="s">
        <v>655</v>
      </c>
      <c r="E281" s="425" t="s">
        <v>16</v>
      </c>
      <c r="F281" s="402">
        <f>F282</f>
        <v>0</v>
      </c>
      <c r="G281" s="402">
        <f>G282</f>
        <v>0</v>
      </c>
    </row>
    <row r="282" spans="1:8" ht="36.700000000000003" hidden="1" outlineLevel="1" x14ac:dyDescent="0.25">
      <c r="A282" s="423" t="s">
        <v>17</v>
      </c>
      <c r="B282" s="425" t="s">
        <v>455</v>
      </c>
      <c r="C282" s="425" t="s">
        <v>62</v>
      </c>
      <c r="D282" s="425" t="s">
        <v>655</v>
      </c>
      <c r="E282" s="425" t="s">
        <v>18</v>
      </c>
      <c r="F282" s="402">
        <v>0</v>
      </c>
      <c r="G282" s="402">
        <f>351540.6-351540.6</f>
        <v>0</v>
      </c>
    </row>
    <row r="283" spans="1:8" s="76" customFormat="1" ht="55.05" hidden="1" outlineLevel="1" x14ac:dyDescent="0.25">
      <c r="A283" s="45" t="s">
        <v>505</v>
      </c>
      <c r="B283" s="425" t="s">
        <v>455</v>
      </c>
      <c r="C283" s="425" t="s">
        <v>62</v>
      </c>
      <c r="D283" s="387" t="s">
        <v>507</v>
      </c>
      <c r="E283" s="403" t="s">
        <v>6</v>
      </c>
      <c r="F283" s="402">
        <f>F284</f>
        <v>11465716.370000001</v>
      </c>
      <c r="G283" s="402">
        <f>G284</f>
        <v>11465716.370000001</v>
      </c>
      <c r="H283" s="75"/>
    </row>
    <row r="284" spans="1:8" s="76" customFormat="1" ht="41.95" hidden="1" customHeight="1" outlineLevel="1" x14ac:dyDescent="0.25">
      <c r="A284" s="45" t="s">
        <v>506</v>
      </c>
      <c r="B284" s="425" t="s">
        <v>455</v>
      </c>
      <c r="C284" s="425" t="s">
        <v>62</v>
      </c>
      <c r="D284" s="387" t="s">
        <v>508</v>
      </c>
      <c r="E284" s="403" t="s">
        <v>6</v>
      </c>
      <c r="F284" s="347">
        <f>F285+F288+F291</f>
        <v>11465716.370000001</v>
      </c>
      <c r="G284" s="347">
        <f>G285+G288+G291</f>
        <v>11465716.370000001</v>
      </c>
      <c r="H284" s="75"/>
    </row>
    <row r="285" spans="1:8" s="76" customFormat="1" ht="102.6" hidden="1" customHeight="1" outlineLevel="1" x14ac:dyDescent="0.25">
      <c r="A285" s="44" t="s">
        <v>951</v>
      </c>
      <c r="B285" s="425" t="s">
        <v>455</v>
      </c>
      <c r="C285" s="425" t="s">
        <v>62</v>
      </c>
      <c r="D285" s="425" t="s">
        <v>531</v>
      </c>
      <c r="E285" s="401" t="s">
        <v>6</v>
      </c>
      <c r="F285" s="402">
        <f>F286</f>
        <v>11351059.210000001</v>
      </c>
      <c r="G285" s="402">
        <f>G286</f>
        <v>11351059.210000001</v>
      </c>
      <c r="H285" s="75"/>
    </row>
    <row r="286" spans="1:8" s="76" customFormat="1" ht="36.700000000000003" hidden="1" outlineLevel="1" x14ac:dyDescent="0.25">
      <c r="A286" s="423" t="s">
        <v>15</v>
      </c>
      <c r="B286" s="425" t="s">
        <v>455</v>
      </c>
      <c r="C286" s="425" t="s">
        <v>62</v>
      </c>
      <c r="D286" s="425" t="s">
        <v>531</v>
      </c>
      <c r="E286" s="401" t="s">
        <v>16</v>
      </c>
      <c r="F286" s="402">
        <f>F287</f>
        <v>11351059.210000001</v>
      </c>
      <c r="G286" s="402">
        <f>G287</f>
        <v>11351059.210000001</v>
      </c>
      <c r="H286" s="75"/>
    </row>
    <row r="287" spans="1:8" s="76" customFormat="1" ht="36.700000000000003" hidden="1" outlineLevel="1" x14ac:dyDescent="0.25">
      <c r="A287" s="423" t="s">
        <v>17</v>
      </c>
      <c r="B287" s="425" t="s">
        <v>455</v>
      </c>
      <c r="C287" s="425" t="s">
        <v>62</v>
      </c>
      <c r="D287" s="425" t="s">
        <v>531</v>
      </c>
      <c r="E287" s="401" t="s">
        <v>18</v>
      </c>
      <c r="F287" s="402">
        <v>11351059.210000001</v>
      </c>
      <c r="G287" s="402">
        <v>11351059.210000001</v>
      </c>
      <c r="H287" s="75"/>
    </row>
    <row r="288" spans="1:8" ht="40.75" hidden="1" customHeight="1" outlineLevel="1" x14ac:dyDescent="0.25">
      <c r="A288" s="423" t="s">
        <v>510</v>
      </c>
      <c r="B288" s="425" t="s">
        <v>455</v>
      </c>
      <c r="C288" s="425" t="s">
        <v>62</v>
      </c>
      <c r="D288" s="425" t="s">
        <v>509</v>
      </c>
      <c r="E288" s="401" t="s">
        <v>6</v>
      </c>
      <c r="F288" s="402">
        <f>F289</f>
        <v>114657.16</v>
      </c>
      <c r="G288" s="402">
        <f>G289</f>
        <v>114657.16</v>
      </c>
    </row>
    <row r="289" spans="1:8" ht="36.700000000000003" hidden="1" outlineLevel="1" x14ac:dyDescent="0.25">
      <c r="A289" s="423" t="s">
        <v>15</v>
      </c>
      <c r="B289" s="425" t="s">
        <v>455</v>
      </c>
      <c r="C289" s="425" t="s">
        <v>62</v>
      </c>
      <c r="D289" s="425" t="s">
        <v>509</v>
      </c>
      <c r="E289" s="401" t="s">
        <v>16</v>
      </c>
      <c r="F289" s="402">
        <f>F290</f>
        <v>114657.16</v>
      </c>
      <c r="G289" s="402">
        <f>G290</f>
        <v>114657.16</v>
      </c>
    </row>
    <row r="290" spans="1:8" ht="54.7" hidden="1" customHeight="1" outlineLevel="1" x14ac:dyDescent="0.25">
      <c r="A290" s="423" t="s">
        <v>17</v>
      </c>
      <c r="B290" s="425" t="s">
        <v>455</v>
      </c>
      <c r="C290" s="425" t="s">
        <v>62</v>
      </c>
      <c r="D290" s="425" t="s">
        <v>509</v>
      </c>
      <c r="E290" s="401" t="s">
        <v>18</v>
      </c>
      <c r="F290" s="345">
        <f>ROUND(F287*1/99,2)</f>
        <v>114657.16</v>
      </c>
      <c r="G290" s="345">
        <f>ROUND(G287*1/99,2)</f>
        <v>114657.16</v>
      </c>
    </row>
    <row r="291" spans="1:8" ht="54" hidden="1" customHeight="1" outlineLevel="1" x14ac:dyDescent="0.25">
      <c r="A291" s="423" t="s">
        <v>614</v>
      </c>
      <c r="B291" s="425" t="s">
        <v>455</v>
      </c>
      <c r="C291" s="425" t="s">
        <v>62</v>
      </c>
      <c r="D291" s="425" t="s">
        <v>613</v>
      </c>
      <c r="E291" s="425" t="s">
        <v>6</v>
      </c>
      <c r="F291" s="402">
        <f>F292</f>
        <v>0</v>
      </c>
      <c r="G291" s="402">
        <f>G292</f>
        <v>0</v>
      </c>
    </row>
    <row r="292" spans="1:8" ht="36.700000000000003" hidden="1" outlineLevel="1" x14ac:dyDescent="0.25">
      <c r="A292" s="423" t="s">
        <v>15</v>
      </c>
      <c r="B292" s="425" t="s">
        <v>455</v>
      </c>
      <c r="C292" s="425" t="s">
        <v>62</v>
      </c>
      <c r="D292" s="425" t="s">
        <v>613</v>
      </c>
      <c r="E292" s="425" t="s">
        <v>16</v>
      </c>
      <c r="F292" s="402">
        <f>F293</f>
        <v>0</v>
      </c>
      <c r="G292" s="402">
        <f>G293</f>
        <v>0</v>
      </c>
    </row>
    <row r="293" spans="1:8" ht="36.700000000000003" hidden="1" outlineLevel="1" x14ac:dyDescent="0.25">
      <c r="A293" s="423" t="s">
        <v>17</v>
      </c>
      <c r="B293" s="425" t="s">
        <v>455</v>
      </c>
      <c r="C293" s="425" t="s">
        <v>62</v>
      </c>
      <c r="D293" s="425" t="s">
        <v>613</v>
      </c>
      <c r="E293" s="425" t="s">
        <v>18</v>
      </c>
      <c r="F293" s="345">
        <v>0</v>
      </c>
      <c r="G293" s="345">
        <v>0</v>
      </c>
    </row>
    <row r="294" spans="1:8" ht="36.700000000000003" hidden="1" outlineLevel="1" x14ac:dyDescent="0.25">
      <c r="A294" s="423" t="s">
        <v>284</v>
      </c>
      <c r="B294" s="425" t="s">
        <v>455</v>
      </c>
      <c r="C294" s="425" t="s">
        <v>285</v>
      </c>
      <c r="D294" s="425" t="s">
        <v>126</v>
      </c>
      <c r="E294" s="401" t="s">
        <v>6</v>
      </c>
      <c r="F294" s="345">
        <f>F295</f>
        <v>0</v>
      </c>
      <c r="G294" s="345">
        <f>G295</f>
        <v>0</v>
      </c>
    </row>
    <row r="295" spans="1:8" ht="73.400000000000006" hidden="1" outlineLevel="1" x14ac:dyDescent="0.25">
      <c r="A295" s="45" t="s">
        <v>1172</v>
      </c>
      <c r="B295" s="387" t="s">
        <v>455</v>
      </c>
      <c r="C295" s="387" t="s">
        <v>285</v>
      </c>
      <c r="D295" s="387" t="s">
        <v>134</v>
      </c>
      <c r="E295" s="403" t="s">
        <v>6</v>
      </c>
      <c r="F295" s="346">
        <f>F296</f>
        <v>0</v>
      </c>
      <c r="G295" s="346">
        <f>G296</f>
        <v>0</v>
      </c>
    </row>
    <row r="296" spans="1:8" ht="51.8" hidden="1" customHeight="1" outlineLevel="1" x14ac:dyDescent="0.25">
      <c r="A296" s="423" t="s">
        <v>738</v>
      </c>
      <c r="B296" s="425" t="s">
        <v>455</v>
      </c>
      <c r="C296" s="425" t="s">
        <v>285</v>
      </c>
      <c r="D296" s="425" t="s">
        <v>335</v>
      </c>
      <c r="E296" s="401" t="s">
        <v>6</v>
      </c>
      <c r="F296" s="345">
        <f>F297+F300</f>
        <v>0</v>
      </c>
      <c r="G296" s="345">
        <f>G297+G300</f>
        <v>0</v>
      </c>
    </row>
    <row r="297" spans="1:8" ht="70" hidden="1" customHeight="1" outlineLevel="1" x14ac:dyDescent="0.25">
      <c r="A297" s="31" t="s">
        <v>952</v>
      </c>
      <c r="B297" s="425" t="s">
        <v>455</v>
      </c>
      <c r="C297" s="425" t="s">
        <v>285</v>
      </c>
      <c r="D297" s="425" t="s">
        <v>532</v>
      </c>
      <c r="E297" s="425" t="s">
        <v>6</v>
      </c>
      <c r="F297" s="345">
        <f>F298</f>
        <v>0</v>
      </c>
      <c r="G297" s="345">
        <f>G298</f>
        <v>0</v>
      </c>
    </row>
    <row r="298" spans="1:8" hidden="1" outlineLevel="1" x14ac:dyDescent="0.25">
      <c r="A298" s="423" t="s">
        <v>19</v>
      </c>
      <c r="B298" s="425" t="s">
        <v>455</v>
      </c>
      <c r="C298" s="425" t="s">
        <v>285</v>
      </c>
      <c r="D298" s="425" t="s">
        <v>532</v>
      </c>
      <c r="E298" s="425" t="s">
        <v>20</v>
      </c>
      <c r="F298" s="345">
        <f>F299</f>
        <v>0</v>
      </c>
      <c r="G298" s="345">
        <f>G299</f>
        <v>0</v>
      </c>
    </row>
    <row r="299" spans="1:8" ht="55.05" hidden="1" outlineLevel="1" x14ac:dyDescent="0.25">
      <c r="A299" s="423" t="s">
        <v>47</v>
      </c>
      <c r="B299" s="425" t="s">
        <v>455</v>
      </c>
      <c r="C299" s="425" t="s">
        <v>285</v>
      </c>
      <c r="D299" s="425" t="s">
        <v>532</v>
      </c>
      <c r="E299" s="425" t="s">
        <v>48</v>
      </c>
      <c r="F299" s="345">
        <v>0</v>
      </c>
      <c r="G299" s="345">
        <v>0</v>
      </c>
    </row>
    <row r="300" spans="1:8" s="76" customFormat="1" ht="40.1" hidden="1" customHeight="1" outlineLevel="1" x14ac:dyDescent="0.25">
      <c r="A300" s="423" t="s">
        <v>295</v>
      </c>
      <c r="B300" s="425" t="s">
        <v>455</v>
      </c>
      <c r="C300" s="425" t="s">
        <v>285</v>
      </c>
      <c r="D300" s="425" t="s">
        <v>341</v>
      </c>
      <c r="E300" s="401" t="s">
        <v>6</v>
      </c>
      <c r="F300" s="345">
        <f>F301</f>
        <v>0</v>
      </c>
      <c r="G300" s="345">
        <f>G301</f>
        <v>0</v>
      </c>
      <c r="H300" s="75"/>
    </row>
    <row r="301" spans="1:8" hidden="1" outlineLevel="2" x14ac:dyDescent="0.25">
      <c r="A301" s="423" t="s">
        <v>19</v>
      </c>
      <c r="B301" s="425" t="s">
        <v>455</v>
      </c>
      <c r="C301" s="425" t="s">
        <v>285</v>
      </c>
      <c r="D301" s="425" t="s">
        <v>341</v>
      </c>
      <c r="E301" s="401" t="s">
        <v>20</v>
      </c>
      <c r="F301" s="345">
        <f>F302</f>
        <v>0</v>
      </c>
      <c r="G301" s="345">
        <f>G302</f>
        <v>0</v>
      </c>
    </row>
    <row r="302" spans="1:8" s="76" customFormat="1" ht="41.3" hidden="1" customHeight="1" outlineLevel="3" x14ac:dyDescent="0.25">
      <c r="A302" s="423" t="s">
        <v>963</v>
      </c>
      <c r="B302" s="425" t="s">
        <v>455</v>
      </c>
      <c r="C302" s="425" t="s">
        <v>285</v>
      </c>
      <c r="D302" s="425" t="s">
        <v>341</v>
      </c>
      <c r="E302" s="401" t="s">
        <v>48</v>
      </c>
      <c r="F302" s="345">
        <v>0</v>
      </c>
      <c r="G302" s="345">
        <v>0</v>
      </c>
      <c r="H302" s="75"/>
    </row>
    <row r="303" spans="1:8" ht="26.5" hidden="1" customHeight="1" outlineLevel="3" x14ac:dyDescent="0.25">
      <c r="A303" s="45" t="s">
        <v>64</v>
      </c>
      <c r="B303" s="425" t="s">
        <v>455</v>
      </c>
      <c r="C303" s="387" t="s">
        <v>65</v>
      </c>
      <c r="D303" s="387" t="s">
        <v>126</v>
      </c>
      <c r="E303" s="403" t="s">
        <v>6</v>
      </c>
      <c r="F303" s="347">
        <f>F304</f>
        <v>515000</v>
      </c>
      <c r="G303" s="347">
        <f>G304</f>
        <v>515000</v>
      </c>
    </row>
    <row r="304" spans="1:8" ht="23.3" hidden="1" customHeight="1" outlineLevel="3" x14ac:dyDescent="0.25">
      <c r="A304" s="423" t="s">
        <v>66</v>
      </c>
      <c r="B304" s="425" t="s">
        <v>455</v>
      </c>
      <c r="C304" s="425" t="s">
        <v>67</v>
      </c>
      <c r="D304" s="425" t="s">
        <v>126</v>
      </c>
      <c r="E304" s="401" t="s">
        <v>6</v>
      </c>
      <c r="F304" s="402">
        <f>F305+F314</f>
        <v>515000</v>
      </c>
      <c r="G304" s="402">
        <f>G305+G314</f>
        <v>515000</v>
      </c>
    </row>
    <row r="305" spans="1:8" ht="59.95" hidden="1" customHeight="1" outlineLevel="3" x14ac:dyDescent="0.25">
      <c r="A305" s="45" t="s">
        <v>1162</v>
      </c>
      <c r="B305" s="387" t="s">
        <v>455</v>
      </c>
      <c r="C305" s="387" t="s">
        <v>67</v>
      </c>
      <c r="D305" s="387" t="s">
        <v>135</v>
      </c>
      <c r="E305" s="403" t="s">
        <v>6</v>
      </c>
      <c r="F305" s="347">
        <f>F306+F310</f>
        <v>470000</v>
      </c>
      <c r="G305" s="347">
        <f>G306+G310</f>
        <v>470000</v>
      </c>
    </row>
    <row r="306" spans="1:8" ht="59.95" hidden="1" customHeight="1" outlineLevel="3" x14ac:dyDescent="0.25">
      <c r="A306" s="423" t="s">
        <v>736</v>
      </c>
      <c r="B306" s="425" t="s">
        <v>455</v>
      </c>
      <c r="C306" s="425" t="s">
        <v>67</v>
      </c>
      <c r="D306" s="425" t="s">
        <v>371</v>
      </c>
      <c r="E306" s="401" t="s">
        <v>6</v>
      </c>
      <c r="F306" s="402">
        <f t="shared" ref="F306:G308" si="19">F307</f>
        <v>440000</v>
      </c>
      <c r="G306" s="402">
        <f t="shared" si="19"/>
        <v>440000</v>
      </c>
    </row>
    <row r="307" spans="1:8" ht="36.700000000000003" hidden="1" outlineLevel="7" x14ac:dyDescent="0.25">
      <c r="A307" s="423" t="s">
        <v>240</v>
      </c>
      <c r="B307" s="425" t="s">
        <v>455</v>
      </c>
      <c r="C307" s="425" t="s">
        <v>67</v>
      </c>
      <c r="D307" s="425" t="s">
        <v>344</v>
      </c>
      <c r="E307" s="401" t="s">
        <v>6</v>
      </c>
      <c r="F307" s="402">
        <f t="shared" si="19"/>
        <v>440000</v>
      </c>
      <c r="G307" s="402">
        <f t="shared" si="19"/>
        <v>440000</v>
      </c>
    </row>
    <row r="308" spans="1:8" ht="25.5" hidden="1" customHeight="1" outlineLevel="5" x14ac:dyDescent="0.25">
      <c r="A308" s="423" t="s">
        <v>15</v>
      </c>
      <c r="B308" s="425" t="s">
        <v>455</v>
      </c>
      <c r="C308" s="425" t="s">
        <v>67</v>
      </c>
      <c r="D308" s="425" t="s">
        <v>344</v>
      </c>
      <c r="E308" s="401" t="s">
        <v>16</v>
      </c>
      <c r="F308" s="402">
        <f t="shared" si="19"/>
        <v>440000</v>
      </c>
      <c r="G308" s="402">
        <f t="shared" si="19"/>
        <v>440000</v>
      </c>
    </row>
    <row r="309" spans="1:8" ht="36.700000000000003" hidden="1" outlineLevel="6" x14ac:dyDescent="0.25">
      <c r="A309" s="423" t="s">
        <v>17</v>
      </c>
      <c r="B309" s="425" t="s">
        <v>455</v>
      </c>
      <c r="C309" s="425" t="s">
        <v>67</v>
      </c>
      <c r="D309" s="425" t="s">
        <v>344</v>
      </c>
      <c r="E309" s="401" t="s">
        <v>18</v>
      </c>
      <c r="F309" s="402">
        <v>440000</v>
      </c>
      <c r="G309" s="402">
        <v>440000</v>
      </c>
    </row>
    <row r="310" spans="1:8" ht="38.25" hidden="1" customHeight="1" outlineLevel="7" x14ac:dyDescent="0.25">
      <c r="A310" s="423" t="s">
        <v>345</v>
      </c>
      <c r="B310" s="425" t="s">
        <v>455</v>
      </c>
      <c r="C310" s="425" t="s">
        <v>67</v>
      </c>
      <c r="D310" s="425" t="s">
        <v>242</v>
      </c>
      <c r="E310" s="401" t="s">
        <v>6</v>
      </c>
      <c r="F310" s="345">
        <f t="shared" ref="F310:G312" si="20">F311</f>
        <v>30000</v>
      </c>
      <c r="G310" s="345">
        <f t="shared" si="20"/>
        <v>30000</v>
      </c>
    </row>
    <row r="311" spans="1:8" s="76" customFormat="1" ht="23.95" hidden="1" customHeight="1" outlineLevel="3" x14ac:dyDescent="0.25">
      <c r="A311" s="423" t="s">
        <v>68</v>
      </c>
      <c r="B311" s="425" t="s">
        <v>455</v>
      </c>
      <c r="C311" s="425" t="s">
        <v>67</v>
      </c>
      <c r="D311" s="425" t="s">
        <v>241</v>
      </c>
      <c r="E311" s="401" t="s">
        <v>6</v>
      </c>
      <c r="F311" s="402">
        <f t="shared" si="20"/>
        <v>30000</v>
      </c>
      <c r="G311" s="402">
        <f t="shared" si="20"/>
        <v>30000</v>
      </c>
      <c r="H311" s="75"/>
    </row>
    <row r="312" spans="1:8" ht="36.700000000000003" hidden="1" outlineLevel="5" x14ac:dyDescent="0.25">
      <c r="A312" s="423" t="s">
        <v>15</v>
      </c>
      <c r="B312" s="425" t="s">
        <v>455</v>
      </c>
      <c r="C312" s="425" t="s">
        <v>67</v>
      </c>
      <c r="D312" s="425" t="s">
        <v>241</v>
      </c>
      <c r="E312" s="401" t="s">
        <v>16</v>
      </c>
      <c r="F312" s="402">
        <f t="shared" si="20"/>
        <v>30000</v>
      </c>
      <c r="G312" s="402">
        <f t="shared" si="20"/>
        <v>30000</v>
      </c>
    </row>
    <row r="313" spans="1:8" ht="36.700000000000003" hidden="1" outlineLevel="5" x14ac:dyDescent="0.25">
      <c r="A313" s="423" t="s">
        <v>17</v>
      </c>
      <c r="B313" s="425" t="s">
        <v>455</v>
      </c>
      <c r="C313" s="425" t="s">
        <v>67</v>
      </c>
      <c r="D313" s="425" t="s">
        <v>241</v>
      </c>
      <c r="E313" s="401" t="s">
        <v>18</v>
      </c>
      <c r="F313" s="402">
        <v>30000</v>
      </c>
      <c r="G313" s="402">
        <v>30000</v>
      </c>
    </row>
    <row r="314" spans="1:8" ht="91.7" hidden="1" outlineLevel="6" x14ac:dyDescent="0.25">
      <c r="A314" s="45" t="s">
        <v>1163</v>
      </c>
      <c r="B314" s="387" t="s">
        <v>455</v>
      </c>
      <c r="C314" s="387" t="s">
        <v>67</v>
      </c>
      <c r="D314" s="387" t="s">
        <v>346</v>
      </c>
      <c r="E314" s="403" t="s">
        <v>6</v>
      </c>
      <c r="F314" s="347">
        <f>F315</f>
        <v>45000</v>
      </c>
      <c r="G314" s="347">
        <f>G315</f>
        <v>45000</v>
      </c>
    </row>
    <row r="315" spans="1:8" ht="42.8" hidden="1" customHeight="1" outlineLevel="7" x14ac:dyDescent="0.25">
      <c r="A315" s="423" t="s">
        <v>347</v>
      </c>
      <c r="B315" s="425" t="s">
        <v>455</v>
      </c>
      <c r="C315" s="425" t="s">
        <v>67</v>
      </c>
      <c r="D315" s="425" t="s">
        <v>348</v>
      </c>
      <c r="E315" s="401" t="s">
        <v>6</v>
      </c>
      <c r="F315" s="402">
        <f>F317</f>
        <v>45000</v>
      </c>
      <c r="G315" s="402">
        <f>G317</f>
        <v>45000</v>
      </c>
    </row>
    <row r="316" spans="1:8" s="76" customFormat="1" ht="36.700000000000003" hidden="1" outlineLevel="1" x14ac:dyDescent="0.25">
      <c r="A316" s="423" t="s">
        <v>349</v>
      </c>
      <c r="B316" s="425" t="s">
        <v>455</v>
      </c>
      <c r="C316" s="425" t="s">
        <v>67</v>
      </c>
      <c r="D316" s="425" t="s">
        <v>350</v>
      </c>
      <c r="E316" s="401" t="s">
        <v>6</v>
      </c>
      <c r="F316" s="402">
        <f>F317</f>
        <v>45000</v>
      </c>
      <c r="G316" s="402">
        <f>G317</f>
        <v>45000</v>
      </c>
      <c r="H316" s="75"/>
    </row>
    <row r="317" spans="1:8" ht="36.700000000000003" hidden="1" outlineLevel="2" x14ac:dyDescent="0.25">
      <c r="A317" s="423" t="s">
        <v>15</v>
      </c>
      <c r="B317" s="425" t="s">
        <v>455</v>
      </c>
      <c r="C317" s="425" t="s">
        <v>67</v>
      </c>
      <c r="D317" s="425" t="s">
        <v>350</v>
      </c>
      <c r="E317" s="401" t="s">
        <v>16</v>
      </c>
      <c r="F317" s="402">
        <f>F318</f>
        <v>45000</v>
      </c>
      <c r="G317" s="402">
        <f>G318</f>
        <v>45000</v>
      </c>
    </row>
    <row r="318" spans="1:8" s="76" customFormat="1" ht="36.700000000000003" hidden="1" outlineLevel="3" x14ac:dyDescent="0.25">
      <c r="A318" s="423" t="s">
        <v>17</v>
      </c>
      <c r="B318" s="425" t="s">
        <v>455</v>
      </c>
      <c r="C318" s="425" t="s">
        <v>67</v>
      </c>
      <c r="D318" s="425" t="s">
        <v>350</v>
      </c>
      <c r="E318" s="401" t="s">
        <v>18</v>
      </c>
      <c r="F318" s="345">
        <v>45000</v>
      </c>
      <c r="G318" s="345">
        <v>45000</v>
      </c>
      <c r="H318" s="75"/>
    </row>
    <row r="319" spans="1:8" hidden="1" outlineLevel="3" x14ac:dyDescent="0.25">
      <c r="A319" s="45" t="s">
        <v>69</v>
      </c>
      <c r="B319" s="387" t="s">
        <v>455</v>
      </c>
      <c r="C319" s="387" t="s">
        <v>70</v>
      </c>
      <c r="D319" s="387" t="s">
        <v>126</v>
      </c>
      <c r="E319" s="403" t="s">
        <v>6</v>
      </c>
      <c r="F319" s="347">
        <f t="shared" ref="F319:G320" si="21">F320</f>
        <v>20099530.370000001</v>
      </c>
      <c r="G319" s="347">
        <f t="shared" si="21"/>
        <v>19036919.329999998</v>
      </c>
    </row>
    <row r="320" spans="1:8" hidden="1" outlineLevel="5" x14ac:dyDescent="0.25">
      <c r="A320" s="423" t="s">
        <v>251</v>
      </c>
      <c r="B320" s="425" t="s">
        <v>455</v>
      </c>
      <c r="C320" s="425" t="s">
        <v>250</v>
      </c>
      <c r="D320" s="425" t="s">
        <v>126</v>
      </c>
      <c r="E320" s="401" t="s">
        <v>6</v>
      </c>
      <c r="F320" s="402">
        <f t="shared" si="21"/>
        <v>20099530.370000001</v>
      </c>
      <c r="G320" s="402">
        <f t="shared" si="21"/>
        <v>19036919.329999998</v>
      </c>
    </row>
    <row r="321" spans="1:12" ht="55.05" hidden="1" outlineLevel="6" x14ac:dyDescent="0.25">
      <c r="A321" s="45" t="s">
        <v>1164</v>
      </c>
      <c r="B321" s="387" t="s">
        <v>455</v>
      </c>
      <c r="C321" s="387" t="s">
        <v>250</v>
      </c>
      <c r="D321" s="387" t="s">
        <v>136</v>
      </c>
      <c r="E321" s="403" t="s">
        <v>6</v>
      </c>
      <c r="F321" s="347">
        <f t="shared" ref="F321:G324" si="22">F322</f>
        <v>20099530.370000001</v>
      </c>
      <c r="G321" s="347">
        <f t="shared" si="22"/>
        <v>19036919.329999998</v>
      </c>
    </row>
    <row r="322" spans="1:12" ht="42.8" hidden="1" customHeight="1" outlineLevel="7" x14ac:dyDescent="0.3">
      <c r="A322" s="11" t="s">
        <v>351</v>
      </c>
      <c r="B322" s="425" t="s">
        <v>455</v>
      </c>
      <c r="C322" s="425" t="s">
        <v>250</v>
      </c>
      <c r="D322" s="425" t="s">
        <v>225</v>
      </c>
      <c r="E322" s="401" t="s">
        <v>6</v>
      </c>
      <c r="F322" s="402">
        <f t="shared" si="22"/>
        <v>20099530.370000001</v>
      </c>
      <c r="G322" s="402">
        <f t="shared" si="22"/>
        <v>19036919.329999998</v>
      </c>
    </row>
    <row r="323" spans="1:12" ht="55.05" hidden="1" outlineLevel="7" x14ac:dyDescent="0.25">
      <c r="A323" s="423" t="s">
        <v>73</v>
      </c>
      <c r="B323" s="425" t="s">
        <v>455</v>
      </c>
      <c r="C323" s="425" t="s">
        <v>250</v>
      </c>
      <c r="D323" s="425" t="s">
        <v>137</v>
      </c>
      <c r="E323" s="401" t="s">
        <v>6</v>
      </c>
      <c r="F323" s="402">
        <f t="shared" si="22"/>
        <v>20099530.370000001</v>
      </c>
      <c r="G323" s="402">
        <f t="shared" si="22"/>
        <v>19036919.329999998</v>
      </c>
    </row>
    <row r="324" spans="1:12" ht="36.700000000000003" hidden="1" outlineLevel="7" x14ac:dyDescent="0.25">
      <c r="A324" s="423" t="s">
        <v>37</v>
      </c>
      <c r="B324" s="425" t="s">
        <v>455</v>
      </c>
      <c r="C324" s="425" t="s">
        <v>250</v>
      </c>
      <c r="D324" s="425" t="s">
        <v>137</v>
      </c>
      <c r="E324" s="401" t="s">
        <v>38</v>
      </c>
      <c r="F324" s="402">
        <f t="shared" si="22"/>
        <v>20099530.370000001</v>
      </c>
      <c r="G324" s="402">
        <f t="shared" si="22"/>
        <v>19036919.329999998</v>
      </c>
    </row>
    <row r="325" spans="1:12" ht="20.25" hidden="1" customHeight="1" outlineLevel="7" x14ac:dyDescent="0.3">
      <c r="A325" s="11" t="s">
        <v>74</v>
      </c>
      <c r="B325" s="425" t="s">
        <v>455</v>
      </c>
      <c r="C325" s="425" t="s">
        <v>250</v>
      </c>
      <c r="D325" s="425" t="s">
        <v>137</v>
      </c>
      <c r="E325" s="401" t="s">
        <v>75</v>
      </c>
      <c r="F325" s="402">
        <f>24899530.37-4800000</f>
        <v>20099530.370000001</v>
      </c>
      <c r="G325" s="402">
        <f>26036919.33-7000000</f>
        <v>19036919.329999998</v>
      </c>
    </row>
    <row r="326" spans="1:12" s="67" customFormat="1" hidden="1" outlineLevel="7" x14ac:dyDescent="0.25">
      <c r="A326" s="45" t="s">
        <v>79</v>
      </c>
      <c r="B326" s="387" t="s">
        <v>455</v>
      </c>
      <c r="C326" s="387" t="s">
        <v>80</v>
      </c>
      <c r="D326" s="387" t="s">
        <v>126</v>
      </c>
      <c r="E326" s="403" t="s">
        <v>6</v>
      </c>
      <c r="F326" s="347">
        <f>F327</f>
        <v>36661261.839999996</v>
      </c>
      <c r="G326" s="347">
        <f>G327</f>
        <v>36175931.060000002</v>
      </c>
      <c r="I326" s="1"/>
      <c r="J326" s="1"/>
      <c r="K326" s="1"/>
      <c r="L326" s="1"/>
    </row>
    <row r="327" spans="1:12" s="67" customFormat="1" hidden="1" outlineLevel="7" x14ac:dyDescent="0.25">
      <c r="A327" s="423" t="s">
        <v>81</v>
      </c>
      <c r="B327" s="425" t="s">
        <v>455</v>
      </c>
      <c r="C327" s="425" t="s">
        <v>82</v>
      </c>
      <c r="D327" s="425" t="s">
        <v>126</v>
      </c>
      <c r="E327" s="401" t="s">
        <v>6</v>
      </c>
      <c r="F327" s="402">
        <f>F328</f>
        <v>36661261.839999996</v>
      </c>
      <c r="G327" s="402">
        <f>G328</f>
        <v>36175931.060000002</v>
      </c>
      <c r="I327" s="1"/>
      <c r="J327" s="1"/>
      <c r="K327" s="1"/>
      <c r="L327" s="1"/>
    </row>
    <row r="328" spans="1:12" s="67" customFormat="1" ht="55.05" hidden="1" outlineLevel="7" x14ac:dyDescent="0.25">
      <c r="A328" s="45" t="s">
        <v>1164</v>
      </c>
      <c r="B328" s="387" t="s">
        <v>455</v>
      </c>
      <c r="C328" s="387" t="s">
        <v>82</v>
      </c>
      <c r="D328" s="387" t="s">
        <v>136</v>
      </c>
      <c r="E328" s="403" t="s">
        <v>6</v>
      </c>
      <c r="F328" s="347">
        <f>F329+F343+F339</f>
        <v>36661261.839999996</v>
      </c>
      <c r="G328" s="347">
        <f>G329+G343+G339</f>
        <v>36175931.060000002</v>
      </c>
      <c r="I328" s="1"/>
      <c r="J328" s="1"/>
      <c r="K328" s="1"/>
      <c r="L328" s="1"/>
    </row>
    <row r="329" spans="1:12" s="67" customFormat="1" ht="39.25" hidden="1" customHeight="1" outlineLevel="7" x14ac:dyDescent="0.25">
      <c r="A329" s="423" t="s">
        <v>353</v>
      </c>
      <c r="B329" s="425" t="s">
        <v>455</v>
      </c>
      <c r="C329" s="425" t="s">
        <v>82</v>
      </c>
      <c r="D329" s="425" t="s">
        <v>224</v>
      </c>
      <c r="E329" s="401" t="s">
        <v>6</v>
      </c>
      <c r="F329" s="402">
        <f>F330+F333+F336</f>
        <v>9718145.9399999995</v>
      </c>
      <c r="G329" s="402">
        <f>G330+G333+G336</f>
        <v>9684155.6500000004</v>
      </c>
      <c r="I329" s="1"/>
      <c r="J329" s="1"/>
      <c r="K329" s="1"/>
      <c r="L329" s="1"/>
    </row>
    <row r="330" spans="1:12" s="67" customFormat="1" ht="55.05" hidden="1" outlineLevel="7" x14ac:dyDescent="0.25">
      <c r="A330" s="423" t="s">
        <v>84</v>
      </c>
      <c r="B330" s="425" t="s">
        <v>455</v>
      </c>
      <c r="C330" s="425" t="s">
        <v>82</v>
      </c>
      <c r="D330" s="425" t="s">
        <v>141</v>
      </c>
      <c r="E330" s="401" t="s">
        <v>6</v>
      </c>
      <c r="F330" s="402">
        <f>F331</f>
        <v>9548443.9199999999</v>
      </c>
      <c r="G330" s="402">
        <f>G331</f>
        <v>9514453.6300000008</v>
      </c>
      <c r="I330" s="1"/>
      <c r="J330" s="1"/>
      <c r="K330" s="1"/>
      <c r="L330" s="1"/>
    </row>
    <row r="331" spans="1:12" s="67" customFormat="1" ht="36.700000000000003" hidden="1" outlineLevel="7" x14ac:dyDescent="0.25">
      <c r="A331" s="423" t="s">
        <v>37</v>
      </c>
      <c r="B331" s="425" t="s">
        <v>455</v>
      </c>
      <c r="C331" s="425" t="s">
        <v>82</v>
      </c>
      <c r="D331" s="425" t="s">
        <v>141</v>
      </c>
      <c r="E331" s="401" t="s">
        <v>38</v>
      </c>
      <c r="F331" s="402">
        <f>F332</f>
        <v>9548443.9199999999</v>
      </c>
      <c r="G331" s="402">
        <f>G332</f>
        <v>9514453.6300000008</v>
      </c>
      <c r="I331" s="1"/>
      <c r="J331" s="1"/>
      <c r="K331" s="1"/>
      <c r="L331" s="1"/>
    </row>
    <row r="332" spans="1:12" s="67" customFormat="1" hidden="1" outlineLevel="7" x14ac:dyDescent="0.25">
      <c r="A332" s="423" t="s">
        <v>74</v>
      </c>
      <c r="B332" s="425" t="s">
        <v>455</v>
      </c>
      <c r="C332" s="425" t="s">
        <v>82</v>
      </c>
      <c r="D332" s="425" t="s">
        <v>141</v>
      </c>
      <c r="E332" s="401" t="s">
        <v>75</v>
      </c>
      <c r="F332" s="345">
        <f>12548443.92-3000000</f>
        <v>9548443.9199999999</v>
      </c>
      <c r="G332" s="345">
        <f>13314453.63-3800000</f>
        <v>9514453.6300000008</v>
      </c>
      <c r="I332" s="1"/>
      <c r="J332" s="1"/>
      <c r="K332" s="1"/>
      <c r="L332" s="1"/>
    </row>
    <row r="333" spans="1:12" s="67" customFormat="1" ht="86.3" hidden="1" customHeight="1" outlineLevel="7" x14ac:dyDescent="0.3">
      <c r="A333" s="44" t="s">
        <v>953</v>
      </c>
      <c r="B333" s="392" t="s">
        <v>455</v>
      </c>
      <c r="C333" s="392" t="s">
        <v>82</v>
      </c>
      <c r="D333" s="298" t="s">
        <v>286</v>
      </c>
      <c r="E333" s="407" t="s">
        <v>6</v>
      </c>
      <c r="F333" s="345">
        <f>F334</f>
        <v>168005</v>
      </c>
      <c r="G333" s="345">
        <f>G334</f>
        <v>168005</v>
      </c>
      <c r="I333" s="1"/>
      <c r="J333" s="1"/>
      <c r="K333" s="1"/>
      <c r="L333" s="1"/>
    </row>
    <row r="334" spans="1:12" s="67" customFormat="1" ht="36.700000000000003" hidden="1" outlineLevel="7" x14ac:dyDescent="0.3">
      <c r="A334" s="423" t="s">
        <v>37</v>
      </c>
      <c r="B334" s="392" t="s">
        <v>455</v>
      </c>
      <c r="C334" s="392" t="s">
        <v>82</v>
      </c>
      <c r="D334" s="298" t="s">
        <v>286</v>
      </c>
      <c r="E334" s="407" t="s">
        <v>38</v>
      </c>
      <c r="F334" s="345">
        <f>F335</f>
        <v>168005</v>
      </c>
      <c r="G334" s="345">
        <f>G335</f>
        <v>168005</v>
      </c>
      <c r="I334" s="1"/>
      <c r="J334" s="1"/>
      <c r="K334" s="1"/>
      <c r="L334" s="1"/>
    </row>
    <row r="335" spans="1:12" s="67" customFormat="1" hidden="1" outlineLevel="7" x14ac:dyDescent="0.3">
      <c r="A335" s="423" t="s">
        <v>74</v>
      </c>
      <c r="B335" s="392" t="s">
        <v>455</v>
      </c>
      <c r="C335" s="392" t="s">
        <v>82</v>
      </c>
      <c r="D335" s="298" t="s">
        <v>286</v>
      </c>
      <c r="E335" s="407" t="s">
        <v>75</v>
      </c>
      <c r="F335" s="343">
        <v>168005</v>
      </c>
      <c r="G335" s="343">
        <v>168005</v>
      </c>
      <c r="I335" s="1"/>
      <c r="J335" s="1"/>
      <c r="K335" s="1"/>
      <c r="L335" s="1"/>
    </row>
    <row r="336" spans="1:12" s="67" customFormat="1" ht="73.400000000000006" hidden="1" outlineLevel="7" x14ac:dyDescent="0.3">
      <c r="A336" s="423" t="s">
        <v>296</v>
      </c>
      <c r="B336" s="392" t="s">
        <v>455</v>
      </c>
      <c r="C336" s="392" t="s">
        <v>82</v>
      </c>
      <c r="D336" s="298" t="s">
        <v>297</v>
      </c>
      <c r="E336" s="407" t="s">
        <v>6</v>
      </c>
      <c r="F336" s="345">
        <f>F337</f>
        <v>1697.02</v>
      </c>
      <c r="G336" s="345">
        <f>G337</f>
        <v>1697.02</v>
      </c>
      <c r="I336" s="1"/>
      <c r="J336" s="1"/>
      <c r="K336" s="1"/>
      <c r="L336" s="1"/>
    </row>
    <row r="337" spans="1:12" s="67" customFormat="1" ht="36.700000000000003" hidden="1" outlineLevel="7" x14ac:dyDescent="0.3">
      <c r="A337" s="423" t="s">
        <v>37</v>
      </c>
      <c r="B337" s="392" t="s">
        <v>455</v>
      </c>
      <c r="C337" s="392" t="s">
        <v>82</v>
      </c>
      <c r="D337" s="298" t="s">
        <v>297</v>
      </c>
      <c r="E337" s="407" t="s">
        <v>38</v>
      </c>
      <c r="F337" s="345">
        <f>F338</f>
        <v>1697.02</v>
      </c>
      <c r="G337" s="345">
        <f>G338</f>
        <v>1697.02</v>
      </c>
      <c r="I337" s="1"/>
      <c r="J337" s="1"/>
      <c r="K337" s="1"/>
      <c r="L337" s="1"/>
    </row>
    <row r="338" spans="1:12" s="67" customFormat="1" hidden="1" outlineLevel="7" x14ac:dyDescent="0.3">
      <c r="A338" s="423" t="s">
        <v>74</v>
      </c>
      <c r="B338" s="392" t="s">
        <v>455</v>
      </c>
      <c r="C338" s="392" t="s">
        <v>82</v>
      </c>
      <c r="D338" s="298" t="s">
        <v>297</v>
      </c>
      <c r="E338" s="407" t="s">
        <v>75</v>
      </c>
      <c r="F338" s="343">
        <f>ROUND(F335*1/99,2)</f>
        <v>1697.02</v>
      </c>
      <c r="G338" s="343">
        <f>ROUND(G335*1/99,2)</f>
        <v>1697.02</v>
      </c>
      <c r="I338" s="1"/>
      <c r="J338" s="1"/>
      <c r="K338" s="1"/>
      <c r="L338" s="1"/>
    </row>
    <row r="339" spans="1:12" s="67" customFormat="1" ht="36.700000000000003" hidden="1" outlineLevel="7" x14ac:dyDescent="0.25">
      <c r="A339" s="423" t="s">
        <v>612</v>
      </c>
      <c r="B339" s="425" t="s">
        <v>455</v>
      </c>
      <c r="C339" s="425" t="s">
        <v>82</v>
      </c>
      <c r="D339" s="425" t="s">
        <v>611</v>
      </c>
      <c r="E339" s="401" t="s">
        <v>6</v>
      </c>
      <c r="F339" s="402">
        <f t="shared" ref="F339:G341" si="23">F340</f>
        <v>24589059.219999999</v>
      </c>
      <c r="G339" s="402">
        <f t="shared" si="23"/>
        <v>24116458.77</v>
      </c>
      <c r="I339" s="1"/>
      <c r="J339" s="1"/>
      <c r="K339" s="1"/>
      <c r="L339" s="1"/>
    </row>
    <row r="340" spans="1:12" s="67" customFormat="1" ht="36.700000000000003" hidden="1" customHeight="1" outlineLevel="3" x14ac:dyDescent="0.25">
      <c r="A340" s="423" t="s">
        <v>84</v>
      </c>
      <c r="B340" s="425" t="s">
        <v>455</v>
      </c>
      <c r="C340" s="425" t="s">
        <v>82</v>
      </c>
      <c r="D340" s="425" t="s">
        <v>610</v>
      </c>
      <c r="E340" s="401" t="s">
        <v>6</v>
      </c>
      <c r="F340" s="402">
        <f t="shared" si="23"/>
        <v>24589059.219999999</v>
      </c>
      <c r="G340" s="402">
        <f t="shared" si="23"/>
        <v>24116458.77</v>
      </c>
      <c r="I340" s="1"/>
      <c r="J340" s="1"/>
      <c r="K340" s="1"/>
      <c r="L340" s="1"/>
    </row>
    <row r="341" spans="1:12" s="67" customFormat="1" ht="36.700000000000003" hidden="1" outlineLevel="3" x14ac:dyDescent="0.25">
      <c r="A341" s="423" t="s">
        <v>37</v>
      </c>
      <c r="B341" s="425" t="s">
        <v>455</v>
      </c>
      <c r="C341" s="425" t="s">
        <v>82</v>
      </c>
      <c r="D341" s="425" t="s">
        <v>610</v>
      </c>
      <c r="E341" s="401" t="s">
        <v>38</v>
      </c>
      <c r="F341" s="402">
        <f t="shared" si="23"/>
        <v>24589059.219999999</v>
      </c>
      <c r="G341" s="402">
        <f t="shared" si="23"/>
        <v>24116458.77</v>
      </c>
      <c r="I341" s="1"/>
      <c r="J341" s="1"/>
      <c r="K341" s="1"/>
      <c r="L341" s="1"/>
    </row>
    <row r="342" spans="1:12" s="67" customFormat="1" ht="19.7" hidden="1" customHeight="1" outlineLevel="3" x14ac:dyDescent="0.25">
      <c r="A342" s="423" t="s">
        <v>74</v>
      </c>
      <c r="B342" s="425" t="s">
        <v>455</v>
      </c>
      <c r="C342" s="425" t="s">
        <v>82</v>
      </c>
      <c r="D342" s="425" t="s">
        <v>610</v>
      </c>
      <c r="E342" s="401" t="s">
        <v>75</v>
      </c>
      <c r="F342" s="345">
        <f>30089059.22-5500000</f>
        <v>24589059.219999999</v>
      </c>
      <c r="G342" s="345">
        <f>31616458.77-7500000</f>
        <v>24116458.77</v>
      </c>
      <c r="I342" s="1"/>
      <c r="J342" s="1"/>
      <c r="K342" s="1"/>
      <c r="L342" s="1"/>
    </row>
    <row r="343" spans="1:12" ht="36.700000000000003" hidden="1" outlineLevel="7" x14ac:dyDescent="0.25">
      <c r="A343" s="423" t="s">
        <v>208</v>
      </c>
      <c r="B343" s="425" t="s">
        <v>455</v>
      </c>
      <c r="C343" s="425" t="s">
        <v>82</v>
      </c>
      <c r="D343" s="425" t="s">
        <v>226</v>
      </c>
      <c r="E343" s="401" t="s">
        <v>6</v>
      </c>
      <c r="F343" s="345">
        <f>F344+F347</f>
        <v>2354056.6799999997</v>
      </c>
      <c r="G343" s="345">
        <f>G344+G347</f>
        <v>2375316.6399999997</v>
      </c>
    </row>
    <row r="344" spans="1:12" ht="25.15" hidden="1" customHeight="1" outlineLevel="7" x14ac:dyDescent="0.25">
      <c r="A344" s="423" t="s">
        <v>83</v>
      </c>
      <c r="B344" s="425" t="s">
        <v>455</v>
      </c>
      <c r="C344" s="425" t="s">
        <v>82</v>
      </c>
      <c r="D344" s="425" t="s">
        <v>140</v>
      </c>
      <c r="E344" s="401" t="s">
        <v>6</v>
      </c>
      <c r="F344" s="402">
        <f>F345</f>
        <v>632000</v>
      </c>
      <c r="G344" s="402">
        <f>G345</f>
        <v>632000</v>
      </c>
    </row>
    <row r="345" spans="1:12" s="76" customFormat="1" ht="36.700000000000003" hidden="1" outlineLevel="1" x14ac:dyDescent="0.25">
      <c r="A345" s="423" t="s">
        <v>37</v>
      </c>
      <c r="B345" s="425" t="s">
        <v>455</v>
      </c>
      <c r="C345" s="425" t="s">
        <v>82</v>
      </c>
      <c r="D345" s="425" t="s">
        <v>140</v>
      </c>
      <c r="E345" s="401" t="s">
        <v>38</v>
      </c>
      <c r="F345" s="402">
        <f>F346</f>
        <v>632000</v>
      </c>
      <c r="G345" s="402">
        <f>G346</f>
        <v>632000</v>
      </c>
      <c r="H345" s="75"/>
    </row>
    <row r="346" spans="1:12" hidden="1" outlineLevel="2" x14ac:dyDescent="0.25">
      <c r="A346" s="423" t="s">
        <v>74</v>
      </c>
      <c r="B346" s="425" t="s">
        <v>455</v>
      </c>
      <c r="C346" s="425" t="s">
        <v>82</v>
      </c>
      <c r="D346" s="425" t="s">
        <v>140</v>
      </c>
      <c r="E346" s="401" t="s">
        <v>75</v>
      </c>
      <c r="F346" s="402">
        <v>632000</v>
      </c>
      <c r="G346" s="402">
        <v>632000</v>
      </c>
    </row>
    <row r="347" spans="1:12" ht="64.05" hidden="1" customHeight="1" outlineLevel="4" x14ac:dyDescent="0.25">
      <c r="A347" s="423" t="s">
        <v>896</v>
      </c>
      <c r="B347" s="425" t="s">
        <v>455</v>
      </c>
      <c r="C347" s="425" t="s">
        <v>82</v>
      </c>
      <c r="D347" s="425" t="s">
        <v>899</v>
      </c>
      <c r="E347" s="401" t="s">
        <v>6</v>
      </c>
      <c r="F347" s="402">
        <f>F348</f>
        <v>1722056.68</v>
      </c>
      <c r="G347" s="402">
        <f>G348</f>
        <v>1743316.64</v>
      </c>
    </row>
    <row r="348" spans="1:12" ht="42.3" hidden="1" customHeight="1" outlineLevel="4" x14ac:dyDescent="0.25">
      <c r="A348" s="423" t="s">
        <v>37</v>
      </c>
      <c r="B348" s="425" t="s">
        <v>455</v>
      </c>
      <c r="C348" s="425" t="s">
        <v>82</v>
      </c>
      <c r="D348" s="425" t="s">
        <v>899</v>
      </c>
      <c r="E348" s="401" t="s">
        <v>38</v>
      </c>
      <c r="F348" s="402">
        <f>F349</f>
        <v>1722056.68</v>
      </c>
      <c r="G348" s="402">
        <f>G349</f>
        <v>1743316.64</v>
      </c>
    </row>
    <row r="349" spans="1:12" ht="31.45" hidden="1" customHeight="1" outlineLevel="4" x14ac:dyDescent="0.25">
      <c r="A349" s="423" t="s">
        <v>74</v>
      </c>
      <c r="B349" s="425" t="s">
        <v>455</v>
      </c>
      <c r="C349" s="425" t="s">
        <v>82</v>
      </c>
      <c r="D349" s="425" t="s">
        <v>899</v>
      </c>
      <c r="E349" s="401" t="s">
        <v>75</v>
      </c>
      <c r="F349" s="402">
        <v>1722056.68</v>
      </c>
      <c r="G349" s="402">
        <v>1743316.64</v>
      </c>
    </row>
    <row r="350" spans="1:12" hidden="1" outlineLevel="7" x14ac:dyDescent="0.25">
      <c r="A350" s="45" t="s">
        <v>85</v>
      </c>
      <c r="B350" s="387" t="s">
        <v>455</v>
      </c>
      <c r="C350" s="387" t="s">
        <v>86</v>
      </c>
      <c r="D350" s="387" t="s">
        <v>126</v>
      </c>
      <c r="E350" s="403" t="s">
        <v>6</v>
      </c>
      <c r="F350" s="347">
        <f>F351+F356+F371+F383</f>
        <v>34252897.399999999</v>
      </c>
      <c r="G350" s="347">
        <f>G351+G356+G371+G383</f>
        <v>43613362.960000008</v>
      </c>
    </row>
    <row r="351" spans="1:12" hidden="1" outlineLevel="7" x14ac:dyDescent="0.25">
      <c r="A351" s="423" t="s">
        <v>87</v>
      </c>
      <c r="B351" s="425" t="s">
        <v>455</v>
      </c>
      <c r="C351" s="425" t="s">
        <v>88</v>
      </c>
      <c r="D351" s="425" t="s">
        <v>126</v>
      </c>
      <c r="E351" s="401" t="s">
        <v>6</v>
      </c>
      <c r="F351" s="402">
        <f t="shared" ref="F351:G354" si="24">F352</f>
        <v>6157334</v>
      </c>
      <c r="G351" s="402">
        <f t="shared" si="24"/>
        <v>6157334</v>
      </c>
    </row>
    <row r="352" spans="1:12" ht="36.700000000000003" hidden="1" outlineLevel="7" x14ac:dyDescent="0.25">
      <c r="A352" s="45" t="s">
        <v>132</v>
      </c>
      <c r="B352" s="387" t="s">
        <v>455</v>
      </c>
      <c r="C352" s="387" t="s">
        <v>88</v>
      </c>
      <c r="D352" s="387" t="s">
        <v>127</v>
      </c>
      <c r="E352" s="403" t="s">
        <v>6</v>
      </c>
      <c r="F352" s="347">
        <f t="shared" si="24"/>
        <v>6157334</v>
      </c>
      <c r="G352" s="347">
        <f t="shared" si="24"/>
        <v>6157334</v>
      </c>
    </row>
    <row r="353" spans="1:12" s="76" customFormat="1" ht="26.5" hidden="1" customHeight="1" outlineLevel="7" x14ac:dyDescent="0.25">
      <c r="A353" s="423" t="s">
        <v>89</v>
      </c>
      <c r="B353" s="425" t="s">
        <v>455</v>
      </c>
      <c r="C353" s="425" t="s">
        <v>88</v>
      </c>
      <c r="D353" s="425" t="s">
        <v>142</v>
      </c>
      <c r="E353" s="401" t="s">
        <v>6</v>
      </c>
      <c r="F353" s="402">
        <f t="shared" si="24"/>
        <v>6157334</v>
      </c>
      <c r="G353" s="402">
        <f t="shared" si="24"/>
        <v>6157334</v>
      </c>
      <c r="H353" s="75"/>
    </row>
    <row r="354" spans="1:12" ht="25.5" hidden="1" customHeight="1" outlineLevel="7" x14ac:dyDescent="0.25">
      <c r="A354" s="423" t="s">
        <v>90</v>
      </c>
      <c r="B354" s="425" t="s">
        <v>455</v>
      </c>
      <c r="C354" s="425" t="s">
        <v>88</v>
      </c>
      <c r="D354" s="425" t="s">
        <v>142</v>
      </c>
      <c r="E354" s="401" t="s">
        <v>91</v>
      </c>
      <c r="F354" s="402">
        <f t="shared" si="24"/>
        <v>6157334</v>
      </c>
      <c r="G354" s="402">
        <f t="shared" si="24"/>
        <v>6157334</v>
      </c>
    </row>
    <row r="355" spans="1:12" ht="36.700000000000003" hidden="1" outlineLevel="7" x14ac:dyDescent="0.25">
      <c r="A355" s="423" t="s">
        <v>92</v>
      </c>
      <c r="B355" s="425" t="s">
        <v>455</v>
      </c>
      <c r="C355" s="425" t="s">
        <v>88</v>
      </c>
      <c r="D355" s="425" t="s">
        <v>142</v>
      </c>
      <c r="E355" s="401" t="s">
        <v>93</v>
      </c>
      <c r="F355" s="345">
        <v>6157334</v>
      </c>
      <c r="G355" s="345">
        <v>6157334</v>
      </c>
    </row>
    <row r="356" spans="1:12" hidden="1" outlineLevel="7" x14ac:dyDescent="0.25">
      <c r="A356" s="423" t="s">
        <v>94</v>
      </c>
      <c r="B356" s="425" t="s">
        <v>455</v>
      </c>
      <c r="C356" s="425" t="s">
        <v>95</v>
      </c>
      <c r="D356" s="425" t="s">
        <v>126</v>
      </c>
      <c r="E356" s="401" t="s">
        <v>6</v>
      </c>
      <c r="F356" s="402">
        <f>F357+F367+F362</f>
        <v>960117.18</v>
      </c>
      <c r="G356" s="402">
        <f>G357+G367+G362</f>
        <v>919595.23</v>
      </c>
    </row>
    <row r="357" spans="1:12" s="67" customFormat="1" ht="55.05" hidden="1" outlineLevel="7" x14ac:dyDescent="0.25">
      <c r="A357" s="45" t="s">
        <v>1173</v>
      </c>
      <c r="B357" s="425" t="s">
        <v>455</v>
      </c>
      <c r="C357" s="387" t="s">
        <v>95</v>
      </c>
      <c r="D357" s="387" t="s">
        <v>129</v>
      </c>
      <c r="E357" s="403" t="s">
        <v>6</v>
      </c>
      <c r="F357" s="347">
        <f t="shared" ref="F357:G360" si="25">F358</f>
        <v>150000</v>
      </c>
      <c r="G357" s="347">
        <f t="shared" si="25"/>
        <v>150000</v>
      </c>
      <c r="I357" s="1"/>
      <c r="J357" s="1"/>
      <c r="K357" s="1"/>
      <c r="L357" s="1"/>
    </row>
    <row r="358" spans="1:12" s="67" customFormat="1" ht="44.5" hidden="1" customHeight="1" outlineLevel="7" x14ac:dyDescent="0.25">
      <c r="A358" s="423" t="s">
        <v>355</v>
      </c>
      <c r="B358" s="425" t="s">
        <v>455</v>
      </c>
      <c r="C358" s="425" t="s">
        <v>95</v>
      </c>
      <c r="D358" s="425" t="s">
        <v>404</v>
      </c>
      <c r="E358" s="401" t="s">
        <v>6</v>
      </c>
      <c r="F358" s="402">
        <f t="shared" si="25"/>
        <v>150000</v>
      </c>
      <c r="G358" s="402">
        <f t="shared" si="25"/>
        <v>150000</v>
      </c>
      <c r="I358" s="1"/>
      <c r="J358" s="1"/>
      <c r="K358" s="1"/>
      <c r="L358" s="1"/>
    </row>
    <row r="359" spans="1:12" s="67" customFormat="1" ht="36.700000000000003" hidden="1" outlineLevel="7" x14ac:dyDescent="0.25">
      <c r="A359" s="423" t="s">
        <v>99</v>
      </c>
      <c r="B359" s="425" t="s">
        <v>455</v>
      </c>
      <c r="C359" s="425" t="s">
        <v>95</v>
      </c>
      <c r="D359" s="425" t="s">
        <v>388</v>
      </c>
      <c r="E359" s="401" t="s">
        <v>6</v>
      </c>
      <c r="F359" s="402">
        <f t="shared" si="25"/>
        <v>150000</v>
      </c>
      <c r="G359" s="402">
        <f t="shared" si="25"/>
        <v>150000</v>
      </c>
      <c r="I359" s="1"/>
      <c r="J359" s="1"/>
      <c r="K359" s="1"/>
      <c r="L359" s="1"/>
    </row>
    <row r="360" spans="1:12" s="67" customFormat="1" hidden="1" outlineLevel="7" x14ac:dyDescent="0.25">
      <c r="A360" s="423" t="s">
        <v>90</v>
      </c>
      <c r="B360" s="425" t="s">
        <v>455</v>
      </c>
      <c r="C360" s="425" t="s">
        <v>95</v>
      </c>
      <c r="D360" s="425" t="s">
        <v>388</v>
      </c>
      <c r="E360" s="401" t="s">
        <v>91</v>
      </c>
      <c r="F360" s="402">
        <f t="shared" si="25"/>
        <v>150000</v>
      </c>
      <c r="G360" s="402">
        <f t="shared" si="25"/>
        <v>150000</v>
      </c>
      <c r="I360" s="1"/>
      <c r="J360" s="1"/>
      <c r="K360" s="1"/>
      <c r="L360" s="1"/>
    </row>
    <row r="361" spans="1:12" s="67" customFormat="1" ht="36.700000000000003" hidden="1" outlineLevel="7" x14ac:dyDescent="0.25">
      <c r="A361" s="423" t="s">
        <v>97</v>
      </c>
      <c r="B361" s="425" t="s">
        <v>455</v>
      </c>
      <c r="C361" s="425" t="s">
        <v>95</v>
      </c>
      <c r="D361" s="425" t="s">
        <v>388</v>
      </c>
      <c r="E361" s="401" t="s">
        <v>98</v>
      </c>
      <c r="F361" s="345">
        <v>150000</v>
      </c>
      <c r="G361" s="345">
        <v>150000</v>
      </c>
      <c r="I361" s="1"/>
      <c r="J361" s="1"/>
      <c r="K361" s="1"/>
      <c r="L361" s="1"/>
    </row>
    <row r="362" spans="1:12" s="67" customFormat="1" ht="55.05" hidden="1" outlineLevel="1" x14ac:dyDescent="0.25">
      <c r="A362" s="45" t="s">
        <v>1174</v>
      </c>
      <c r="B362" s="425" t="s">
        <v>455</v>
      </c>
      <c r="C362" s="387" t="s">
        <v>95</v>
      </c>
      <c r="D362" s="387" t="s">
        <v>356</v>
      </c>
      <c r="E362" s="403" t="s">
        <v>6</v>
      </c>
      <c r="F362" s="346">
        <f t="shared" ref="F362:G365" si="26">F363</f>
        <v>710117.18</v>
      </c>
      <c r="G362" s="346">
        <f t="shared" si="26"/>
        <v>669595.23</v>
      </c>
      <c r="I362" s="1"/>
      <c r="J362" s="1"/>
      <c r="K362" s="1"/>
      <c r="L362" s="1"/>
    </row>
    <row r="363" spans="1:12" s="67" customFormat="1" ht="62.5" hidden="1" customHeight="1" outlineLevel="1" x14ac:dyDescent="0.25">
      <c r="A363" s="423" t="s">
        <v>373</v>
      </c>
      <c r="B363" s="425" t="s">
        <v>455</v>
      </c>
      <c r="C363" s="425" t="s">
        <v>95</v>
      </c>
      <c r="D363" s="425" t="s">
        <v>357</v>
      </c>
      <c r="E363" s="401" t="s">
        <v>6</v>
      </c>
      <c r="F363" s="345">
        <f t="shared" si="26"/>
        <v>710117.18</v>
      </c>
      <c r="G363" s="345">
        <f t="shared" si="26"/>
        <v>669595.23</v>
      </c>
      <c r="I363" s="1"/>
      <c r="J363" s="1"/>
      <c r="K363" s="1"/>
      <c r="L363" s="1"/>
    </row>
    <row r="364" spans="1:12" s="67" customFormat="1" ht="36.700000000000003" hidden="1" outlineLevel="1" x14ac:dyDescent="0.25">
      <c r="A364" s="423" t="s">
        <v>847</v>
      </c>
      <c r="B364" s="425" t="s">
        <v>455</v>
      </c>
      <c r="C364" s="425" t="s">
        <v>95</v>
      </c>
      <c r="D364" s="425" t="s">
        <v>358</v>
      </c>
      <c r="E364" s="401" t="s">
        <v>6</v>
      </c>
      <c r="F364" s="402">
        <f t="shared" si="26"/>
        <v>710117.18</v>
      </c>
      <c r="G364" s="402">
        <f t="shared" si="26"/>
        <v>669595.23</v>
      </c>
      <c r="I364" s="1"/>
      <c r="J364" s="1"/>
      <c r="K364" s="1"/>
      <c r="L364" s="1"/>
    </row>
    <row r="365" spans="1:12" s="67" customFormat="1" hidden="1" outlineLevel="1" x14ac:dyDescent="0.25">
      <c r="A365" s="423" t="s">
        <v>90</v>
      </c>
      <c r="B365" s="425" t="s">
        <v>455</v>
      </c>
      <c r="C365" s="425" t="s">
        <v>95</v>
      </c>
      <c r="D365" s="425" t="s">
        <v>358</v>
      </c>
      <c r="E365" s="401" t="s">
        <v>91</v>
      </c>
      <c r="F365" s="345">
        <f t="shared" si="26"/>
        <v>710117.18</v>
      </c>
      <c r="G365" s="345">
        <f t="shared" si="26"/>
        <v>669595.23</v>
      </c>
      <c r="I365" s="1"/>
      <c r="J365" s="1"/>
      <c r="K365" s="1"/>
      <c r="L365" s="1"/>
    </row>
    <row r="366" spans="1:12" s="67" customFormat="1" ht="36.700000000000003" hidden="1" outlineLevel="1" x14ac:dyDescent="0.25">
      <c r="A366" s="423" t="s">
        <v>97</v>
      </c>
      <c r="B366" s="425" t="s">
        <v>455</v>
      </c>
      <c r="C366" s="425" t="s">
        <v>95</v>
      </c>
      <c r="D366" s="425" t="s">
        <v>358</v>
      </c>
      <c r="E366" s="401" t="s">
        <v>98</v>
      </c>
      <c r="F366" s="402">
        <f>536617.18+173500</f>
        <v>710117.18</v>
      </c>
      <c r="G366" s="402">
        <f>496095.23+173500</f>
        <v>669595.23</v>
      </c>
      <c r="I366" s="1"/>
      <c r="J366" s="1"/>
      <c r="K366" s="1"/>
      <c r="L366" s="1"/>
    </row>
    <row r="367" spans="1:12" s="67" customFormat="1" ht="36.700000000000003" hidden="1" outlineLevel="1" x14ac:dyDescent="0.25">
      <c r="A367" s="45" t="s">
        <v>132</v>
      </c>
      <c r="B367" s="387" t="s">
        <v>455</v>
      </c>
      <c r="C367" s="387" t="s">
        <v>95</v>
      </c>
      <c r="D367" s="387" t="s">
        <v>127</v>
      </c>
      <c r="E367" s="403" t="s">
        <v>6</v>
      </c>
      <c r="F367" s="346">
        <f t="shared" ref="F367:G369" si="27">F368</f>
        <v>100000</v>
      </c>
      <c r="G367" s="346">
        <f t="shared" si="27"/>
        <v>100000</v>
      </c>
      <c r="I367" s="1"/>
      <c r="J367" s="1"/>
      <c r="K367" s="1"/>
      <c r="L367" s="1"/>
    </row>
    <row r="368" spans="1:12" s="67" customFormat="1" ht="36.700000000000003" hidden="1" outlineLevel="1" x14ac:dyDescent="0.25">
      <c r="A368" s="423" t="s">
        <v>480</v>
      </c>
      <c r="B368" s="425" t="s">
        <v>455</v>
      </c>
      <c r="C368" s="425" t="s">
        <v>95</v>
      </c>
      <c r="D368" s="425" t="s">
        <v>493</v>
      </c>
      <c r="E368" s="401" t="s">
        <v>6</v>
      </c>
      <c r="F368" s="345">
        <f t="shared" si="27"/>
        <v>100000</v>
      </c>
      <c r="G368" s="345">
        <f t="shared" si="27"/>
        <v>100000</v>
      </c>
      <c r="I368" s="1"/>
      <c r="J368" s="1"/>
      <c r="K368" s="1"/>
      <c r="L368" s="1"/>
    </row>
    <row r="369" spans="1:12" s="67" customFormat="1" hidden="1" outlineLevel="1" x14ac:dyDescent="0.25">
      <c r="A369" s="423" t="s">
        <v>90</v>
      </c>
      <c r="B369" s="425" t="s">
        <v>455</v>
      </c>
      <c r="C369" s="425" t="s">
        <v>95</v>
      </c>
      <c r="D369" s="425" t="s">
        <v>493</v>
      </c>
      <c r="E369" s="401" t="s">
        <v>91</v>
      </c>
      <c r="F369" s="345">
        <f t="shared" si="27"/>
        <v>100000</v>
      </c>
      <c r="G369" s="345">
        <f t="shared" si="27"/>
        <v>100000</v>
      </c>
      <c r="I369" s="1"/>
      <c r="J369" s="1"/>
      <c r="K369" s="1"/>
      <c r="L369" s="1"/>
    </row>
    <row r="370" spans="1:12" s="67" customFormat="1" ht="20.25" hidden="1" customHeight="1" outlineLevel="1" x14ac:dyDescent="0.25">
      <c r="A370" s="423" t="s">
        <v>298</v>
      </c>
      <c r="B370" s="425" t="s">
        <v>455</v>
      </c>
      <c r="C370" s="425" t="s">
        <v>95</v>
      </c>
      <c r="D370" s="425" t="s">
        <v>493</v>
      </c>
      <c r="E370" s="401" t="s">
        <v>299</v>
      </c>
      <c r="F370" s="402">
        <v>100000</v>
      </c>
      <c r="G370" s="402">
        <v>100000</v>
      </c>
      <c r="I370" s="1"/>
      <c r="J370" s="1"/>
      <c r="K370" s="1"/>
      <c r="L370" s="1"/>
    </row>
    <row r="371" spans="1:12" s="67" customFormat="1" hidden="1" outlineLevel="1" x14ac:dyDescent="0.25">
      <c r="A371" s="423" t="s">
        <v>123</v>
      </c>
      <c r="B371" s="425" t="s">
        <v>455</v>
      </c>
      <c r="C371" s="425" t="s">
        <v>124</v>
      </c>
      <c r="D371" s="425" t="s">
        <v>126</v>
      </c>
      <c r="E371" s="401" t="s">
        <v>6</v>
      </c>
      <c r="F371" s="345">
        <f>F372</f>
        <v>27021446.219999999</v>
      </c>
      <c r="G371" s="345">
        <f>G372</f>
        <v>36422433.730000004</v>
      </c>
      <c r="I371" s="1"/>
      <c r="J371" s="1"/>
      <c r="K371" s="1"/>
      <c r="L371" s="1"/>
    </row>
    <row r="372" spans="1:12" s="67" customFormat="1" ht="36.700000000000003" hidden="1" outlineLevel="1" x14ac:dyDescent="0.25">
      <c r="A372" s="45" t="s">
        <v>132</v>
      </c>
      <c r="B372" s="387" t="s">
        <v>455</v>
      </c>
      <c r="C372" s="387" t="s">
        <v>124</v>
      </c>
      <c r="D372" s="387" t="s">
        <v>127</v>
      </c>
      <c r="E372" s="403" t="s">
        <v>6</v>
      </c>
      <c r="F372" s="346">
        <f>F373</f>
        <v>27021446.219999999</v>
      </c>
      <c r="G372" s="346">
        <f>G373</f>
        <v>36422433.730000004</v>
      </c>
      <c r="I372" s="1"/>
      <c r="J372" s="1"/>
      <c r="K372" s="1"/>
      <c r="L372" s="1"/>
    </row>
    <row r="373" spans="1:12" hidden="1" outlineLevel="1" x14ac:dyDescent="0.25">
      <c r="A373" s="423" t="s">
        <v>269</v>
      </c>
      <c r="B373" s="425" t="s">
        <v>455</v>
      </c>
      <c r="C373" s="425" t="s">
        <v>124</v>
      </c>
      <c r="D373" s="425" t="s">
        <v>268</v>
      </c>
      <c r="E373" s="401" t="s">
        <v>6</v>
      </c>
      <c r="F373" s="345">
        <f>F374+F380</f>
        <v>27021446.219999999</v>
      </c>
      <c r="G373" s="345">
        <f>G374+G380</f>
        <v>36422433.730000004</v>
      </c>
    </row>
    <row r="374" spans="1:12" s="76" customFormat="1" ht="65.900000000000006" hidden="1" customHeight="1" outlineLevel="1" x14ac:dyDescent="0.25">
      <c r="A374" s="31" t="s">
        <v>934</v>
      </c>
      <c r="B374" s="425" t="s">
        <v>455</v>
      </c>
      <c r="C374" s="425" t="s">
        <v>124</v>
      </c>
      <c r="D374" s="425" t="s">
        <v>399</v>
      </c>
      <c r="E374" s="401" t="s">
        <v>6</v>
      </c>
      <c r="F374" s="402">
        <f>F375+F377</f>
        <v>17101159.710000001</v>
      </c>
      <c r="G374" s="402">
        <f>G375+G377</f>
        <v>17784560.02</v>
      </c>
      <c r="H374" s="75"/>
    </row>
    <row r="375" spans="1:12" ht="36.700000000000003" hidden="1" outlineLevel="1" x14ac:dyDescent="0.25">
      <c r="A375" s="423" t="s">
        <v>15</v>
      </c>
      <c r="B375" s="425" t="s">
        <v>455</v>
      </c>
      <c r="C375" s="425" t="s">
        <v>124</v>
      </c>
      <c r="D375" s="425" t="s">
        <v>399</v>
      </c>
      <c r="E375" s="401" t="s">
        <v>16</v>
      </c>
      <c r="F375" s="402">
        <f>F376</f>
        <v>130000</v>
      </c>
      <c r="G375" s="402">
        <f>G376</f>
        <v>130000</v>
      </c>
    </row>
    <row r="376" spans="1:12" s="76" customFormat="1" ht="37.549999999999997" hidden="1" customHeight="1" outlineLevel="1" x14ac:dyDescent="0.25">
      <c r="A376" s="423" t="s">
        <v>17</v>
      </c>
      <c r="B376" s="425" t="s">
        <v>455</v>
      </c>
      <c r="C376" s="425" t="s">
        <v>124</v>
      </c>
      <c r="D376" s="425" t="s">
        <v>399</v>
      </c>
      <c r="E376" s="401" t="s">
        <v>18</v>
      </c>
      <c r="F376" s="402">
        <v>130000</v>
      </c>
      <c r="G376" s="402">
        <v>130000</v>
      </c>
      <c r="H376" s="75"/>
    </row>
    <row r="377" spans="1:12" ht="23.8" hidden="1" customHeight="1" outlineLevel="1" x14ac:dyDescent="0.25">
      <c r="A377" s="423" t="s">
        <v>90</v>
      </c>
      <c r="B377" s="425" t="s">
        <v>455</v>
      </c>
      <c r="C377" s="425" t="s">
        <v>124</v>
      </c>
      <c r="D377" s="425" t="s">
        <v>399</v>
      </c>
      <c r="E377" s="401" t="s">
        <v>91</v>
      </c>
      <c r="F377" s="402">
        <f>F378+F379</f>
        <v>16971159.710000001</v>
      </c>
      <c r="G377" s="402">
        <f>G378+G379</f>
        <v>17654560.02</v>
      </c>
    </row>
    <row r="378" spans="1:12" ht="21.25" hidden="1" customHeight="1" outlineLevel="1" x14ac:dyDescent="0.3">
      <c r="A378" s="423" t="s">
        <v>92</v>
      </c>
      <c r="B378" s="425" t="s">
        <v>455</v>
      </c>
      <c r="C378" s="425" t="s">
        <v>124</v>
      </c>
      <c r="D378" s="425" t="s">
        <v>399</v>
      </c>
      <c r="E378" s="401" t="s">
        <v>93</v>
      </c>
      <c r="F378" s="164">
        <f>17101159.71-F376-F379</f>
        <v>14971159.710000001</v>
      </c>
      <c r="G378" s="164">
        <f>17784560.02-G376-G379</f>
        <v>15654560.02</v>
      </c>
    </row>
    <row r="379" spans="1:12" ht="35.5" hidden="1" customHeight="1" outlineLevel="1" x14ac:dyDescent="0.25">
      <c r="A379" s="423" t="s">
        <v>97</v>
      </c>
      <c r="B379" s="425" t="s">
        <v>455</v>
      </c>
      <c r="C379" s="425" t="s">
        <v>124</v>
      </c>
      <c r="D379" s="425" t="s">
        <v>399</v>
      </c>
      <c r="E379" s="401" t="s">
        <v>98</v>
      </c>
      <c r="F379" s="605">
        <v>2000000</v>
      </c>
      <c r="G379" s="605">
        <v>2000000</v>
      </c>
    </row>
    <row r="380" spans="1:12" ht="96.45" hidden="1" customHeight="1" outlineLevel="1" x14ac:dyDescent="0.25">
      <c r="A380" s="44" t="s">
        <v>959</v>
      </c>
      <c r="B380" s="425" t="s">
        <v>455</v>
      </c>
      <c r="C380" s="425" t="s">
        <v>124</v>
      </c>
      <c r="D380" s="425" t="s">
        <v>1114</v>
      </c>
      <c r="E380" s="401" t="s">
        <v>6</v>
      </c>
      <c r="F380" s="402">
        <f>F381</f>
        <v>9920286.5099999998</v>
      </c>
      <c r="G380" s="402">
        <f>G381</f>
        <v>18637873.710000001</v>
      </c>
    </row>
    <row r="381" spans="1:12" ht="18" hidden="1" customHeight="1" outlineLevel="1" x14ac:dyDescent="0.25">
      <c r="A381" s="423" t="s">
        <v>258</v>
      </c>
      <c r="B381" s="425" t="s">
        <v>455</v>
      </c>
      <c r="C381" s="425" t="s">
        <v>124</v>
      </c>
      <c r="D381" s="425" t="s">
        <v>1114</v>
      </c>
      <c r="E381" s="401" t="s">
        <v>259</v>
      </c>
      <c r="F381" s="402">
        <f>F382</f>
        <v>9920286.5099999998</v>
      </c>
      <c r="G381" s="402">
        <f>G382</f>
        <v>18637873.710000001</v>
      </c>
    </row>
    <row r="382" spans="1:12" ht="18" hidden="1" customHeight="1" outlineLevel="1" x14ac:dyDescent="0.25">
      <c r="A382" s="423" t="s">
        <v>260</v>
      </c>
      <c r="B382" s="425" t="s">
        <v>455</v>
      </c>
      <c r="C382" s="425" t="s">
        <v>124</v>
      </c>
      <c r="D382" s="425" t="s">
        <v>1114</v>
      </c>
      <c r="E382" s="401" t="s">
        <v>261</v>
      </c>
      <c r="F382" s="605">
        <v>9920286.5099999998</v>
      </c>
      <c r="G382" s="605">
        <v>18637873.710000001</v>
      </c>
    </row>
    <row r="383" spans="1:12" ht="32.6" hidden="1" customHeight="1" outlineLevel="1" x14ac:dyDescent="0.25">
      <c r="A383" s="423" t="s">
        <v>1052</v>
      </c>
      <c r="B383" s="425" t="s">
        <v>455</v>
      </c>
      <c r="C383" s="425" t="s">
        <v>1053</v>
      </c>
      <c r="D383" s="425" t="s">
        <v>126</v>
      </c>
      <c r="E383" s="425" t="s">
        <v>6</v>
      </c>
      <c r="F383" s="605">
        <f>F384</f>
        <v>114000</v>
      </c>
      <c r="G383" s="605">
        <f>G384</f>
        <v>114000</v>
      </c>
    </row>
    <row r="384" spans="1:12" ht="49.75" hidden="1" customHeight="1" outlineLevel="1" x14ac:dyDescent="0.25">
      <c r="A384" s="45" t="s">
        <v>1164</v>
      </c>
      <c r="B384" s="425" t="s">
        <v>455</v>
      </c>
      <c r="C384" s="425" t="s">
        <v>1053</v>
      </c>
      <c r="D384" s="425" t="s">
        <v>136</v>
      </c>
      <c r="E384" s="425" t="s">
        <v>6</v>
      </c>
      <c r="F384" s="605">
        <f>F385</f>
        <v>114000</v>
      </c>
      <c r="G384" s="605">
        <f>G385</f>
        <v>114000</v>
      </c>
    </row>
    <row r="385" spans="1:8" ht="18" hidden="1" customHeight="1" outlineLevel="1" x14ac:dyDescent="0.25">
      <c r="A385" s="423" t="s">
        <v>208</v>
      </c>
      <c r="B385" s="425" t="s">
        <v>455</v>
      </c>
      <c r="C385" s="425" t="s">
        <v>1053</v>
      </c>
      <c r="D385" s="425" t="s">
        <v>226</v>
      </c>
      <c r="E385" s="425" t="s">
        <v>6</v>
      </c>
      <c r="F385" s="605">
        <f>F387</f>
        <v>114000</v>
      </c>
      <c r="G385" s="605">
        <f>G387</f>
        <v>114000</v>
      </c>
    </row>
    <row r="386" spans="1:8" ht="40.1" hidden="1" customHeight="1" outlineLevel="1" x14ac:dyDescent="0.25">
      <c r="A386" s="423" t="s">
        <v>83</v>
      </c>
      <c r="B386" s="425" t="s">
        <v>455</v>
      </c>
      <c r="C386" s="425" t="s">
        <v>1053</v>
      </c>
      <c r="D386" s="425" t="s">
        <v>140</v>
      </c>
      <c r="E386" s="425" t="s">
        <v>6</v>
      </c>
      <c r="F386" s="605">
        <f>F387</f>
        <v>114000</v>
      </c>
      <c r="G386" s="605">
        <f>G387</f>
        <v>114000</v>
      </c>
    </row>
    <row r="387" spans="1:8" ht="44.85" hidden="1" customHeight="1" outlineLevel="1" x14ac:dyDescent="0.25">
      <c r="A387" s="423" t="s">
        <v>37</v>
      </c>
      <c r="B387" s="425" t="s">
        <v>455</v>
      </c>
      <c r="C387" s="425" t="s">
        <v>1053</v>
      </c>
      <c r="D387" s="425" t="s">
        <v>140</v>
      </c>
      <c r="E387" s="425" t="s">
        <v>38</v>
      </c>
      <c r="F387" s="605">
        <f>F388</f>
        <v>114000</v>
      </c>
      <c r="G387" s="605">
        <f>G388</f>
        <v>114000</v>
      </c>
    </row>
    <row r="388" spans="1:8" ht="33.450000000000003" hidden="1" customHeight="1" outlineLevel="1" x14ac:dyDescent="0.25">
      <c r="A388" s="423" t="s">
        <v>354</v>
      </c>
      <c r="B388" s="425" t="s">
        <v>455</v>
      </c>
      <c r="C388" s="425" t="s">
        <v>1053</v>
      </c>
      <c r="D388" s="425" t="s">
        <v>140</v>
      </c>
      <c r="E388" s="425" t="s">
        <v>248</v>
      </c>
      <c r="F388" s="605">
        <v>114000</v>
      </c>
      <c r="G388" s="605">
        <v>114000</v>
      </c>
    </row>
    <row r="389" spans="1:8" hidden="1" outlineLevel="1" x14ac:dyDescent="0.25">
      <c r="A389" s="45" t="s">
        <v>100</v>
      </c>
      <c r="B389" s="387" t="s">
        <v>455</v>
      </c>
      <c r="C389" s="387" t="s">
        <v>101</v>
      </c>
      <c r="D389" s="387" t="s">
        <v>126</v>
      </c>
      <c r="E389" s="403" t="s">
        <v>6</v>
      </c>
      <c r="F389" s="346">
        <f>F390</f>
        <v>983256.32000000007</v>
      </c>
      <c r="G389" s="346">
        <f>G390</f>
        <v>983503.63000000012</v>
      </c>
    </row>
    <row r="390" spans="1:8" ht="22.75" hidden="1" customHeight="1" outlineLevel="1" x14ac:dyDescent="0.25">
      <c r="A390" s="423" t="s">
        <v>291</v>
      </c>
      <c r="B390" s="425" t="s">
        <v>455</v>
      </c>
      <c r="C390" s="425" t="s">
        <v>290</v>
      </c>
      <c r="D390" s="425" t="s">
        <v>126</v>
      </c>
      <c r="E390" s="401" t="s">
        <v>6</v>
      </c>
      <c r="F390" s="345">
        <f>F391+F404</f>
        <v>983256.32000000007</v>
      </c>
      <c r="G390" s="345">
        <f>G391+G404</f>
        <v>983503.63000000012</v>
      </c>
    </row>
    <row r="391" spans="1:8" ht="20.25" hidden="1" customHeight="1" outlineLevel="1" x14ac:dyDescent="0.25">
      <c r="A391" s="45" t="s">
        <v>1171</v>
      </c>
      <c r="B391" s="387" t="s">
        <v>455</v>
      </c>
      <c r="C391" s="387" t="s">
        <v>290</v>
      </c>
      <c r="D391" s="387" t="s">
        <v>198</v>
      </c>
      <c r="E391" s="403" t="s">
        <v>6</v>
      </c>
      <c r="F391" s="346">
        <f>F392</f>
        <v>933256.32000000007</v>
      </c>
      <c r="G391" s="346">
        <f>G392</f>
        <v>933503.63000000012</v>
      </c>
    </row>
    <row r="392" spans="1:8" ht="55.05" hidden="1" outlineLevel="1" x14ac:dyDescent="0.25">
      <c r="A392" s="423" t="s">
        <v>210</v>
      </c>
      <c r="B392" s="425" t="s">
        <v>455</v>
      </c>
      <c r="C392" s="425" t="s">
        <v>290</v>
      </c>
      <c r="D392" s="425" t="s">
        <v>227</v>
      </c>
      <c r="E392" s="401" t="s">
        <v>6</v>
      </c>
      <c r="F392" s="345">
        <f>F393+F398+F401</f>
        <v>933256.32000000007</v>
      </c>
      <c r="G392" s="345">
        <f>G393+G398+G401</f>
        <v>933503.63000000012</v>
      </c>
    </row>
    <row r="393" spans="1:8" ht="20.25" hidden="1" customHeight="1" outlineLevel="1" x14ac:dyDescent="0.25">
      <c r="A393" s="423" t="s">
        <v>102</v>
      </c>
      <c r="B393" s="425" t="s">
        <v>455</v>
      </c>
      <c r="C393" s="425" t="s">
        <v>290</v>
      </c>
      <c r="D393" s="425" t="s">
        <v>199</v>
      </c>
      <c r="E393" s="401" t="s">
        <v>6</v>
      </c>
      <c r="F393" s="345">
        <f>F394+F396</f>
        <v>661000</v>
      </c>
      <c r="G393" s="345">
        <f>G394+G396</f>
        <v>661000</v>
      </c>
    </row>
    <row r="394" spans="1:8" ht="21.25" hidden="1" customHeight="1" outlineLevel="1" x14ac:dyDescent="0.25">
      <c r="A394" s="423" t="s">
        <v>15</v>
      </c>
      <c r="B394" s="425" t="s">
        <v>455</v>
      </c>
      <c r="C394" s="425" t="s">
        <v>290</v>
      </c>
      <c r="D394" s="425" t="s">
        <v>199</v>
      </c>
      <c r="E394" s="401" t="s">
        <v>16</v>
      </c>
      <c r="F394" s="345">
        <f>F395</f>
        <v>631000</v>
      </c>
      <c r="G394" s="345">
        <f>G395</f>
        <v>631000</v>
      </c>
    </row>
    <row r="395" spans="1:8" s="76" customFormat="1" ht="36.700000000000003" hidden="1" outlineLevel="1" x14ac:dyDescent="0.25">
      <c r="A395" s="423" t="s">
        <v>17</v>
      </c>
      <c r="B395" s="425" t="s">
        <v>455</v>
      </c>
      <c r="C395" s="425" t="s">
        <v>290</v>
      </c>
      <c r="D395" s="425" t="s">
        <v>199</v>
      </c>
      <c r="E395" s="401" t="s">
        <v>18</v>
      </c>
      <c r="F395" s="345">
        <v>631000</v>
      </c>
      <c r="G395" s="345">
        <v>631000</v>
      </c>
      <c r="H395" s="75"/>
    </row>
    <row r="396" spans="1:8" ht="24.8" hidden="1" customHeight="1" outlineLevel="2" x14ac:dyDescent="0.25">
      <c r="A396" s="423" t="s">
        <v>265</v>
      </c>
      <c r="B396" s="425" t="s">
        <v>455</v>
      </c>
      <c r="C396" s="425" t="s">
        <v>290</v>
      </c>
      <c r="D396" s="425" t="s">
        <v>199</v>
      </c>
      <c r="E396" s="401" t="s">
        <v>20</v>
      </c>
      <c r="F396" s="345">
        <f>F397</f>
        <v>30000</v>
      </c>
      <c r="G396" s="345">
        <f>G397</f>
        <v>30000</v>
      </c>
    </row>
    <row r="397" spans="1:8" s="76" customFormat="1" ht="27.7" hidden="1" customHeight="1" outlineLevel="3" x14ac:dyDescent="0.25">
      <c r="A397" s="423" t="s">
        <v>266</v>
      </c>
      <c r="B397" s="425" t="s">
        <v>455</v>
      </c>
      <c r="C397" s="425" t="s">
        <v>290</v>
      </c>
      <c r="D397" s="425" t="s">
        <v>199</v>
      </c>
      <c r="E397" s="401" t="s">
        <v>22</v>
      </c>
      <c r="F397" s="345">
        <v>30000</v>
      </c>
      <c r="G397" s="345">
        <v>30000</v>
      </c>
      <c r="H397" s="75"/>
    </row>
    <row r="398" spans="1:8" ht="67.75" hidden="1" customHeight="1" outlineLevel="7" x14ac:dyDescent="0.25">
      <c r="A398" s="423" t="s">
        <v>955</v>
      </c>
      <c r="B398" s="425" t="s">
        <v>455</v>
      </c>
      <c r="C398" s="425" t="s">
        <v>290</v>
      </c>
      <c r="D398" s="425" t="s">
        <v>860</v>
      </c>
      <c r="E398" s="401" t="s">
        <v>6</v>
      </c>
      <c r="F398" s="345">
        <f>F399</f>
        <v>269533.76</v>
      </c>
      <c r="G398" s="345">
        <f>G399</f>
        <v>269778.59000000003</v>
      </c>
    </row>
    <row r="399" spans="1:8" ht="36.700000000000003" hidden="1" outlineLevel="7" x14ac:dyDescent="0.25">
      <c r="A399" s="423" t="s">
        <v>15</v>
      </c>
      <c r="B399" s="425" t="s">
        <v>455</v>
      </c>
      <c r="C399" s="425" t="s">
        <v>290</v>
      </c>
      <c r="D399" s="425" t="s">
        <v>860</v>
      </c>
      <c r="E399" s="401" t="s">
        <v>16</v>
      </c>
      <c r="F399" s="345">
        <f>F400</f>
        <v>269533.76</v>
      </c>
      <c r="G399" s="345">
        <f>G400</f>
        <v>269778.59000000003</v>
      </c>
    </row>
    <row r="400" spans="1:8" ht="36.700000000000003" hidden="1" outlineLevel="7" x14ac:dyDescent="0.25">
      <c r="A400" s="423" t="s">
        <v>17</v>
      </c>
      <c r="B400" s="425" t="s">
        <v>455</v>
      </c>
      <c r="C400" s="425" t="s">
        <v>290</v>
      </c>
      <c r="D400" s="425" t="s">
        <v>860</v>
      </c>
      <c r="E400" s="401" t="s">
        <v>18</v>
      </c>
      <c r="F400" s="345">
        <v>269533.76</v>
      </c>
      <c r="G400" s="345">
        <v>269778.59000000003</v>
      </c>
    </row>
    <row r="401" spans="1:12" ht="36.700000000000003" hidden="1" customHeight="1" outlineLevel="7" x14ac:dyDescent="0.25">
      <c r="A401" s="423" t="s">
        <v>1004</v>
      </c>
      <c r="B401" s="425" t="s">
        <v>455</v>
      </c>
      <c r="C401" s="425" t="s">
        <v>290</v>
      </c>
      <c r="D401" s="425" t="s">
        <v>862</v>
      </c>
      <c r="E401" s="401" t="s">
        <v>6</v>
      </c>
      <c r="F401" s="345">
        <f>F402</f>
        <v>2722.56</v>
      </c>
      <c r="G401" s="345">
        <f>G402</f>
        <v>2725.04</v>
      </c>
    </row>
    <row r="402" spans="1:12" ht="36.700000000000003" hidden="1" outlineLevel="7" x14ac:dyDescent="0.25">
      <c r="A402" s="423" t="s">
        <v>15</v>
      </c>
      <c r="B402" s="425" t="s">
        <v>455</v>
      </c>
      <c r="C402" s="425" t="s">
        <v>290</v>
      </c>
      <c r="D402" s="425" t="s">
        <v>862</v>
      </c>
      <c r="E402" s="401" t="s">
        <v>16</v>
      </c>
      <c r="F402" s="345">
        <f>F403</f>
        <v>2722.56</v>
      </c>
      <c r="G402" s="345">
        <f>G403</f>
        <v>2725.04</v>
      </c>
    </row>
    <row r="403" spans="1:12" ht="36.700000000000003" hidden="1" outlineLevel="7" x14ac:dyDescent="0.25">
      <c r="A403" s="423" t="s">
        <v>17</v>
      </c>
      <c r="B403" s="425" t="s">
        <v>455</v>
      </c>
      <c r="C403" s="425" t="s">
        <v>290</v>
      </c>
      <c r="D403" s="425" t="s">
        <v>862</v>
      </c>
      <c r="E403" s="401" t="s">
        <v>18</v>
      </c>
      <c r="F403" s="345">
        <f>ROUND(F400*1/99,2)</f>
        <v>2722.56</v>
      </c>
      <c r="G403" s="345">
        <f>ROUND(G400*1/99,2)</f>
        <v>2725.04</v>
      </c>
    </row>
    <row r="404" spans="1:12" s="2" customFormat="1" ht="65.25" hidden="1" customHeight="1" x14ac:dyDescent="0.25">
      <c r="A404" s="45" t="s">
        <v>1168</v>
      </c>
      <c r="B404" s="387" t="s">
        <v>455</v>
      </c>
      <c r="C404" s="387" t="s">
        <v>290</v>
      </c>
      <c r="D404" s="387" t="s">
        <v>419</v>
      </c>
      <c r="E404" s="403" t="s">
        <v>6</v>
      </c>
      <c r="F404" s="402">
        <f t="shared" ref="F404:G407" si="28">F405</f>
        <v>50000</v>
      </c>
      <c r="G404" s="402">
        <f t="shared" si="28"/>
        <v>50000</v>
      </c>
      <c r="H404" s="143"/>
    </row>
    <row r="405" spans="1:12" ht="31.75" hidden="1" customHeight="1" outlineLevel="1" x14ac:dyDescent="0.25">
      <c r="A405" s="393" t="s">
        <v>420</v>
      </c>
      <c r="B405" s="425" t="s">
        <v>455</v>
      </c>
      <c r="C405" s="425" t="s">
        <v>290</v>
      </c>
      <c r="D405" s="425" t="s">
        <v>421</v>
      </c>
      <c r="E405" s="401" t="s">
        <v>6</v>
      </c>
      <c r="F405" s="402">
        <f t="shared" si="28"/>
        <v>50000</v>
      </c>
      <c r="G405" s="402">
        <f t="shared" si="28"/>
        <v>50000</v>
      </c>
    </row>
    <row r="406" spans="1:12" ht="37.549999999999997" hidden="1" customHeight="1" outlineLevel="2" x14ac:dyDescent="0.25">
      <c r="A406" s="423" t="s">
        <v>422</v>
      </c>
      <c r="B406" s="425" t="s">
        <v>455</v>
      </c>
      <c r="C406" s="425" t="s">
        <v>290</v>
      </c>
      <c r="D406" s="425" t="s">
        <v>423</v>
      </c>
      <c r="E406" s="401" t="s">
        <v>6</v>
      </c>
      <c r="F406" s="402">
        <f t="shared" si="28"/>
        <v>50000</v>
      </c>
      <c r="G406" s="402">
        <f t="shared" si="28"/>
        <v>50000</v>
      </c>
    </row>
    <row r="407" spans="1:12" ht="36.700000000000003" hidden="1" outlineLevel="4" x14ac:dyDescent="0.25">
      <c r="A407" s="423" t="s">
        <v>15</v>
      </c>
      <c r="B407" s="425" t="s">
        <v>455</v>
      </c>
      <c r="C407" s="425" t="s">
        <v>290</v>
      </c>
      <c r="D407" s="425" t="s">
        <v>423</v>
      </c>
      <c r="E407" s="401" t="s">
        <v>16</v>
      </c>
      <c r="F407" s="402">
        <f t="shared" si="28"/>
        <v>50000</v>
      </c>
      <c r="G407" s="402">
        <f t="shared" si="28"/>
        <v>50000</v>
      </c>
    </row>
    <row r="408" spans="1:12" ht="36.700000000000003" hidden="1" outlineLevel="5" x14ac:dyDescent="0.25">
      <c r="A408" s="423" t="s">
        <v>17</v>
      </c>
      <c r="B408" s="425" t="s">
        <v>455</v>
      </c>
      <c r="C408" s="425" t="s">
        <v>290</v>
      </c>
      <c r="D408" s="425" t="s">
        <v>423</v>
      </c>
      <c r="E408" s="401" t="s">
        <v>18</v>
      </c>
      <c r="F408" s="345">
        <v>50000</v>
      </c>
      <c r="G408" s="345">
        <v>50000</v>
      </c>
    </row>
    <row r="409" spans="1:12" hidden="1" outlineLevel="6" x14ac:dyDescent="0.25">
      <c r="A409" s="45" t="s">
        <v>103</v>
      </c>
      <c r="B409" s="425" t="s">
        <v>455</v>
      </c>
      <c r="C409" s="387" t="s">
        <v>104</v>
      </c>
      <c r="D409" s="387" t="s">
        <v>126</v>
      </c>
      <c r="E409" s="403" t="s">
        <v>6</v>
      </c>
      <c r="F409" s="347">
        <f t="shared" ref="F409:G413" si="29">F410</f>
        <v>2500000</v>
      </c>
      <c r="G409" s="347">
        <f t="shared" si="29"/>
        <v>2500000</v>
      </c>
    </row>
    <row r="410" spans="1:12" hidden="1" outlineLevel="7" x14ac:dyDescent="0.25">
      <c r="A410" s="423" t="s">
        <v>105</v>
      </c>
      <c r="B410" s="425" t="s">
        <v>455</v>
      </c>
      <c r="C410" s="425" t="s">
        <v>106</v>
      </c>
      <c r="D410" s="425" t="s">
        <v>126</v>
      </c>
      <c r="E410" s="401" t="s">
        <v>6</v>
      </c>
      <c r="F410" s="402">
        <f t="shared" si="29"/>
        <v>2500000</v>
      </c>
      <c r="G410" s="402">
        <f t="shared" si="29"/>
        <v>2500000</v>
      </c>
    </row>
    <row r="411" spans="1:12" s="67" customFormat="1" ht="55.05" hidden="1" outlineLevel="5" x14ac:dyDescent="0.25">
      <c r="A411" s="45" t="s">
        <v>1150</v>
      </c>
      <c r="B411" s="425" t="s">
        <v>455</v>
      </c>
      <c r="C411" s="387" t="s">
        <v>106</v>
      </c>
      <c r="D411" s="387" t="s">
        <v>305</v>
      </c>
      <c r="E411" s="403" t="s">
        <v>6</v>
      </c>
      <c r="F411" s="347">
        <f>F412</f>
        <v>2500000</v>
      </c>
      <c r="G411" s="347">
        <f>G412</f>
        <v>2500000</v>
      </c>
      <c r="I411" s="1"/>
      <c r="J411" s="1"/>
      <c r="K411" s="1"/>
      <c r="L411" s="1"/>
    </row>
    <row r="412" spans="1:12" s="67" customFormat="1" ht="36.700000000000003" hidden="1" outlineLevel="6" x14ac:dyDescent="0.25">
      <c r="A412" s="423" t="s">
        <v>315</v>
      </c>
      <c r="B412" s="425" t="s">
        <v>455</v>
      </c>
      <c r="C412" s="425" t="s">
        <v>106</v>
      </c>
      <c r="D412" s="425" t="s">
        <v>306</v>
      </c>
      <c r="E412" s="401" t="s">
        <v>6</v>
      </c>
      <c r="F412" s="402">
        <f t="shared" si="29"/>
        <v>2500000</v>
      </c>
      <c r="G412" s="402">
        <f t="shared" si="29"/>
        <v>2500000</v>
      </c>
    </row>
    <row r="413" spans="1:12" s="67" customFormat="1" ht="55.05" hidden="1" outlineLevel="7" x14ac:dyDescent="0.25">
      <c r="A413" s="423" t="s">
        <v>107</v>
      </c>
      <c r="B413" s="425" t="s">
        <v>455</v>
      </c>
      <c r="C413" s="425" t="s">
        <v>106</v>
      </c>
      <c r="D413" s="425" t="s">
        <v>307</v>
      </c>
      <c r="E413" s="401" t="s">
        <v>6</v>
      </c>
      <c r="F413" s="402">
        <f t="shared" si="29"/>
        <v>2500000</v>
      </c>
      <c r="G413" s="402">
        <f t="shared" si="29"/>
        <v>2500000</v>
      </c>
    </row>
    <row r="414" spans="1:12" s="67" customFormat="1" ht="36.700000000000003" hidden="1" outlineLevel="6" x14ac:dyDescent="0.25">
      <c r="A414" s="423" t="s">
        <v>37</v>
      </c>
      <c r="B414" s="425" t="s">
        <v>455</v>
      </c>
      <c r="C414" s="425" t="s">
        <v>106</v>
      </c>
      <c r="D414" s="425" t="s">
        <v>307</v>
      </c>
      <c r="E414" s="401" t="s">
        <v>38</v>
      </c>
      <c r="F414" s="402">
        <f>F415</f>
        <v>2500000</v>
      </c>
      <c r="G414" s="402">
        <f>G415</f>
        <v>2500000</v>
      </c>
    </row>
    <row r="415" spans="1:12" s="67" customFormat="1" ht="20.25" hidden="1" customHeight="1" outlineLevel="7" x14ac:dyDescent="0.25">
      <c r="A415" s="423" t="s">
        <v>39</v>
      </c>
      <c r="B415" s="425" t="s">
        <v>455</v>
      </c>
      <c r="C415" s="425" t="s">
        <v>106</v>
      </c>
      <c r="D415" s="425" t="s">
        <v>307</v>
      </c>
      <c r="E415" s="401" t="s">
        <v>40</v>
      </c>
      <c r="F415" s="402">
        <v>2500000</v>
      </c>
      <c r="G415" s="402">
        <v>2500000</v>
      </c>
    </row>
    <row r="416" spans="1:12" s="67" customFormat="1" ht="36.700000000000003" hidden="1" outlineLevel="6" x14ac:dyDescent="0.25">
      <c r="A416" s="57" t="s">
        <v>481</v>
      </c>
      <c r="B416" s="385" t="s">
        <v>456</v>
      </c>
      <c r="C416" s="385" t="s">
        <v>5</v>
      </c>
      <c r="D416" s="385" t="s">
        <v>126</v>
      </c>
      <c r="E416" s="399" t="s">
        <v>6</v>
      </c>
      <c r="F416" s="400">
        <f>F417</f>
        <v>6553555.5299999993</v>
      </c>
      <c r="G416" s="400">
        <f>G417</f>
        <v>6808297.7399999993</v>
      </c>
    </row>
    <row r="417" spans="1:8" s="67" customFormat="1" hidden="1" outlineLevel="7" x14ac:dyDescent="0.25">
      <c r="A417" s="423" t="s">
        <v>7</v>
      </c>
      <c r="B417" s="425" t="s">
        <v>456</v>
      </c>
      <c r="C417" s="425" t="s">
        <v>8</v>
      </c>
      <c r="D417" s="425" t="s">
        <v>126</v>
      </c>
      <c r="E417" s="401" t="s">
        <v>6</v>
      </c>
      <c r="F417" s="402">
        <f>F418+F433</f>
        <v>6553555.5299999993</v>
      </c>
      <c r="G417" s="402">
        <f>G418+G433</f>
        <v>6808297.7399999993</v>
      </c>
    </row>
    <row r="418" spans="1:8" s="67" customFormat="1" ht="73.400000000000006" hidden="1" outlineLevel="5" x14ac:dyDescent="0.25">
      <c r="A418" s="423" t="s">
        <v>108</v>
      </c>
      <c r="B418" s="425" t="s">
        <v>456</v>
      </c>
      <c r="C418" s="425" t="s">
        <v>109</v>
      </c>
      <c r="D418" s="425" t="s">
        <v>126</v>
      </c>
      <c r="E418" s="401" t="s">
        <v>6</v>
      </c>
      <c r="F418" s="402">
        <f>F419</f>
        <v>6394435.5299999993</v>
      </c>
      <c r="G418" s="402">
        <f>G419</f>
        <v>6642812.9399999995</v>
      </c>
    </row>
    <row r="419" spans="1:8" s="67" customFormat="1" ht="36.700000000000003" hidden="1" outlineLevel="6" x14ac:dyDescent="0.25">
      <c r="A419" s="423" t="s">
        <v>132</v>
      </c>
      <c r="B419" s="425" t="s">
        <v>456</v>
      </c>
      <c r="C419" s="425" t="s">
        <v>109</v>
      </c>
      <c r="D419" s="425" t="s">
        <v>127</v>
      </c>
      <c r="E419" s="401" t="s">
        <v>6</v>
      </c>
      <c r="F419" s="402">
        <f>F420+F423+F430</f>
        <v>6394435.5299999993</v>
      </c>
      <c r="G419" s="402">
        <f>G420+G423+G430</f>
        <v>6642812.9399999995</v>
      </c>
    </row>
    <row r="420" spans="1:8" s="67" customFormat="1" ht="36.700000000000003" hidden="1" outlineLevel="7" x14ac:dyDescent="0.25">
      <c r="A420" s="423" t="s">
        <v>482</v>
      </c>
      <c r="B420" s="425" t="s">
        <v>456</v>
      </c>
      <c r="C420" s="425" t="s">
        <v>109</v>
      </c>
      <c r="D420" s="425" t="s">
        <v>483</v>
      </c>
      <c r="E420" s="401" t="s">
        <v>6</v>
      </c>
      <c r="F420" s="402">
        <f>F421</f>
        <v>2986977.26</v>
      </c>
      <c r="G420" s="402">
        <f>G421</f>
        <v>3106456.34</v>
      </c>
    </row>
    <row r="421" spans="1:8" s="67" customFormat="1" ht="37.549999999999997" hidden="1" customHeight="1" outlineLevel="2" x14ac:dyDescent="0.25">
      <c r="A421" s="423" t="s">
        <v>11</v>
      </c>
      <c r="B421" s="425" t="s">
        <v>456</v>
      </c>
      <c r="C421" s="425" t="s">
        <v>109</v>
      </c>
      <c r="D421" s="425" t="s">
        <v>483</v>
      </c>
      <c r="E421" s="401" t="s">
        <v>12</v>
      </c>
      <c r="F421" s="402">
        <f>F422</f>
        <v>2986977.26</v>
      </c>
      <c r="G421" s="402">
        <f>G422</f>
        <v>3106456.34</v>
      </c>
    </row>
    <row r="422" spans="1:8" s="67" customFormat="1" ht="36.700000000000003" hidden="1" outlineLevel="4" x14ac:dyDescent="0.25">
      <c r="A422" s="423" t="s">
        <v>13</v>
      </c>
      <c r="B422" s="425" t="s">
        <v>456</v>
      </c>
      <c r="C422" s="425" t="s">
        <v>109</v>
      </c>
      <c r="D422" s="425" t="s">
        <v>483</v>
      </c>
      <c r="E422" s="401" t="s">
        <v>14</v>
      </c>
      <c r="F422" s="345">
        <v>2986977.26</v>
      </c>
      <c r="G422" s="345">
        <v>3106456.34</v>
      </c>
    </row>
    <row r="423" spans="1:8" s="67" customFormat="1" ht="55.05" hidden="1" outlineLevel="5" x14ac:dyDescent="0.25">
      <c r="A423" s="423" t="s">
        <v>449</v>
      </c>
      <c r="B423" s="425" t="s">
        <v>456</v>
      </c>
      <c r="C423" s="425" t="s">
        <v>109</v>
      </c>
      <c r="D423" s="425" t="s">
        <v>450</v>
      </c>
      <c r="E423" s="401" t="s">
        <v>6</v>
      </c>
      <c r="F423" s="402">
        <f>F424+F426+F428</f>
        <v>3227458.27</v>
      </c>
      <c r="G423" s="402">
        <f>G424+G426+G428</f>
        <v>3356356.6</v>
      </c>
    </row>
    <row r="424" spans="1:8" s="67" customFormat="1" ht="91.7" hidden="1" outlineLevel="6" x14ac:dyDescent="0.25">
      <c r="A424" s="423" t="s">
        <v>11</v>
      </c>
      <c r="B424" s="425" t="s">
        <v>456</v>
      </c>
      <c r="C424" s="425" t="s">
        <v>109</v>
      </c>
      <c r="D424" s="425" t="s">
        <v>450</v>
      </c>
      <c r="E424" s="401" t="s">
        <v>12</v>
      </c>
      <c r="F424" s="402">
        <f>F425</f>
        <v>2986378.27</v>
      </c>
      <c r="G424" s="402">
        <f>G425</f>
        <v>3105833.4</v>
      </c>
    </row>
    <row r="425" spans="1:8" s="67" customFormat="1" ht="36.700000000000003" hidden="1" outlineLevel="7" x14ac:dyDescent="0.25">
      <c r="A425" s="423" t="s">
        <v>13</v>
      </c>
      <c r="B425" s="425" t="s">
        <v>456</v>
      </c>
      <c r="C425" s="425" t="s">
        <v>109</v>
      </c>
      <c r="D425" s="425" t="s">
        <v>450</v>
      </c>
      <c r="E425" s="401" t="s">
        <v>14</v>
      </c>
      <c r="F425" s="402">
        <v>2986378.27</v>
      </c>
      <c r="G425" s="402">
        <v>3105833.4</v>
      </c>
    </row>
    <row r="426" spans="1:8" s="67" customFormat="1" ht="36.700000000000003" hidden="1" outlineLevel="7" x14ac:dyDescent="0.25">
      <c r="A426" s="423" t="s">
        <v>15</v>
      </c>
      <c r="B426" s="425" t="s">
        <v>456</v>
      </c>
      <c r="C426" s="425" t="s">
        <v>109</v>
      </c>
      <c r="D426" s="425" t="s">
        <v>450</v>
      </c>
      <c r="E426" s="401" t="s">
        <v>16</v>
      </c>
      <c r="F426" s="402">
        <f>F427</f>
        <v>236080</v>
      </c>
      <c r="G426" s="402">
        <f>G427</f>
        <v>245523.20000000001</v>
      </c>
    </row>
    <row r="427" spans="1:8" s="67" customFormat="1" ht="36.700000000000003" hidden="1" outlineLevel="7" x14ac:dyDescent="0.25">
      <c r="A427" s="423" t="s">
        <v>17</v>
      </c>
      <c r="B427" s="425" t="s">
        <v>456</v>
      </c>
      <c r="C427" s="425" t="s">
        <v>109</v>
      </c>
      <c r="D427" s="425" t="s">
        <v>450</v>
      </c>
      <c r="E427" s="401" t="s">
        <v>18</v>
      </c>
      <c r="F427" s="345">
        <v>236080</v>
      </c>
      <c r="G427" s="345">
        <v>245523.20000000001</v>
      </c>
    </row>
    <row r="428" spans="1:8" hidden="1" outlineLevel="2" x14ac:dyDescent="0.25">
      <c r="A428" s="423" t="s">
        <v>19</v>
      </c>
      <c r="B428" s="425" t="s">
        <v>456</v>
      </c>
      <c r="C428" s="425" t="s">
        <v>109</v>
      </c>
      <c r="D428" s="425" t="s">
        <v>450</v>
      </c>
      <c r="E428" s="401" t="s">
        <v>20</v>
      </c>
      <c r="F428" s="402">
        <f>F429</f>
        <v>5000</v>
      </c>
      <c r="G428" s="402">
        <f>G429</f>
        <v>5000</v>
      </c>
    </row>
    <row r="429" spans="1:8" s="76" customFormat="1" hidden="1" outlineLevel="3" x14ac:dyDescent="0.25">
      <c r="A429" s="423" t="s">
        <v>21</v>
      </c>
      <c r="B429" s="425" t="s">
        <v>456</v>
      </c>
      <c r="C429" s="425" t="s">
        <v>109</v>
      </c>
      <c r="D429" s="425" t="s">
        <v>450</v>
      </c>
      <c r="E429" s="401" t="s">
        <v>22</v>
      </c>
      <c r="F429" s="345">
        <v>5000</v>
      </c>
      <c r="G429" s="345">
        <v>5000</v>
      </c>
      <c r="H429" s="75"/>
    </row>
    <row r="430" spans="1:8" hidden="1" outlineLevel="4" x14ac:dyDescent="0.25">
      <c r="A430" s="423" t="s">
        <v>485</v>
      </c>
      <c r="B430" s="425" t="s">
        <v>456</v>
      </c>
      <c r="C430" s="425" t="s">
        <v>109</v>
      </c>
      <c r="D430" s="425" t="s">
        <v>484</v>
      </c>
      <c r="E430" s="401" t="s">
        <v>6</v>
      </c>
      <c r="F430" s="402">
        <f>F431</f>
        <v>180000</v>
      </c>
      <c r="G430" s="402">
        <f>G431</f>
        <v>180000</v>
      </c>
    </row>
    <row r="431" spans="1:8" ht="91.7" hidden="1" outlineLevel="5" x14ac:dyDescent="0.25">
      <c r="A431" s="423" t="s">
        <v>11</v>
      </c>
      <c r="B431" s="425" t="s">
        <v>456</v>
      </c>
      <c r="C431" s="425" t="s">
        <v>109</v>
      </c>
      <c r="D431" s="425" t="s">
        <v>484</v>
      </c>
      <c r="E431" s="401" t="s">
        <v>12</v>
      </c>
      <c r="F431" s="402">
        <f>F432</f>
        <v>180000</v>
      </c>
      <c r="G431" s="402">
        <f>G432</f>
        <v>180000</v>
      </c>
    </row>
    <row r="432" spans="1:8" ht="32.950000000000003" hidden="1" customHeight="1" outlineLevel="6" x14ac:dyDescent="0.25">
      <c r="A432" s="423" t="s">
        <v>13</v>
      </c>
      <c r="B432" s="425" t="s">
        <v>456</v>
      </c>
      <c r="C432" s="425" t="s">
        <v>109</v>
      </c>
      <c r="D432" s="425" t="s">
        <v>484</v>
      </c>
      <c r="E432" s="401" t="s">
        <v>14</v>
      </c>
      <c r="F432" s="345">
        <v>180000</v>
      </c>
      <c r="G432" s="345">
        <v>180000</v>
      </c>
    </row>
    <row r="433" spans="1:12" s="2" customFormat="1" hidden="1" x14ac:dyDescent="0.25">
      <c r="A433" s="423" t="s">
        <v>23</v>
      </c>
      <c r="B433" s="425" t="s">
        <v>456</v>
      </c>
      <c r="C433" s="425" t="s">
        <v>24</v>
      </c>
      <c r="D433" s="425" t="s">
        <v>126</v>
      </c>
      <c r="E433" s="401" t="s">
        <v>6</v>
      </c>
      <c r="F433" s="402">
        <f>F434+F439</f>
        <v>159120</v>
      </c>
      <c r="G433" s="402">
        <f>G434+G439</f>
        <v>165484.80000000002</v>
      </c>
      <c r="H433" s="388"/>
    </row>
    <row r="434" spans="1:12" s="76" customFormat="1" ht="55.05" hidden="1" outlineLevel="1" x14ac:dyDescent="0.25">
      <c r="A434" s="45" t="s">
        <v>1149</v>
      </c>
      <c r="B434" s="387" t="s">
        <v>456</v>
      </c>
      <c r="C434" s="387" t="s">
        <v>24</v>
      </c>
      <c r="D434" s="387" t="s">
        <v>128</v>
      </c>
      <c r="E434" s="403" t="s">
        <v>6</v>
      </c>
      <c r="F434" s="347">
        <f t="shared" ref="F434:G437" si="30">F435</f>
        <v>21840</v>
      </c>
      <c r="G434" s="347">
        <f t="shared" si="30"/>
        <v>22713.599999999999</v>
      </c>
      <c r="H434" s="75"/>
    </row>
    <row r="435" spans="1:12" ht="55.05" hidden="1" outlineLevel="2" x14ac:dyDescent="0.25">
      <c r="A435" s="423" t="s">
        <v>729</v>
      </c>
      <c r="B435" s="425" t="s">
        <v>456</v>
      </c>
      <c r="C435" s="425" t="s">
        <v>24</v>
      </c>
      <c r="D435" s="425" t="s">
        <v>303</v>
      </c>
      <c r="E435" s="401" t="s">
        <v>6</v>
      </c>
      <c r="F435" s="402">
        <f t="shared" si="30"/>
        <v>21840</v>
      </c>
      <c r="G435" s="402">
        <f t="shared" si="30"/>
        <v>22713.599999999999</v>
      </c>
    </row>
    <row r="436" spans="1:12" s="76" customFormat="1" hidden="1" outlineLevel="3" x14ac:dyDescent="0.25">
      <c r="A436" s="423" t="s">
        <v>309</v>
      </c>
      <c r="B436" s="425" t="s">
        <v>456</v>
      </c>
      <c r="C436" s="425" t="s">
        <v>24</v>
      </c>
      <c r="D436" s="425" t="s">
        <v>304</v>
      </c>
      <c r="E436" s="401" t="s">
        <v>6</v>
      </c>
      <c r="F436" s="402">
        <f t="shared" si="30"/>
        <v>21840</v>
      </c>
      <c r="G436" s="402">
        <f t="shared" si="30"/>
        <v>22713.599999999999</v>
      </c>
      <c r="H436" s="75"/>
    </row>
    <row r="437" spans="1:12" ht="36.700000000000003" hidden="1" outlineLevel="4" x14ac:dyDescent="0.25">
      <c r="A437" s="423" t="s">
        <v>15</v>
      </c>
      <c r="B437" s="425" t="s">
        <v>456</v>
      </c>
      <c r="C437" s="425" t="s">
        <v>24</v>
      </c>
      <c r="D437" s="425" t="s">
        <v>304</v>
      </c>
      <c r="E437" s="401" t="s">
        <v>16</v>
      </c>
      <c r="F437" s="402">
        <f t="shared" si="30"/>
        <v>21840</v>
      </c>
      <c r="G437" s="402">
        <f t="shared" si="30"/>
        <v>22713.599999999999</v>
      </c>
    </row>
    <row r="438" spans="1:12" s="67" customFormat="1" ht="36.700000000000003" hidden="1" outlineLevel="4" x14ac:dyDescent="0.25">
      <c r="A438" s="423" t="s">
        <v>17</v>
      </c>
      <c r="B438" s="425" t="s">
        <v>456</v>
      </c>
      <c r="C438" s="425" t="s">
        <v>24</v>
      </c>
      <c r="D438" s="425" t="s">
        <v>304</v>
      </c>
      <c r="E438" s="401" t="s">
        <v>18</v>
      </c>
      <c r="F438" s="402">
        <v>21840</v>
      </c>
      <c r="G438" s="402">
        <v>22713.599999999999</v>
      </c>
      <c r="I438" s="1"/>
      <c r="J438" s="1"/>
      <c r="K438" s="1"/>
      <c r="L438" s="1"/>
    </row>
    <row r="439" spans="1:12" s="67" customFormat="1" ht="36.700000000000003" hidden="1" outlineLevel="5" x14ac:dyDescent="0.25">
      <c r="A439" s="45" t="s">
        <v>132</v>
      </c>
      <c r="B439" s="387" t="s">
        <v>456</v>
      </c>
      <c r="C439" s="387" t="s">
        <v>24</v>
      </c>
      <c r="D439" s="387" t="s">
        <v>127</v>
      </c>
      <c r="E439" s="403" t="s">
        <v>6</v>
      </c>
      <c r="F439" s="346">
        <f t="shared" ref="F439:G441" si="31">F440</f>
        <v>137280</v>
      </c>
      <c r="G439" s="346">
        <f t="shared" si="31"/>
        <v>142771.20000000001</v>
      </c>
    </row>
    <row r="440" spans="1:12" s="67" customFormat="1" ht="36.700000000000003" hidden="1" outlineLevel="6" x14ac:dyDescent="0.25">
      <c r="A440" s="423" t="s">
        <v>486</v>
      </c>
      <c r="B440" s="425" t="s">
        <v>456</v>
      </c>
      <c r="C440" s="425" t="s">
        <v>24</v>
      </c>
      <c r="D440" s="49">
        <v>9909970201</v>
      </c>
      <c r="E440" s="401" t="s">
        <v>6</v>
      </c>
      <c r="F440" s="345">
        <f t="shared" si="31"/>
        <v>137280</v>
      </c>
      <c r="G440" s="345">
        <f t="shared" si="31"/>
        <v>142771.20000000001</v>
      </c>
    </row>
    <row r="441" spans="1:12" s="67" customFormat="1" ht="36.700000000000003" hidden="1" outlineLevel="7" x14ac:dyDescent="0.25">
      <c r="A441" s="423" t="s">
        <v>15</v>
      </c>
      <c r="B441" s="425" t="s">
        <v>456</v>
      </c>
      <c r="C441" s="425" t="s">
        <v>24</v>
      </c>
      <c r="D441" s="49">
        <v>9909970201</v>
      </c>
      <c r="E441" s="401" t="s">
        <v>16</v>
      </c>
      <c r="F441" s="345">
        <f t="shared" si="31"/>
        <v>137280</v>
      </c>
      <c r="G441" s="345">
        <f t="shared" si="31"/>
        <v>142771.20000000001</v>
      </c>
    </row>
    <row r="442" spans="1:12" s="67" customFormat="1" ht="41.3" hidden="1" customHeight="1" outlineLevel="7" x14ac:dyDescent="0.25">
      <c r="A442" s="423" t="s">
        <v>17</v>
      </c>
      <c r="B442" s="425" t="s">
        <v>456</v>
      </c>
      <c r="C442" s="425" t="s">
        <v>24</v>
      </c>
      <c r="D442" s="49">
        <v>9909970201</v>
      </c>
      <c r="E442" s="401" t="s">
        <v>18</v>
      </c>
      <c r="F442" s="402">
        <v>137280</v>
      </c>
      <c r="G442" s="402">
        <v>142771.20000000001</v>
      </c>
    </row>
    <row r="443" spans="1:12" s="67" customFormat="1" ht="55.05" hidden="1" outlineLevel="7" x14ac:dyDescent="0.25">
      <c r="A443" s="57" t="s">
        <v>498</v>
      </c>
      <c r="B443" s="385" t="s">
        <v>490</v>
      </c>
      <c r="C443" s="385" t="s">
        <v>5</v>
      </c>
      <c r="D443" s="385" t="s">
        <v>126</v>
      </c>
      <c r="E443" s="399" t="s">
        <v>6</v>
      </c>
      <c r="F443" s="400">
        <f>F444+F588+F604</f>
        <v>814318451.31999993</v>
      </c>
      <c r="G443" s="400">
        <f>G444+G588+G604</f>
        <v>843566417.42999995</v>
      </c>
    </row>
    <row r="444" spans="1:12" s="67" customFormat="1" hidden="1" outlineLevel="7" x14ac:dyDescent="0.25">
      <c r="A444" s="45" t="s">
        <v>69</v>
      </c>
      <c r="B444" s="387" t="s">
        <v>490</v>
      </c>
      <c r="C444" s="387" t="s">
        <v>70</v>
      </c>
      <c r="D444" s="387" t="s">
        <v>126</v>
      </c>
      <c r="E444" s="403" t="s">
        <v>6</v>
      </c>
      <c r="F444" s="347">
        <f>F445+F477+F548+F559+F524</f>
        <v>808927014.31999993</v>
      </c>
      <c r="G444" s="347">
        <f>G445+G477+G548+G559+G524</f>
        <v>839321525.42999995</v>
      </c>
    </row>
    <row r="445" spans="1:12" s="67" customFormat="1" hidden="1" outlineLevel="7" x14ac:dyDescent="0.25">
      <c r="A445" s="423" t="s">
        <v>110</v>
      </c>
      <c r="B445" s="425" t="s">
        <v>490</v>
      </c>
      <c r="C445" s="425" t="s">
        <v>111</v>
      </c>
      <c r="D445" s="425" t="s">
        <v>126</v>
      </c>
      <c r="E445" s="401" t="s">
        <v>6</v>
      </c>
      <c r="F445" s="402">
        <f>F446</f>
        <v>165033895</v>
      </c>
      <c r="G445" s="402">
        <f>G446</f>
        <v>170994541</v>
      </c>
    </row>
    <row r="446" spans="1:12" s="67" customFormat="1" ht="55.05" hidden="1" outlineLevel="7" x14ac:dyDescent="0.25">
      <c r="A446" s="45" t="s">
        <v>1169</v>
      </c>
      <c r="B446" s="387" t="s">
        <v>490</v>
      </c>
      <c r="C446" s="387" t="s">
        <v>111</v>
      </c>
      <c r="D446" s="387" t="s">
        <v>138</v>
      </c>
      <c r="E446" s="403" t="s">
        <v>6</v>
      </c>
      <c r="F446" s="347">
        <f>F447</f>
        <v>165033895</v>
      </c>
      <c r="G446" s="347">
        <f>G447</f>
        <v>170994541</v>
      </c>
    </row>
    <row r="447" spans="1:12" s="67" customFormat="1" ht="55.05" hidden="1" outlineLevel="7" x14ac:dyDescent="0.25">
      <c r="A447" s="423" t="s">
        <v>1038</v>
      </c>
      <c r="B447" s="425" t="s">
        <v>490</v>
      </c>
      <c r="C447" s="425" t="s">
        <v>111</v>
      </c>
      <c r="D447" s="425" t="s">
        <v>139</v>
      </c>
      <c r="E447" s="401" t="s">
        <v>6</v>
      </c>
      <c r="F447" s="402">
        <f>F448+F455</f>
        <v>165033895</v>
      </c>
      <c r="G447" s="402">
        <f>G448+G455</f>
        <v>170994541</v>
      </c>
    </row>
    <row r="448" spans="1:12" s="67" customFormat="1" ht="55.05" hidden="1" outlineLevel="7" x14ac:dyDescent="0.25">
      <c r="A448" s="423" t="s">
        <v>200</v>
      </c>
      <c r="B448" s="425" t="s">
        <v>490</v>
      </c>
      <c r="C448" s="425" t="s">
        <v>111</v>
      </c>
      <c r="D448" s="425" t="s">
        <v>216</v>
      </c>
      <c r="E448" s="401" t="s">
        <v>6</v>
      </c>
      <c r="F448" s="402">
        <f>F449+F452</f>
        <v>164875895</v>
      </c>
      <c r="G448" s="402">
        <f>G449+G452</f>
        <v>170836541</v>
      </c>
    </row>
    <row r="449" spans="1:7" s="67" customFormat="1" ht="55.05" hidden="1" outlineLevel="7" x14ac:dyDescent="0.25">
      <c r="A449" s="423" t="s">
        <v>113</v>
      </c>
      <c r="B449" s="425" t="s">
        <v>490</v>
      </c>
      <c r="C449" s="425" t="s">
        <v>111</v>
      </c>
      <c r="D449" s="425" t="s">
        <v>144</v>
      </c>
      <c r="E449" s="401" t="s">
        <v>6</v>
      </c>
      <c r="F449" s="402">
        <f>F450</f>
        <v>53565488</v>
      </c>
      <c r="G449" s="402">
        <f>G450</f>
        <v>53029688</v>
      </c>
    </row>
    <row r="450" spans="1:7" s="67" customFormat="1" ht="36.700000000000003" hidden="1" outlineLevel="7" x14ac:dyDescent="0.25">
      <c r="A450" s="423" t="s">
        <v>37</v>
      </c>
      <c r="B450" s="425" t="s">
        <v>490</v>
      </c>
      <c r="C450" s="425" t="s">
        <v>111</v>
      </c>
      <c r="D450" s="425" t="s">
        <v>144</v>
      </c>
      <c r="E450" s="401" t="s">
        <v>38</v>
      </c>
      <c r="F450" s="402">
        <f>F451</f>
        <v>53565488</v>
      </c>
      <c r="G450" s="402">
        <f>G451</f>
        <v>53029688</v>
      </c>
    </row>
    <row r="451" spans="1:7" s="67" customFormat="1" hidden="1" outlineLevel="7" x14ac:dyDescent="0.25">
      <c r="A451" s="423" t="s">
        <v>74</v>
      </c>
      <c r="B451" s="425" t="s">
        <v>490</v>
      </c>
      <c r="C451" s="425" t="s">
        <v>111</v>
      </c>
      <c r="D451" s="425" t="s">
        <v>144</v>
      </c>
      <c r="E451" s="401" t="s">
        <v>75</v>
      </c>
      <c r="F451" s="345">
        <f>59616438-6000000-50950</f>
        <v>53565488</v>
      </c>
      <c r="G451" s="345">
        <f>59616438-6500000-86750</f>
        <v>53029688</v>
      </c>
    </row>
    <row r="452" spans="1:7" s="67" customFormat="1" ht="91.7" hidden="1" outlineLevel="7" x14ac:dyDescent="0.3">
      <c r="A452" s="390" t="s">
        <v>935</v>
      </c>
      <c r="B452" s="425" t="s">
        <v>490</v>
      </c>
      <c r="C452" s="425" t="s">
        <v>111</v>
      </c>
      <c r="D452" s="425" t="s">
        <v>145</v>
      </c>
      <c r="E452" s="401" t="s">
        <v>6</v>
      </c>
      <c r="F452" s="402">
        <f>F453</f>
        <v>111310407</v>
      </c>
      <c r="G452" s="402">
        <f>G453</f>
        <v>117806853</v>
      </c>
    </row>
    <row r="453" spans="1:7" s="67" customFormat="1" ht="36.700000000000003" hidden="1" outlineLevel="7" x14ac:dyDescent="0.25">
      <c r="A453" s="423" t="s">
        <v>37</v>
      </c>
      <c r="B453" s="425" t="s">
        <v>490</v>
      </c>
      <c r="C453" s="425" t="s">
        <v>111</v>
      </c>
      <c r="D453" s="425" t="s">
        <v>145</v>
      </c>
      <c r="E453" s="401" t="s">
        <v>38</v>
      </c>
      <c r="F453" s="402">
        <f>F454</f>
        <v>111310407</v>
      </c>
      <c r="G453" s="402">
        <f>G454</f>
        <v>117806853</v>
      </c>
    </row>
    <row r="454" spans="1:7" s="67" customFormat="1" ht="24.8" hidden="1" customHeight="1" outlineLevel="7" x14ac:dyDescent="0.25">
      <c r="A454" s="423" t="s">
        <v>74</v>
      </c>
      <c r="B454" s="425" t="s">
        <v>490</v>
      </c>
      <c r="C454" s="425" t="s">
        <v>111</v>
      </c>
      <c r="D454" s="425" t="s">
        <v>145</v>
      </c>
      <c r="E454" s="401" t="s">
        <v>75</v>
      </c>
      <c r="F454" s="345">
        <v>111310407</v>
      </c>
      <c r="G454" s="345">
        <v>117806853</v>
      </c>
    </row>
    <row r="455" spans="1:7" s="67" customFormat="1" ht="36.700000000000003" hidden="1" outlineLevel="7" x14ac:dyDescent="0.25">
      <c r="A455" s="423" t="s">
        <v>201</v>
      </c>
      <c r="B455" s="425" t="s">
        <v>490</v>
      </c>
      <c r="C455" s="425" t="s">
        <v>111</v>
      </c>
      <c r="D455" s="425" t="s">
        <v>218</v>
      </c>
      <c r="E455" s="401" t="s">
        <v>6</v>
      </c>
      <c r="F455" s="345">
        <f>F474+F456+F459+F462+F465</f>
        <v>158000</v>
      </c>
      <c r="G455" s="345">
        <f>G474+G456+G459+G462+G465</f>
        <v>158000</v>
      </c>
    </row>
    <row r="456" spans="1:7" s="67" customFormat="1" ht="39.75" hidden="1" customHeight="1" outlineLevel="7" x14ac:dyDescent="0.25">
      <c r="A456" s="423" t="s">
        <v>274</v>
      </c>
      <c r="B456" s="425" t="s">
        <v>490</v>
      </c>
      <c r="C456" s="425" t="s">
        <v>111</v>
      </c>
      <c r="D456" s="425" t="s">
        <v>275</v>
      </c>
      <c r="E456" s="401" t="s">
        <v>6</v>
      </c>
      <c r="F456" s="345">
        <f>F457</f>
        <v>0</v>
      </c>
      <c r="G456" s="345">
        <f>G457</f>
        <v>0</v>
      </c>
    </row>
    <row r="457" spans="1:7" s="67" customFormat="1" ht="39.75" hidden="1" customHeight="1" outlineLevel="7" x14ac:dyDescent="0.25">
      <c r="A457" s="423" t="s">
        <v>37</v>
      </c>
      <c r="B457" s="425" t="s">
        <v>490</v>
      </c>
      <c r="C457" s="425" t="s">
        <v>111</v>
      </c>
      <c r="D457" s="425" t="s">
        <v>275</v>
      </c>
      <c r="E457" s="401" t="s">
        <v>38</v>
      </c>
      <c r="F457" s="345">
        <f>F458</f>
        <v>0</v>
      </c>
      <c r="G457" s="345">
        <f>G458</f>
        <v>0</v>
      </c>
    </row>
    <row r="458" spans="1:7" s="67" customFormat="1" hidden="1" outlineLevel="7" x14ac:dyDescent="0.25">
      <c r="A458" s="423" t="s">
        <v>74</v>
      </c>
      <c r="B458" s="425" t="s">
        <v>490</v>
      </c>
      <c r="C458" s="425" t="s">
        <v>111</v>
      </c>
      <c r="D458" s="425" t="s">
        <v>275</v>
      </c>
      <c r="E458" s="401" t="s">
        <v>75</v>
      </c>
      <c r="F458" s="345">
        <v>0</v>
      </c>
      <c r="G458" s="345">
        <v>0</v>
      </c>
    </row>
    <row r="459" spans="1:7" s="67" customFormat="1" ht="36.700000000000003" hidden="1" outlineLevel="7" x14ac:dyDescent="0.25">
      <c r="A459" s="423" t="s">
        <v>262</v>
      </c>
      <c r="B459" s="425" t="s">
        <v>490</v>
      </c>
      <c r="C459" s="425" t="s">
        <v>111</v>
      </c>
      <c r="D459" s="425" t="s">
        <v>276</v>
      </c>
      <c r="E459" s="401" t="s">
        <v>6</v>
      </c>
      <c r="F459" s="345">
        <f>F460</f>
        <v>158000</v>
      </c>
      <c r="G459" s="345">
        <f>G460</f>
        <v>158000</v>
      </c>
    </row>
    <row r="460" spans="1:7" s="67" customFormat="1" ht="36.700000000000003" hidden="1" outlineLevel="7" x14ac:dyDescent="0.25">
      <c r="A460" s="423" t="s">
        <v>37</v>
      </c>
      <c r="B460" s="425" t="s">
        <v>490</v>
      </c>
      <c r="C460" s="425" t="s">
        <v>111</v>
      </c>
      <c r="D460" s="425" t="s">
        <v>276</v>
      </c>
      <c r="E460" s="401" t="s">
        <v>38</v>
      </c>
      <c r="F460" s="345">
        <f>F461</f>
        <v>158000</v>
      </c>
      <c r="G460" s="345">
        <f>G461</f>
        <v>158000</v>
      </c>
    </row>
    <row r="461" spans="1:7" s="67" customFormat="1" hidden="1" outlineLevel="7" x14ac:dyDescent="0.25">
      <c r="A461" s="423" t="s">
        <v>74</v>
      </c>
      <c r="B461" s="425" t="s">
        <v>490</v>
      </c>
      <c r="C461" s="425" t="s">
        <v>111</v>
      </c>
      <c r="D461" s="425" t="s">
        <v>276</v>
      </c>
      <c r="E461" s="401" t="s">
        <v>75</v>
      </c>
      <c r="F461" s="345">
        <v>158000</v>
      </c>
      <c r="G461" s="345">
        <v>158000</v>
      </c>
    </row>
    <row r="462" spans="1:7" s="67" customFormat="1" ht="33.450000000000003" hidden="1" customHeight="1" outlineLevel="7" x14ac:dyDescent="0.25">
      <c r="A462" s="423" t="s">
        <v>300</v>
      </c>
      <c r="B462" s="425" t="s">
        <v>490</v>
      </c>
      <c r="C462" s="425" t="s">
        <v>111</v>
      </c>
      <c r="D462" s="425" t="s">
        <v>488</v>
      </c>
      <c r="E462" s="425" t="s">
        <v>6</v>
      </c>
      <c r="F462" s="345">
        <f>F463</f>
        <v>0</v>
      </c>
      <c r="G462" s="345">
        <f>G463</f>
        <v>0</v>
      </c>
    </row>
    <row r="463" spans="1:7" s="67" customFormat="1" ht="36.700000000000003" hidden="1" outlineLevel="7" x14ac:dyDescent="0.25">
      <c r="A463" s="423" t="s">
        <v>37</v>
      </c>
      <c r="B463" s="425" t="s">
        <v>490</v>
      </c>
      <c r="C463" s="425" t="s">
        <v>111</v>
      </c>
      <c r="D463" s="425" t="s">
        <v>488</v>
      </c>
      <c r="E463" s="425" t="s">
        <v>38</v>
      </c>
      <c r="F463" s="345">
        <f>F464</f>
        <v>0</v>
      </c>
      <c r="G463" s="345">
        <f>G464</f>
        <v>0</v>
      </c>
    </row>
    <row r="464" spans="1:7" hidden="1" outlineLevel="7" x14ac:dyDescent="0.25">
      <c r="A464" s="423" t="s">
        <v>74</v>
      </c>
      <c r="B464" s="425" t="s">
        <v>490</v>
      </c>
      <c r="C464" s="425" t="s">
        <v>111</v>
      </c>
      <c r="D464" s="425" t="s">
        <v>488</v>
      </c>
      <c r="E464" s="425" t="s">
        <v>75</v>
      </c>
      <c r="F464" s="345">
        <f>1500000-1500000</f>
        <v>0</v>
      </c>
      <c r="G464" s="345">
        <f>4500000-4500000</f>
        <v>0</v>
      </c>
    </row>
    <row r="465" spans="1:12" ht="55.05" hidden="1" outlineLevel="7" x14ac:dyDescent="0.25">
      <c r="A465" s="423" t="s">
        <v>415</v>
      </c>
      <c r="B465" s="425" t="s">
        <v>490</v>
      </c>
      <c r="C465" s="425" t="s">
        <v>111</v>
      </c>
      <c r="D465" s="425" t="s">
        <v>416</v>
      </c>
      <c r="E465" s="425" t="s">
        <v>6</v>
      </c>
      <c r="F465" s="345">
        <f>F466</f>
        <v>0</v>
      </c>
      <c r="G465" s="345">
        <f>G466</f>
        <v>0</v>
      </c>
    </row>
    <row r="466" spans="1:12" ht="36.700000000000003" hidden="1" outlineLevel="7" x14ac:dyDescent="0.25">
      <c r="A466" s="423" t="s">
        <v>37</v>
      </c>
      <c r="B466" s="425" t="s">
        <v>490</v>
      </c>
      <c r="C466" s="425" t="s">
        <v>111</v>
      </c>
      <c r="D466" s="425" t="s">
        <v>416</v>
      </c>
      <c r="E466" s="425" t="s">
        <v>38</v>
      </c>
      <c r="F466" s="345">
        <f>F467</f>
        <v>0</v>
      </c>
      <c r="G466" s="345">
        <f>G467</f>
        <v>0</v>
      </c>
    </row>
    <row r="467" spans="1:12" ht="18.7" hidden="1" customHeight="1" outlineLevel="2" x14ac:dyDescent="0.25">
      <c r="A467" s="423" t="s">
        <v>74</v>
      </c>
      <c r="B467" s="425" t="s">
        <v>490</v>
      </c>
      <c r="C467" s="425" t="s">
        <v>111</v>
      </c>
      <c r="D467" s="425" t="s">
        <v>416</v>
      </c>
      <c r="E467" s="425" t="s">
        <v>75</v>
      </c>
      <c r="F467" s="345">
        <v>0</v>
      </c>
      <c r="G467" s="345">
        <v>0</v>
      </c>
    </row>
    <row r="468" spans="1:12" s="76" customFormat="1" ht="21.25" hidden="1" customHeight="1" outlineLevel="3" x14ac:dyDescent="0.25">
      <c r="A468" s="423" t="s">
        <v>656</v>
      </c>
      <c r="B468" s="425" t="s">
        <v>490</v>
      </c>
      <c r="C468" s="425" t="s">
        <v>111</v>
      </c>
      <c r="D468" s="425" t="s">
        <v>657</v>
      </c>
      <c r="E468" s="425" t="s">
        <v>6</v>
      </c>
      <c r="F468" s="345">
        <f>F469</f>
        <v>0</v>
      </c>
      <c r="G468" s="345">
        <f>G469</f>
        <v>0</v>
      </c>
      <c r="H468" s="75"/>
    </row>
    <row r="469" spans="1:12" ht="28.55" hidden="1" customHeight="1" outlineLevel="4" x14ac:dyDescent="0.25">
      <c r="A469" s="423" t="s">
        <v>37</v>
      </c>
      <c r="B469" s="425" t="s">
        <v>490</v>
      </c>
      <c r="C469" s="425" t="s">
        <v>111</v>
      </c>
      <c r="D469" s="425" t="s">
        <v>657</v>
      </c>
      <c r="E469" s="425" t="s">
        <v>38</v>
      </c>
      <c r="F469" s="345">
        <f>F470</f>
        <v>0</v>
      </c>
      <c r="G469" s="345">
        <f>G470</f>
        <v>0</v>
      </c>
    </row>
    <row r="470" spans="1:12" s="67" customFormat="1" ht="20.25" hidden="1" customHeight="1" outlineLevel="4" x14ac:dyDescent="0.25">
      <c r="A470" s="423" t="s">
        <v>74</v>
      </c>
      <c r="B470" s="425" t="s">
        <v>490</v>
      </c>
      <c r="C470" s="425" t="s">
        <v>111</v>
      </c>
      <c r="D470" s="425" t="s">
        <v>657</v>
      </c>
      <c r="E470" s="425" t="s">
        <v>75</v>
      </c>
      <c r="F470" s="345">
        <v>0</v>
      </c>
      <c r="G470" s="345">
        <v>0</v>
      </c>
      <c r="I470" s="1"/>
      <c r="J470" s="1"/>
      <c r="K470" s="1"/>
      <c r="L470" s="1"/>
    </row>
    <row r="471" spans="1:12" s="67" customFormat="1" ht="79.5" hidden="1" customHeight="1" outlineLevel="4" x14ac:dyDescent="0.25">
      <c r="A471" s="31" t="s">
        <v>1011</v>
      </c>
      <c r="B471" s="425" t="s">
        <v>490</v>
      </c>
      <c r="C471" s="425" t="s">
        <v>111</v>
      </c>
      <c r="D471" s="425" t="s">
        <v>534</v>
      </c>
      <c r="E471" s="425" t="s">
        <v>6</v>
      </c>
      <c r="F471" s="345">
        <f>F472</f>
        <v>0</v>
      </c>
      <c r="G471" s="345">
        <f>G472</f>
        <v>0</v>
      </c>
      <c r="I471" s="1"/>
      <c r="J471" s="1"/>
      <c r="K471" s="1"/>
      <c r="L471" s="1"/>
    </row>
    <row r="472" spans="1:12" s="67" customFormat="1" ht="36.700000000000003" hidden="1" outlineLevel="4" x14ac:dyDescent="0.25">
      <c r="A472" s="423" t="s">
        <v>37</v>
      </c>
      <c r="B472" s="425" t="s">
        <v>490</v>
      </c>
      <c r="C472" s="425" t="s">
        <v>111</v>
      </c>
      <c r="D472" s="425" t="s">
        <v>534</v>
      </c>
      <c r="E472" s="425" t="s">
        <v>38</v>
      </c>
      <c r="F472" s="345">
        <f>F473</f>
        <v>0</v>
      </c>
      <c r="G472" s="345">
        <f>G473</f>
        <v>0</v>
      </c>
      <c r="I472" s="1"/>
      <c r="J472" s="1"/>
      <c r="K472" s="1"/>
      <c r="L472" s="1"/>
    </row>
    <row r="473" spans="1:12" s="67" customFormat="1" hidden="1" outlineLevel="4" x14ac:dyDescent="0.25">
      <c r="A473" s="423" t="s">
        <v>74</v>
      </c>
      <c r="B473" s="425" t="s">
        <v>490</v>
      </c>
      <c r="C473" s="425" t="s">
        <v>111</v>
      </c>
      <c r="D473" s="425" t="s">
        <v>534</v>
      </c>
      <c r="E473" s="425" t="s">
        <v>75</v>
      </c>
      <c r="F473" s="345">
        <v>0</v>
      </c>
      <c r="G473" s="345">
        <v>0</v>
      </c>
      <c r="I473" s="1"/>
      <c r="J473" s="1"/>
      <c r="K473" s="1"/>
      <c r="L473" s="1"/>
    </row>
    <row r="474" spans="1:12" s="67" customFormat="1" ht="92.4" hidden="1" customHeight="1" outlineLevel="5" thickBot="1" x14ac:dyDescent="0.3">
      <c r="A474" s="394" t="s">
        <v>1010</v>
      </c>
      <c r="B474" s="425" t="s">
        <v>490</v>
      </c>
      <c r="C474" s="425" t="s">
        <v>111</v>
      </c>
      <c r="D474" s="425" t="s">
        <v>406</v>
      </c>
      <c r="E474" s="401" t="s">
        <v>6</v>
      </c>
      <c r="F474" s="345">
        <f>F475</f>
        <v>0</v>
      </c>
      <c r="G474" s="345">
        <f>G475</f>
        <v>0</v>
      </c>
      <c r="I474" s="1"/>
      <c r="J474" s="1"/>
      <c r="K474" s="1"/>
      <c r="L474" s="1"/>
    </row>
    <row r="475" spans="1:12" s="67" customFormat="1" ht="36.700000000000003" hidden="1" customHeight="1" outlineLevel="6" x14ac:dyDescent="0.25">
      <c r="A475" s="423" t="s">
        <v>37</v>
      </c>
      <c r="B475" s="425" t="s">
        <v>490</v>
      </c>
      <c r="C475" s="425" t="s">
        <v>111</v>
      </c>
      <c r="D475" s="425" t="s">
        <v>406</v>
      </c>
      <c r="E475" s="401" t="s">
        <v>38</v>
      </c>
      <c r="F475" s="345">
        <f>F476</f>
        <v>0</v>
      </c>
      <c r="G475" s="345">
        <f>G476</f>
        <v>0</v>
      </c>
      <c r="I475" s="1"/>
      <c r="J475" s="1"/>
      <c r="K475" s="1"/>
      <c r="L475" s="1"/>
    </row>
    <row r="476" spans="1:12" s="67" customFormat="1" ht="27.2" hidden="1" customHeight="1" outlineLevel="7" x14ac:dyDescent="0.25">
      <c r="A476" s="423" t="s">
        <v>74</v>
      </c>
      <c r="B476" s="425" t="s">
        <v>490</v>
      </c>
      <c r="C476" s="425" t="s">
        <v>111</v>
      </c>
      <c r="D476" s="425" t="s">
        <v>406</v>
      </c>
      <c r="E476" s="401" t="s">
        <v>75</v>
      </c>
      <c r="F476" s="345">
        <v>0</v>
      </c>
      <c r="G476" s="345">
        <v>0</v>
      </c>
      <c r="I476" s="1"/>
      <c r="J476" s="1"/>
      <c r="K476" s="1"/>
      <c r="L476" s="1"/>
    </row>
    <row r="477" spans="1:12" s="67" customFormat="1" ht="24.45" hidden="1" customHeight="1" outlineLevel="5" collapsed="1" x14ac:dyDescent="0.25">
      <c r="A477" s="423" t="s">
        <v>71</v>
      </c>
      <c r="B477" s="425" t="s">
        <v>490</v>
      </c>
      <c r="C477" s="425" t="s">
        <v>72</v>
      </c>
      <c r="D477" s="425" t="s">
        <v>126</v>
      </c>
      <c r="E477" s="401" t="s">
        <v>6</v>
      </c>
      <c r="F477" s="402">
        <f>F478</f>
        <v>594360359.29999995</v>
      </c>
      <c r="G477" s="402">
        <f>G478</f>
        <v>619734109.79999995</v>
      </c>
    </row>
    <row r="478" spans="1:12" s="67" customFormat="1" ht="55.05" hidden="1" outlineLevel="5" x14ac:dyDescent="0.25">
      <c r="A478" s="45" t="s">
        <v>1169</v>
      </c>
      <c r="B478" s="387" t="s">
        <v>490</v>
      </c>
      <c r="C478" s="387" t="s">
        <v>72</v>
      </c>
      <c r="D478" s="387" t="s">
        <v>138</v>
      </c>
      <c r="E478" s="403" t="s">
        <v>6</v>
      </c>
      <c r="F478" s="347">
        <f>F479</f>
        <v>594360359.29999995</v>
      </c>
      <c r="G478" s="347">
        <f>G479</f>
        <v>619734109.79999995</v>
      </c>
    </row>
    <row r="479" spans="1:12" s="67" customFormat="1" ht="58.75" hidden="1" customHeight="1" outlineLevel="5" x14ac:dyDescent="0.25">
      <c r="A479" s="423" t="s">
        <v>1039</v>
      </c>
      <c r="B479" s="425" t="s">
        <v>490</v>
      </c>
      <c r="C479" s="425" t="s">
        <v>72</v>
      </c>
      <c r="D479" s="425" t="s">
        <v>146</v>
      </c>
      <c r="E479" s="401" t="s">
        <v>6</v>
      </c>
      <c r="F479" s="402">
        <f>F480+F493+F509+F516+F520</f>
        <v>594360359.29999995</v>
      </c>
      <c r="G479" s="402">
        <f>G480+G493+G509+G516+G520</f>
        <v>619734109.79999995</v>
      </c>
    </row>
    <row r="480" spans="1:12" s="67" customFormat="1" ht="55.05" hidden="1" outlineLevel="5" x14ac:dyDescent="0.25">
      <c r="A480" s="423" t="s">
        <v>203</v>
      </c>
      <c r="B480" s="425" t="s">
        <v>490</v>
      </c>
      <c r="C480" s="425" t="s">
        <v>72</v>
      </c>
      <c r="D480" s="425" t="s">
        <v>219</v>
      </c>
      <c r="E480" s="401" t="s">
        <v>6</v>
      </c>
      <c r="F480" s="402">
        <f>F481+F484+F487+F490</f>
        <v>581410332</v>
      </c>
      <c r="G480" s="402">
        <f>G481+G484+G487+G490</f>
        <v>606784082.5</v>
      </c>
    </row>
    <row r="481" spans="1:12" s="67" customFormat="1" ht="55.05" hidden="1" outlineLevel="5" x14ac:dyDescent="0.25">
      <c r="A481" s="44" t="s">
        <v>961</v>
      </c>
      <c r="B481" s="425" t="s">
        <v>490</v>
      </c>
      <c r="C481" s="425" t="s">
        <v>72</v>
      </c>
      <c r="D481" s="425" t="s">
        <v>538</v>
      </c>
      <c r="E481" s="401" t="s">
        <v>6</v>
      </c>
      <c r="F481" s="402">
        <f>F482</f>
        <v>23400000</v>
      </c>
      <c r="G481" s="402">
        <f>G482</f>
        <v>23400000</v>
      </c>
    </row>
    <row r="482" spans="1:12" s="67" customFormat="1" ht="36.700000000000003" hidden="1" outlineLevel="5" x14ac:dyDescent="0.25">
      <c r="A482" s="423" t="s">
        <v>37</v>
      </c>
      <c r="B482" s="425" t="s">
        <v>490</v>
      </c>
      <c r="C482" s="425" t="s">
        <v>72</v>
      </c>
      <c r="D482" s="425" t="s">
        <v>538</v>
      </c>
      <c r="E482" s="401" t="s">
        <v>38</v>
      </c>
      <c r="F482" s="402">
        <f>F483</f>
        <v>23400000</v>
      </c>
      <c r="G482" s="402">
        <f>G483</f>
        <v>23400000</v>
      </c>
    </row>
    <row r="483" spans="1:12" s="67" customFormat="1" hidden="1" outlineLevel="5" x14ac:dyDescent="0.25">
      <c r="A483" s="423" t="s">
        <v>74</v>
      </c>
      <c r="B483" s="425" t="s">
        <v>490</v>
      </c>
      <c r="C483" s="425" t="s">
        <v>72</v>
      </c>
      <c r="D483" s="425" t="s">
        <v>538</v>
      </c>
      <c r="E483" s="401" t="s">
        <v>75</v>
      </c>
      <c r="F483" s="402">
        <v>23400000</v>
      </c>
      <c r="G483" s="402">
        <v>23400000</v>
      </c>
    </row>
    <row r="484" spans="1:12" s="67" customFormat="1" ht="55.05" hidden="1" outlineLevel="5" x14ac:dyDescent="0.25">
      <c r="A484" s="423" t="s">
        <v>114</v>
      </c>
      <c r="B484" s="425" t="s">
        <v>490</v>
      </c>
      <c r="C484" s="425" t="s">
        <v>72</v>
      </c>
      <c r="D484" s="425" t="s">
        <v>147</v>
      </c>
      <c r="E484" s="401" t="s">
        <v>6</v>
      </c>
      <c r="F484" s="402">
        <f>F485</f>
        <v>115452712</v>
      </c>
      <c r="G484" s="402">
        <f>G485</f>
        <v>114952712</v>
      </c>
    </row>
    <row r="485" spans="1:12" s="67" customFormat="1" ht="36.700000000000003" hidden="1" outlineLevel="5" x14ac:dyDescent="0.25">
      <c r="A485" s="423" t="s">
        <v>37</v>
      </c>
      <c r="B485" s="425" t="s">
        <v>490</v>
      </c>
      <c r="C485" s="425" t="s">
        <v>72</v>
      </c>
      <c r="D485" s="425" t="s">
        <v>147</v>
      </c>
      <c r="E485" s="401" t="s">
        <v>38</v>
      </c>
      <c r="F485" s="402">
        <f>F486</f>
        <v>115452712</v>
      </c>
      <c r="G485" s="402">
        <f>G486</f>
        <v>114952712</v>
      </c>
    </row>
    <row r="486" spans="1:12" s="67" customFormat="1" hidden="1" outlineLevel="5" x14ac:dyDescent="0.25">
      <c r="A486" s="423" t="s">
        <v>74</v>
      </c>
      <c r="B486" s="425" t="s">
        <v>490</v>
      </c>
      <c r="C486" s="425" t="s">
        <v>72</v>
      </c>
      <c r="D486" s="425" t="s">
        <v>147</v>
      </c>
      <c r="E486" s="401" t="s">
        <v>75</v>
      </c>
      <c r="F486" s="345">
        <f>130952712-15500000</f>
        <v>115452712</v>
      </c>
      <c r="G486" s="345">
        <f>130952712-16000000</f>
        <v>114952712</v>
      </c>
    </row>
    <row r="487" spans="1:12" s="67" customFormat="1" ht="110.05" hidden="1" outlineLevel="5" x14ac:dyDescent="0.3">
      <c r="A487" s="390" t="s">
        <v>936</v>
      </c>
      <c r="B487" s="425" t="s">
        <v>490</v>
      </c>
      <c r="C487" s="425" t="s">
        <v>72</v>
      </c>
      <c r="D487" s="425" t="s">
        <v>148</v>
      </c>
      <c r="E487" s="401" t="s">
        <v>6</v>
      </c>
      <c r="F487" s="402">
        <f>F488</f>
        <v>427876420</v>
      </c>
      <c r="G487" s="402">
        <f>G488</f>
        <v>453521427</v>
      </c>
    </row>
    <row r="488" spans="1:12" s="67" customFormat="1" ht="36.700000000000003" hidden="1" outlineLevel="5" x14ac:dyDescent="0.25">
      <c r="A488" s="423" t="s">
        <v>37</v>
      </c>
      <c r="B488" s="425" t="s">
        <v>490</v>
      </c>
      <c r="C488" s="425" t="s">
        <v>72</v>
      </c>
      <c r="D488" s="425" t="s">
        <v>148</v>
      </c>
      <c r="E488" s="401" t="s">
        <v>38</v>
      </c>
      <c r="F488" s="402">
        <f>F489</f>
        <v>427876420</v>
      </c>
      <c r="G488" s="402">
        <f>G489</f>
        <v>453521427</v>
      </c>
    </row>
    <row r="489" spans="1:12" s="67" customFormat="1" hidden="1" outlineLevel="5" x14ac:dyDescent="0.25">
      <c r="A489" s="423" t="s">
        <v>74</v>
      </c>
      <c r="B489" s="425" t="s">
        <v>490</v>
      </c>
      <c r="C489" s="425" t="s">
        <v>72</v>
      </c>
      <c r="D489" s="425" t="s">
        <v>148</v>
      </c>
      <c r="E489" s="401" t="s">
        <v>75</v>
      </c>
      <c r="F489" s="345">
        <v>427876420</v>
      </c>
      <c r="G489" s="345">
        <v>453521427</v>
      </c>
    </row>
    <row r="490" spans="1:12" s="67" customFormat="1" ht="110.05" hidden="1" outlineLevel="5" x14ac:dyDescent="0.25">
      <c r="A490" s="44" t="s">
        <v>958</v>
      </c>
      <c r="B490" s="425" t="s">
        <v>490</v>
      </c>
      <c r="C490" s="425" t="s">
        <v>72</v>
      </c>
      <c r="D490" s="425" t="s">
        <v>794</v>
      </c>
      <c r="E490" s="401" t="s">
        <v>6</v>
      </c>
      <c r="F490" s="345">
        <f>F491</f>
        <v>14681200</v>
      </c>
      <c r="G490" s="345">
        <f>G491</f>
        <v>14909943.5</v>
      </c>
    </row>
    <row r="491" spans="1:12" s="67" customFormat="1" ht="36.700000000000003" hidden="1" outlineLevel="5" x14ac:dyDescent="0.25">
      <c r="A491" s="423" t="s">
        <v>37</v>
      </c>
      <c r="B491" s="425" t="s">
        <v>490</v>
      </c>
      <c r="C491" s="425" t="s">
        <v>72</v>
      </c>
      <c r="D491" s="425" t="s">
        <v>794</v>
      </c>
      <c r="E491" s="401" t="s">
        <v>38</v>
      </c>
      <c r="F491" s="345">
        <f>F492</f>
        <v>14681200</v>
      </c>
      <c r="G491" s="345">
        <f>G492</f>
        <v>14909943.5</v>
      </c>
    </row>
    <row r="492" spans="1:12" s="67" customFormat="1" hidden="1" outlineLevel="5" x14ac:dyDescent="0.25">
      <c r="A492" s="423" t="s">
        <v>74</v>
      </c>
      <c r="B492" s="425" t="s">
        <v>490</v>
      </c>
      <c r="C492" s="425" t="s">
        <v>72</v>
      </c>
      <c r="D492" s="425" t="s">
        <v>794</v>
      </c>
      <c r="E492" s="401" t="s">
        <v>75</v>
      </c>
      <c r="F492" s="345">
        <v>14681200</v>
      </c>
      <c r="G492" s="345">
        <v>14909943.5</v>
      </c>
      <c r="I492" s="1"/>
      <c r="J492" s="1"/>
      <c r="K492" s="1"/>
      <c r="L492" s="1"/>
    </row>
    <row r="493" spans="1:12" s="67" customFormat="1" ht="36.700000000000003" hidden="1" outlineLevel="5" x14ac:dyDescent="0.25">
      <c r="A493" s="423" t="s">
        <v>204</v>
      </c>
      <c r="B493" s="425" t="s">
        <v>490</v>
      </c>
      <c r="C493" s="425" t="s">
        <v>72</v>
      </c>
      <c r="D493" s="425" t="s">
        <v>217</v>
      </c>
      <c r="E493" s="401" t="s">
        <v>6</v>
      </c>
      <c r="F493" s="345">
        <f>F506+F494+F497+F503+F500</f>
        <v>221200</v>
      </c>
      <c r="G493" s="345">
        <f>G506+G494+G497+G503+G500</f>
        <v>221200</v>
      </c>
      <c r="I493" s="1"/>
      <c r="J493" s="1"/>
      <c r="K493" s="1"/>
      <c r="L493" s="1"/>
    </row>
    <row r="494" spans="1:12" s="67" customFormat="1" ht="36.700000000000003" hidden="1" outlineLevel="5" x14ac:dyDescent="0.25">
      <c r="A494" s="423" t="s">
        <v>262</v>
      </c>
      <c r="B494" s="425" t="s">
        <v>490</v>
      </c>
      <c r="C494" s="425" t="s">
        <v>72</v>
      </c>
      <c r="D494" s="425" t="s">
        <v>263</v>
      </c>
      <c r="E494" s="401" t="s">
        <v>6</v>
      </c>
      <c r="F494" s="345">
        <f>F495</f>
        <v>221200</v>
      </c>
      <c r="G494" s="345">
        <f>G495</f>
        <v>221200</v>
      </c>
      <c r="I494" s="1"/>
      <c r="J494" s="1"/>
      <c r="K494" s="1"/>
      <c r="L494" s="1"/>
    </row>
    <row r="495" spans="1:12" s="67" customFormat="1" ht="36.700000000000003" hidden="1" outlineLevel="5" x14ac:dyDescent="0.25">
      <c r="A495" s="423" t="s">
        <v>37</v>
      </c>
      <c r="B495" s="425" t="s">
        <v>490</v>
      </c>
      <c r="C495" s="425" t="s">
        <v>72</v>
      </c>
      <c r="D495" s="425" t="s">
        <v>263</v>
      </c>
      <c r="E495" s="401" t="s">
        <v>38</v>
      </c>
      <c r="F495" s="345">
        <f>F496</f>
        <v>221200</v>
      </c>
      <c r="G495" s="345">
        <f>G496</f>
        <v>221200</v>
      </c>
      <c r="I495" s="1"/>
      <c r="J495" s="1"/>
      <c r="K495" s="1"/>
      <c r="L495" s="1"/>
    </row>
    <row r="496" spans="1:12" s="67" customFormat="1" hidden="1" outlineLevel="5" x14ac:dyDescent="0.25">
      <c r="A496" s="423" t="s">
        <v>74</v>
      </c>
      <c r="B496" s="425" t="s">
        <v>490</v>
      </c>
      <c r="C496" s="425" t="s">
        <v>72</v>
      </c>
      <c r="D496" s="425" t="s">
        <v>263</v>
      </c>
      <c r="E496" s="401" t="s">
        <v>75</v>
      </c>
      <c r="F496" s="345">
        <v>221200</v>
      </c>
      <c r="G496" s="345">
        <v>221200</v>
      </c>
      <c r="I496" s="1"/>
      <c r="J496" s="1"/>
      <c r="K496" s="1"/>
      <c r="L496" s="1"/>
    </row>
    <row r="497" spans="1:12" s="67" customFormat="1" hidden="1" outlineLevel="5" x14ac:dyDescent="0.25">
      <c r="A497" s="55" t="s">
        <v>300</v>
      </c>
      <c r="B497" s="425" t="s">
        <v>490</v>
      </c>
      <c r="C497" s="425" t="s">
        <v>72</v>
      </c>
      <c r="D497" s="425" t="s">
        <v>301</v>
      </c>
      <c r="E497" s="401" t="s">
        <v>6</v>
      </c>
      <c r="F497" s="345">
        <f>F498</f>
        <v>0</v>
      </c>
      <c r="G497" s="345">
        <f>G498</f>
        <v>0</v>
      </c>
      <c r="I497" s="1"/>
      <c r="J497" s="1"/>
      <c r="K497" s="1"/>
      <c r="L497" s="1"/>
    </row>
    <row r="498" spans="1:12" ht="36.700000000000003" hidden="1" outlineLevel="5" x14ac:dyDescent="0.25">
      <c r="A498" s="423" t="s">
        <v>37</v>
      </c>
      <c r="B498" s="425" t="s">
        <v>490</v>
      </c>
      <c r="C498" s="425" t="s">
        <v>72</v>
      </c>
      <c r="D498" s="425" t="s">
        <v>301</v>
      </c>
      <c r="E498" s="401" t="s">
        <v>38</v>
      </c>
      <c r="F498" s="345">
        <f>F499</f>
        <v>0</v>
      </c>
      <c r="G498" s="345">
        <f>G499</f>
        <v>0</v>
      </c>
    </row>
    <row r="499" spans="1:12" hidden="1" outlineLevel="5" x14ac:dyDescent="0.25">
      <c r="A499" s="423" t="s">
        <v>74</v>
      </c>
      <c r="B499" s="425" t="s">
        <v>490</v>
      </c>
      <c r="C499" s="425" t="s">
        <v>72</v>
      </c>
      <c r="D499" s="425" t="s">
        <v>301</v>
      </c>
      <c r="E499" s="401" t="s">
        <v>75</v>
      </c>
      <c r="F499" s="345">
        <f>1500000-1500000</f>
        <v>0</v>
      </c>
      <c r="G499" s="345">
        <v>0</v>
      </c>
    </row>
    <row r="500" spans="1:12" ht="39.75" hidden="1" customHeight="1" outlineLevel="5" x14ac:dyDescent="0.25">
      <c r="A500" s="423" t="s">
        <v>415</v>
      </c>
      <c r="B500" s="425" t="s">
        <v>490</v>
      </c>
      <c r="C500" s="425" t="s">
        <v>72</v>
      </c>
      <c r="D500" s="425" t="s">
        <v>651</v>
      </c>
      <c r="E500" s="425" t="s">
        <v>6</v>
      </c>
      <c r="F500" s="345">
        <f>F501</f>
        <v>0</v>
      </c>
      <c r="G500" s="345">
        <f>G501</f>
        <v>0</v>
      </c>
    </row>
    <row r="501" spans="1:12" ht="36.700000000000003" hidden="1" outlineLevel="5" x14ac:dyDescent="0.25">
      <c r="A501" s="423" t="s">
        <v>37</v>
      </c>
      <c r="B501" s="425" t="s">
        <v>490</v>
      </c>
      <c r="C501" s="425" t="s">
        <v>72</v>
      </c>
      <c r="D501" s="425" t="s">
        <v>651</v>
      </c>
      <c r="E501" s="425" t="s">
        <v>38</v>
      </c>
      <c r="F501" s="345">
        <f>F502</f>
        <v>0</v>
      </c>
      <c r="G501" s="345">
        <f>G502</f>
        <v>0</v>
      </c>
    </row>
    <row r="502" spans="1:12" ht="23.95" hidden="1" customHeight="1" outlineLevel="5" x14ac:dyDescent="0.25">
      <c r="A502" s="423" t="s">
        <v>74</v>
      </c>
      <c r="B502" s="425" t="s">
        <v>490</v>
      </c>
      <c r="C502" s="425" t="s">
        <v>72</v>
      </c>
      <c r="D502" s="425" t="s">
        <v>651</v>
      </c>
      <c r="E502" s="425" t="s">
        <v>75</v>
      </c>
      <c r="F502" s="345">
        <v>0</v>
      </c>
      <c r="G502" s="345">
        <v>0</v>
      </c>
    </row>
    <row r="503" spans="1:12" ht="42.8" hidden="1" customHeight="1" outlineLevel="5" x14ac:dyDescent="0.25">
      <c r="A503" s="423" t="s">
        <v>950</v>
      </c>
      <c r="B503" s="425" t="s">
        <v>490</v>
      </c>
      <c r="C503" s="425" t="s">
        <v>72</v>
      </c>
      <c r="D503" s="425" t="s">
        <v>540</v>
      </c>
      <c r="E503" s="425" t="s">
        <v>6</v>
      </c>
      <c r="F503" s="345">
        <f>F504</f>
        <v>0</v>
      </c>
      <c r="G503" s="345">
        <f>G504</f>
        <v>0</v>
      </c>
    </row>
    <row r="504" spans="1:12" s="76" customFormat="1" ht="36.700000000000003" hidden="1" outlineLevel="5" x14ac:dyDescent="0.25">
      <c r="A504" s="423" t="s">
        <v>37</v>
      </c>
      <c r="B504" s="425" t="s">
        <v>490</v>
      </c>
      <c r="C504" s="425" t="s">
        <v>72</v>
      </c>
      <c r="D504" s="425" t="s">
        <v>540</v>
      </c>
      <c r="E504" s="425" t="s">
        <v>38</v>
      </c>
      <c r="F504" s="345">
        <f>F505</f>
        <v>0</v>
      </c>
      <c r="G504" s="345">
        <f>G505</f>
        <v>0</v>
      </c>
      <c r="H504" s="75"/>
    </row>
    <row r="505" spans="1:12" ht="38.25" hidden="1" customHeight="1" outlineLevel="4" x14ac:dyDescent="0.25">
      <c r="A505" s="423" t="s">
        <v>74</v>
      </c>
      <c r="B505" s="425" t="s">
        <v>490</v>
      </c>
      <c r="C505" s="425" t="s">
        <v>72</v>
      </c>
      <c r="D505" s="425" t="s">
        <v>540</v>
      </c>
      <c r="E505" s="425" t="s">
        <v>75</v>
      </c>
      <c r="F505" s="345">
        <v>0</v>
      </c>
      <c r="G505" s="345">
        <v>0</v>
      </c>
    </row>
    <row r="506" spans="1:12" ht="36.700000000000003" hidden="1" outlineLevel="4" x14ac:dyDescent="0.25">
      <c r="A506" s="423" t="s">
        <v>407</v>
      </c>
      <c r="B506" s="425" t="s">
        <v>490</v>
      </c>
      <c r="C506" s="425" t="s">
        <v>72</v>
      </c>
      <c r="D506" s="425" t="s">
        <v>408</v>
      </c>
      <c r="E506" s="401" t="s">
        <v>6</v>
      </c>
      <c r="F506" s="345">
        <f>F507</f>
        <v>0</v>
      </c>
      <c r="G506" s="345">
        <f>G507</f>
        <v>0</v>
      </c>
    </row>
    <row r="507" spans="1:12" s="67" customFormat="1" ht="36.700000000000003" hidden="1" outlineLevel="5" x14ac:dyDescent="0.25">
      <c r="A507" s="423" t="s">
        <v>37</v>
      </c>
      <c r="B507" s="425" t="s">
        <v>490</v>
      </c>
      <c r="C507" s="425" t="s">
        <v>72</v>
      </c>
      <c r="D507" s="425" t="s">
        <v>408</v>
      </c>
      <c r="E507" s="401" t="s">
        <v>38</v>
      </c>
      <c r="F507" s="345">
        <f>F508</f>
        <v>0</v>
      </c>
      <c r="G507" s="345">
        <f>G508</f>
        <v>0</v>
      </c>
    </row>
    <row r="508" spans="1:12" s="67" customFormat="1" hidden="1" outlineLevel="6" x14ac:dyDescent="0.25">
      <c r="A508" s="423" t="s">
        <v>74</v>
      </c>
      <c r="B508" s="425" t="s">
        <v>490</v>
      </c>
      <c r="C508" s="425" t="s">
        <v>72</v>
      </c>
      <c r="D508" s="425" t="s">
        <v>408</v>
      </c>
      <c r="E508" s="401" t="s">
        <v>75</v>
      </c>
      <c r="F508" s="345">
        <v>0</v>
      </c>
      <c r="G508" s="345">
        <v>0</v>
      </c>
    </row>
    <row r="509" spans="1:12" s="67" customFormat="1" ht="36.700000000000003" hidden="1" outlineLevel="7" x14ac:dyDescent="0.25">
      <c r="A509" s="423" t="s">
        <v>267</v>
      </c>
      <c r="B509" s="425" t="s">
        <v>490</v>
      </c>
      <c r="C509" s="425" t="s">
        <v>72</v>
      </c>
      <c r="D509" s="425" t="s">
        <v>220</v>
      </c>
      <c r="E509" s="401" t="s">
        <v>6</v>
      </c>
      <c r="F509" s="345">
        <f>F510+F513</f>
        <v>8647450</v>
      </c>
      <c r="G509" s="345">
        <f>G510+G513</f>
        <v>8647450</v>
      </c>
    </row>
    <row r="510" spans="1:12" s="67" customFormat="1" ht="73.400000000000006" hidden="1" outlineLevel="7" x14ac:dyDescent="0.25">
      <c r="A510" s="55" t="s">
        <v>942</v>
      </c>
      <c r="B510" s="425" t="s">
        <v>490</v>
      </c>
      <c r="C510" s="425" t="s">
        <v>72</v>
      </c>
      <c r="D510" s="425" t="s">
        <v>596</v>
      </c>
      <c r="E510" s="401" t="s">
        <v>6</v>
      </c>
      <c r="F510" s="345">
        <f t="shared" ref="F510:G511" si="32">F511</f>
        <v>8225450</v>
      </c>
      <c r="G510" s="345">
        <f t="shared" si="32"/>
        <v>8225450</v>
      </c>
    </row>
    <row r="511" spans="1:12" s="67" customFormat="1" ht="36.700000000000003" hidden="1" outlineLevel="7" x14ac:dyDescent="0.25">
      <c r="A511" s="423" t="s">
        <v>37</v>
      </c>
      <c r="B511" s="425" t="s">
        <v>490</v>
      </c>
      <c r="C511" s="425" t="s">
        <v>72</v>
      </c>
      <c r="D511" s="425" t="s">
        <v>596</v>
      </c>
      <c r="E511" s="401" t="s">
        <v>38</v>
      </c>
      <c r="F511" s="345">
        <f t="shared" si="32"/>
        <v>8225450</v>
      </c>
      <c r="G511" s="345">
        <f t="shared" si="32"/>
        <v>8225450</v>
      </c>
    </row>
    <row r="512" spans="1:12" s="67" customFormat="1" ht="17.5" hidden="1" customHeight="1" outlineLevel="7" x14ac:dyDescent="0.25">
      <c r="A512" s="423" t="s">
        <v>74</v>
      </c>
      <c r="B512" s="425" t="s">
        <v>490</v>
      </c>
      <c r="C512" s="425" t="s">
        <v>72</v>
      </c>
      <c r="D512" s="425" t="s">
        <v>596</v>
      </c>
      <c r="E512" s="401" t="s">
        <v>75</v>
      </c>
      <c r="F512" s="345">
        <v>8225450</v>
      </c>
      <c r="G512" s="345">
        <v>8225450</v>
      </c>
    </row>
    <row r="513" spans="1:7" s="67" customFormat="1" ht="150.30000000000001" hidden="1" customHeight="1" outlineLevel="7" x14ac:dyDescent="0.25">
      <c r="A513" s="415" t="s">
        <v>1057</v>
      </c>
      <c r="B513" s="425" t="s">
        <v>490</v>
      </c>
      <c r="C513" s="425" t="s">
        <v>72</v>
      </c>
      <c r="D513" s="425" t="s">
        <v>1058</v>
      </c>
      <c r="E513" s="425" t="s">
        <v>6</v>
      </c>
      <c r="F513" s="345">
        <f>F514</f>
        <v>422000</v>
      </c>
      <c r="G513" s="345">
        <f>G514</f>
        <v>422000</v>
      </c>
    </row>
    <row r="514" spans="1:7" s="67" customFormat="1" ht="40.1" hidden="1" customHeight="1" outlineLevel="7" x14ac:dyDescent="0.25">
      <c r="A514" s="423" t="s">
        <v>37</v>
      </c>
      <c r="B514" s="425" t="s">
        <v>490</v>
      </c>
      <c r="C514" s="425" t="s">
        <v>72</v>
      </c>
      <c r="D514" s="425" t="s">
        <v>1058</v>
      </c>
      <c r="E514" s="425" t="s">
        <v>38</v>
      </c>
      <c r="F514" s="345">
        <f>F515</f>
        <v>422000</v>
      </c>
      <c r="G514" s="345">
        <f>G515</f>
        <v>422000</v>
      </c>
    </row>
    <row r="515" spans="1:7" s="67" customFormat="1" ht="40.75" hidden="1" customHeight="1" outlineLevel="7" x14ac:dyDescent="0.25">
      <c r="A515" s="423" t="s">
        <v>74</v>
      </c>
      <c r="B515" s="425" t="s">
        <v>490</v>
      </c>
      <c r="C515" s="425" t="s">
        <v>72</v>
      </c>
      <c r="D515" s="425" t="s">
        <v>1058</v>
      </c>
      <c r="E515" s="425" t="s">
        <v>75</v>
      </c>
      <c r="F515" s="345">
        <v>422000</v>
      </c>
      <c r="G515" s="345">
        <v>422000</v>
      </c>
    </row>
    <row r="516" spans="1:7" s="67" customFormat="1" ht="40.75" hidden="1" customHeight="1" outlineLevel="7" x14ac:dyDescent="0.25">
      <c r="A516" s="393" t="s">
        <v>880</v>
      </c>
      <c r="B516" s="425" t="s">
        <v>490</v>
      </c>
      <c r="C516" s="425" t="s">
        <v>72</v>
      </c>
      <c r="D516" s="425" t="s">
        <v>302</v>
      </c>
      <c r="E516" s="401" t="s">
        <v>6</v>
      </c>
      <c r="F516" s="345">
        <f t="shared" ref="F516:G518" si="33">F517</f>
        <v>0</v>
      </c>
      <c r="G516" s="345">
        <f t="shared" si="33"/>
        <v>0</v>
      </c>
    </row>
    <row r="517" spans="1:7" s="67" customFormat="1" ht="76.75" hidden="1" customHeight="1" outlineLevel="7" x14ac:dyDescent="0.25">
      <c r="A517" s="7" t="s">
        <v>964</v>
      </c>
      <c r="B517" s="425" t="s">
        <v>490</v>
      </c>
      <c r="C517" s="425" t="s">
        <v>72</v>
      </c>
      <c r="D517" s="425" t="s">
        <v>969</v>
      </c>
      <c r="E517" s="401" t="s">
        <v>6</v>
      </c>
      <c r="F517" s="345">
        <f t="shared" si="33"/>
        <v>0</v>
      </c>
      <c r="G517" s="345">
        <f t="shared" si="33"/>
        <v>0</v>
      </c>
    </row>
    <row r="518" spans="1:7" s="67" customFormat="1" ht="21.75" hidden="1" customHeight="1" outlineLevel="7" x14ac:dyDescent="0.25">
      <c r="A518" s="423" t="s">
        <v>37</v>
      </c>
      <c r="B518" s="425" t="s">
        <v>490</v>
      </c>
      <c r="C518" s="425" t="s">
        <v>72</v>
      </c>
      <c r="D518" s="425" t="s">
        <v>969</v>
      </c>
      <c r="E518" s="401" t="s">
        <v>38</v>
      </c>
      <c r="F518" s="345">
        <f t="shared" si="33"/>
        <v>0</v>
      </c>
      <c r="G518" s="345">
        <f t="shared" si="33"/>
        <v>0</v>
      </c>
    </row>
    <row r="519" spans="1:7" s="67" customFormat="1" ht="21.75" hidden="1" customHeight="1" outlineLevel="7" x14ac:dyDescent="0.25">
      <c r="A519" s="423" t="s">
        <v>74</v>
      </c>
      <c r="B519" s="425" t="s">
        <v>490</v>
      </c>
      <c r="C519" s="425" t="s">
        <v>72</v>
      </c>
      <c r="D519" s="425" t="s">
        <v>969</v>
      </c>
      <c r="E519" s="401" t="s">
        <v>75</v>
      </c>
      <c r="F519" s="345">
        <v>0</v>
      </c>
      <c r="G519" s="345">
        <v>0</v>
      </c>
    </row>
    <row r="520" spans="1:7" s="67" customFormat="1" ht="31.95" hidden="1" customHeight="1" outlineLevel="7" x14ac:dyDescent="0.25">
      <c r="A520" s="186" t="s">
        <v>995</v>
      </c>
      <c r="B520" s="425" t="s">
        <v>490</v>
      </c>
      <c r="C520" s="425" t="s">
        <v>72</v>
      </c>
      <c r="D520" s="425" t="s">
        <v>997</v>
      </c>
      <c r="E520" s="425" t="s">
        <v>6</v>
      </c>
      <c r="F520" s="345">
        <f t="shared" ref="F520:G522" si="34">F521</f>
        <v>4081377.3</v>
      </c>
      <c r="G520" s="345">
        <f t="shared" si="34"/>
        <v>4081377.3</v>
      </c>
    </row>
    <row r="521" spans="1:7" s="67" customFormat="1" ht="34" hidden="1" customHeight="1" outlineLevel="7" x14ac:dyDescent="0.25">
      <c r="A521" s="7" t="s">
        <v>996</v>
      </c>
      <c r="B521" s="425" t="s">
        <v>490</v>
      </c>
      <c r="C521" s="425" t="s">
        <v>72</v>
      </c>
      <c r="D521" s="425" t="s">
        <v>997</v>
      </c>
      <c r="E521" s="425" t="s">
        <v>6</v>
      </c>
      <c r="F521" s="345">
        <f t="shared" si="34"/>
        <v>4081377.3</v>
      </c>
      <c r="G521" s="345">
        <f t="shared" si="34"/>
        <v>4081377.3</v>
      </c>
    </row>
    <row r="522" spans="1:7" s="67" customFormat="1" ht="21.75" hidden="1" customHeight="1" outlineLevel="7" x14ac:dyDescent="0.25">
      <c r="A522" s="423" t="s">
        <v>37</v>
      </c>
      <c r="B522" s="425" t="s">
        <v>490</v>
      </c>
      <c r="C522" s="425" t="s">
        <v>72</v>
      </c>
      <c r="D522" s="425" t="s">
        <v>997</v>
      </c>
      <c r="E522" s="425" t="s">
        <v>38</v>
      </c>
      <c r="F522" s="345">
        <f t="shared" si="34"/>
        <v>4081377.3</v>
      </c>
      <c r="G522" s="345">
        <f t="shared" si="34"/>
        <v>4081377.3</v>
      </c>
    </row>
    <row r="523" spans="1:7" s="67" customFormat="1" ht="21.75" hidden="1" customHeight="1" outlineLevel="7" x14ac:dyDescent="0.25">
      <c r="A523" s="423" t="s">
        <v>74</v>
      </c>
      <c r="B523" s="425" t="s">
        <v>490</v>
      </c>
      <c r="C523" s="425" t="s">
        <v>72</v>
      </c>
      <c r="D523" s="425" t="s">
        <v>997</v>
      </c>
      <c r="E523" s="425" t="s">
        <v>75</v>
      </c>
      <c r="F523" s="345">
        <v>4081377.3</v>
      </c>
      <c r="G523" s="345">
        <v>4081377.3</v>
      </c>
    </row>
    <row r="524" spans="1:7" s="67" customFormat="1" hidden="1" outlineLevel="5" x14ac:dyDescent="0.25">
      <c r="A524" s="423" t="s">
        <v>251</v>
      </c>
      <c r="B524" s="425" t="s">
        <v>490</v>
      </c>
      <c r="C524" s="425" t="s">
        <v>250</v>
      </c>
      <c r="D524" s="425" t="s">
        <v>126</v>
      </c>
      <c r="E524" s="401" t="s">
        <v>6</v>
      </c>
      <c r="F524" s="345">
        <f>F525</f>
        <v>26534882</v>
      </c>
      <c r="G524" s="345">
        <f>G525</f>
        <v>26034882</v>
      </c>
    </row>
    <row r="525" spans="1:7" s="67" customFormat="1" ht="55.05" hidden="1" outlineLevel="6" x14ac:dyDescent="0.25">
      <c r="A525" s="45" t="s">
        <v>1169</v>
      </c>
      <c r="B525" s="387" t="s">
        <v>490</v>
      </c>
      <c r="C525" s="387" t="s">
        <v>250</v>
      </c>
      <c r="D525" s="387" t="s">
        <v>138</v>
      </c>
      <c r="E525" s="403" t="s">
        <v>6</v>
      </c>
      <c r="F525" s="346">
        <f>F526</f>
        <v>26534882</v>
      </c>
      <c r="G525" s="346">
        <f>G526</f>
        <v>26034882</v>
      </c>
    </row>
    <row r="526" spans="1:7" s="67" customFormat="1" ht="57.25" hidden="1" customHeight="1" outlineLevel="7" x14ac:dyDescent="0.25">
      <c r="A526" s="423" t="s">
        <v>1018</v>
      </c>
      <c r="B526" s="425" t="s">
        <v>490</v>
      </c>
      <c r="C526" s="425" t="s">
        <v>250</v>
      </c>
      <c r="D526" s="425" t="s">
        <v>149</v>
      </c>
      <c r="E526" s="401" t="s">
        <v>6</v>
      </c>
      <c r="F526" s="402">
        <f>F527+F531+F544</f>
        <v>26534882</v>
      </c>
      <c r="G526" s="402">
        <f>G527+G531+G544</f>
        <v>26034882</v>
      </c>
    </row>
    <row r="527" spans="1:7" s="67" customFormat="1" ht="23.3" hidden="1" customHeight="1" outlineLevel="7" x14ac:dyDescent="0.25">
      <c r="A527" s="404" t="s">
        <v>205</v>
      </c>
      <c r="B527" s="425" t="s">
        <v>490</v>
      </c>
      <c r="C527" s="425" t="s">
        <v>250</v>
      </c>
      <c r="D527" s="425" t="s">
        <v>221</v>
      </c>
      <c r="E527" s="401" t="s">
        <v>6</v>
      </c>
      <c r="F527" s="402">
        <f t="shared" ref="F527:G529" si="35">F528</f>
        <v>25267092</v>
      </c>
      <c r="G527" s="402">
        <f>G528</f>
        <v>24767092</v>
      </c>
    </row>
    <row r="528" spans="1:7" s="67" customFormat="1" ht="22.75" hidden="1" customHeight="1" outlineLevel="7" x14ac:dyDescent="0.25">
      <c r="A528" s="423" t="s">
        <v>115</v>
      </c>
      <c r="B528" s="425" t="s">
        <v>490</v>
      </c>
      <c r="C528" s="425" t="s">
        <v>250</v>
      </c>
      <c r="D528" s="425" t="s">
        <v>151</v>
      </c>
      <c r="E528" s="401" t="s">
        <v>6</v>
      </c>
      <c r="F528" s="402">
        <f t="shared" si="35"/>
        <v>25267092</v>
      </c>
      <c r="G528" s="402">
        <f t="shared" si="35"/>
        <v>24767092</v>
      </c>
    </row>
    <row r="529" spans="1:12" s="67" customFormat="1" ht="24.8" hidden="1" customHeight="1" outlineLevel="7" x14ac:dyDescent="0.25">
      <c r="A529" s="423" t="s">
        <v>37</v>
      </c>
      <c r="B529" s="425" t="s">
        <v>490</v>
      </c>
      <c r="C529" s="425" t="s">
        <v>250</v>
      </c>
      <c r="D529" s="425" t="s">
        <v>151</v>
      </c>
      <c r="E529" s="401" t="s">
        <v>38</v>
      </c>
      <c r="F529" s="402">
        <f t="shared" si="35"/>
        <v>25267092</v>
      </c>
      <c r="G529" s="402">
        <f t="shared" si="35"/>
        <v>24767092</v>
      </c>
    </row>
    <row r="530" spans="1:12" s="67" customFormat="1" ht="27" hidden="1" customHeight="1" outlineLevel="7" x14ac:dyDescent="0.25">
      <c r="A530" s="423" t="s">
        <v>74</v>
      </c>
      <c r="B530" s="425" t="s">
        <v>490</v>
      </c>
      <c r="C530" s="425" t="s">
        <v>250</v>
      </c>
      <c r="D530" s="425" t="s">
        <v>151</v>
      </c>
      <c r="E530" s="401" t="s">
        <v>75</v>
      </c>
      <c r="F530" s="345">
        <f>29267092-4000000</f>
        <v>25267092</v>
      </c>
      <c r="G530" s="345">
        <f>29267092-4500000</f>
        <v>24767092</v>
      </c>
    </row>
    <row r="531" spans="1:12" ht="42.8" hidden="1" customHeight="1" outlineLevel="7" x14ac:dyDescent="0.25">
      <c r="A531" s="423" t="s">
        <v>377</v>
      </c>
      <c r="B531" s="425" t="s">
        <v>490</v>
      </c>
      <c r="C531" s="425" t="s">
        <v>250</v>
      </c>
      <c r="D531" s="425" t="s">
        <v>222</v>
      </c>
      <c r="E531" s="401" t="s">
        <v>6</v>
      </c>
      <c r="F531" s="345">
        <f>F532+F538</f>
        <v>31600</v>
      </c>
      <c r="G531" s="345">
        <f>G532+G538</f>
        <v>31600</v>
      </c>
    </row>
    <row r="532" spans="1:12" ht="36.700000000000003" hidden="1" outlineLevel="7" x14ac:dyDescent="0.25">
      <c r="A532" s="423" t="s">
        <v>262</v>
      </c>
      <c r="B532" s="425" t="s">
        <v>490</v>
      </c>
      <c r="C532" s="425" t="s">
        <v>250</v>
      </c>
      <c r="D532" s="425" t="s">
        <v>280</v>
      </c>
      <c r="E532" s="401" t="s">
        <v>6</v>
      </c>
      <c r="F532" s="345">
        <f>F533</f>
        <v>31600</v>
      </c>
      <c r="G532" s="345">
        <f>G533</f>
        <v>31600</v>
      </c>
    </row>
    <row r="533" spans="1:12" ht="36.700000000000003" hidden="1" outlineLevel="7" x14ac:dyDescent="0.25">
      <c r="A533" s="423" t="s">
        <v>37</v>
      </c>
      <c r="B533" s="425" t="s">
        <v>490</v>
      </c>
      <c r="C533" s="425" t="s">
        <v>250</v>
      </c>
      <c r="D533" s="425" t="s">
        <v>280</v>
      </c>
      <c r="E533" s="401" t="s">
        <v>38</v>
      </c>
      <c r="F533" s="345">
        <f>F534</f>
        <v>31600</v>
      </c>
      <c r="G533" s="345">
        <f>G534</f>
        <v>31600</v>
      </c>
    </row>
    <row r="534" spans="1:12" ht="18" hidden="1" customHeight="1" outlineLevel="2" x14ac:dyDescent="0.25">
      <c r="A534" s="423" t="s">
        <v>74</v>
      </c>
      <c r="B534" s="425" t="s">
        <v>490</v>
      </c>
      <c r="C534" s="425" t="s">
        <v>250</v>
      </c>
      <c r="D534" s="425" t="s">
        <v>280</v>
      </c>
      <c r="E534" s="401" t="s">
        <v>75</v>
      </c>
      <c r="F534" s="345">
        <v>31600</v>
      </c>
      <c r="G534" s="345">
        <v>31600</v>
      </c>
    </row>
    <row r="535" spans="1:12" s="76" customFormat="1" hidden="1" outlineLevel="3" x14ac:dyDescent="0.25">
      <c r="A535" s="55" t="s">
        <v>300</v>
      </c>
      <c r="B535" s="425" t="s">
        <v>490</v>
      </c>
      <c r="C535" s="425" t="s">
        <v>250</v>
      </c>
      <c r="D535" s="425" t="s">
        <v>666</v>
      </c>
      <c r="E535" s="425" t="s">
        <v>6</v>
      </c>
      <c r="F535" s="345">
        <f>F536</f>
        <v>0</v>
      </c>
      <c r="G535" s="345">
        <f>G536</f>
        <v>0</v>
      </c>
      <c r="H535" s="75"/>
    </row>
    <row r="536" spans="1:12" ht="36.700000000000003" hidden="1" outlineLevel="3" x14ac:dyDescent="0.25">
      <c r="A536" s="423" t="s">
        <v>37</v>
      </c>
      <c r="B536" s="425" t="s">
        <v>490</v>
      </c>
      <c r="C536" s="425" t="s">
        <v>250</v>
      </c>
      <c r="D536" s="425" t="s">
        <v>666</v>
      </c>
      <c r="E536" s="425" t="s">
        <v>38</v>
      </c>
      <c r="F536" s="345">
        <f>F537</f>
        <v>0</v>
      </c>
      <c r="G536" s="345">
        <f>G537</f>
        <v>0</v>
      </c>
    </row>
    <row r="537" spans="1:12" s="67" customFormat="1" ht="19.55" hidden="1" customHeight="1" outlineLevel="3" thickBot="1" x14ac:dyDescent="0.25">
      <c r="A537" s="423" t="s">
        <v>74</v>
      </c>
      <c r="B537" s="425" t="s">
        <v>490</v>
      </c>
      <c r="C537" s="425" t="s">
        <v>250</v>
      </c>
      <c r="D537" s="425" t="s">
        <v>666</v>
      </c>
      <c r="E537" s="425" t="s">
        <v>75</v>
      </c>
      <c r="F537" s="345">
        <v>0</v>
      </c>
      <c r="G537" s="345">
        <v>0</v>
      </c>
      <c r="I537" s="1"/>
      <c r="J537" s="1"/>
      <c r="K537" s="1"/>
      <c r="L537" s="1"/>
    </row>
    <row r="538" spans="1:12" s="67" customFormat="1" ht="21.25" hidden="1" customHeight="1" outlineLevel="3" thickBot="1" x14ac:dyDescent="0.35">
      <c r="A538" s="408" t="s">
        <v>806</v>
      </c>
      <c r="B538" s="392" t="s">
        <v>490</v>
      </c>
      <c r="C538" s="392" t="s">
        <v>250</v>
      </c>
      <c r="D538" s="298" t="s">
        <v>842</v>
      </c>
      <c r="E538" s="298" t="s">
        <v>6</v>
      </c>
      <c r="F538" s="345">
        <f>F539</f>
        <v>0</v>
      </c>
      <c r="G538" s="345">
        <f>G539</f>
        <v>0</v>
      </c>
      <c r="I538" s="1"/>
      <c r="J538" s="1"/>
      <c r="K538" s="1"/>
      <c r="L538" s="1"/>
    </row>
    <row r="539" spans="1:12" s="67" customFormat="1" ht="21.25" hidden="1" customHeight="1" outlineLevel="3" x14ac:dyDescent="0.3">
      <c r="A539" s="189" t="s">
        <v>37</v>
      </c>
      <c r="B539" s="392" t="s">
        <v>490</v>
      </c>
      <c r="C539" s="392" t="s">
        <v>250</v>
      </c>
      <c r="D539" s="298" t="s">
        <v>843</v>
      </c>
      <c r="E539" s="298" t="s">
        <v>38</v>
      </c>
      <c r="F539" s="345">
        <f>F540</f>
        <v>0</v>
      </c>
      <c r="G539" s="345">
        <f>G540</f>
        <v>0</v>
      </c>
      <c r="I539" s="1"/>
      <c r="J539" s="1"/>
      <c r="K539" s="1"/>
      <c r="L539" s="1"/>
    </row>
    <row r="540" spans="1:12" s="67" customFormat="1" ht="21.25" hidden="1" customHeight="1" outlineLevel="3" x14ac:dyDescent="0.3">
      <c r="A540" s="189" t="s">
        <v>74</v>
      </c>
      <c r="B540" s="392" t="s">
        <v>490</v>
      </c>
      <c r="C540" s="392" t="s">
        <v>250</v>
      </c>
      <c r="D540" s="298" t="s">
        <v>843</v>
      </c>
      <c r="E540" s="298" t="s">
        <v>75</v>
      </c>
      <c r="F540" s="345">
        <f>300000-300000</f>
        <v>0</v>
      </c>
      <c r="G540" s="345">
        <v>0</v>
      </c>
      <c r="I540" s="1"/>
      <c r="J540" s="1"/>
      <c r="K540" s="1"/>
      <c r="L540" s="1"/>
    </row>
    <row r="541" spans="1:12" s="67" customFormat="1" ht="55.05" hidden="1" outlineLevel="3" x14ac:dyDescent="0.25">
      <c r="A541" s="423" t="s">
        <v>415</v>
      </c>
      <c r="B541" s="425" t="s">
        <v>490</v>
      </c>
      <c r="C541" s="425" t="s">
        <v>250</v>
      </c>
      <c r="D541" s="425" t="s">
        <v>658</v>
      </c>
      <c r="E541" s="425" t="s">
        <v>6</v>
      </c>
      <c r="F541" s="345">
        <f>F542</f>
        <v>0</v>
      </c>
      <c r="G541" s="345">
        <f>G542</f>
        <v>0</v>
      </c>
      <c r="I541" s="1"/>
      <c r="J541" s="1"/>
      <c r="K541" s="1"/>
      <c r="L541" s="1"/>
    </row>
    <row r="542" spans="1:12" s="67" customFormat="1" ht="36.700000000000003" hidden="1" outlineLevel="3" x14ac:dyDescent="0.25">
      <c r="A542" s="423" t="s">
        <v>37</v>
      </c>
      <c r="B542" s="425" t="s">
        <v>490</v>
      </c>
      <c r="C542" s="425" t="s">
        <v>250</v>
      </c>
      <c r="D542" s="425" t="s">
        <v>658</v>
      </c>
      <c r="E542" s="425" t="s">
        <v>38</v>
      </c>
      <c r="F542" s="345">
        <f>F543</f>
        <v>0</v>
      </c>
      <c r="G542" s="345">
        <f>G543</f>
        <v>0</v>
      </c>
      <c r="I542" s="1"/>
      <c r="J542" s="1"/>
      <c r="K542" s="1"/>
      <c r="L542" s="1"/>
    </row>
    <row r="543" spans="1:12" s="67" customFormat="1" hidden="1" outlineLevel="3" x14ac:dyDescent="0.25">
      <c r="A543" s="423" t="s">
        <v>74</v>
      </c>
      <c r="B543" s="425" t="s">
        <v>490</v>
      </c>
      <c r="C543" s="425" t="s">
        <v>250</v>
      </c>
      <c r="D543" s="425" t="s">
        <v>658</v>
      </c>
      <c r="E543" s="425" t="s">
        <v>75</v>
      </c>
      <c r="F543" s="345">
        <v>0</v>
      </c>
      <c r="G543" s="345">
        <v>0</v>
      </c>
      <c r="I543" s="1"/>
      <c r="J543" s="1"/>
      <c r="K543" s="1"/>
      <c r="L543" s="1"/>
    </row>
    <row r="544" spans="1:12" s="67" customFormat="1" ht="73.400000000000006" hidden="1" outlineLevel="3" x14ac:dyDescent="0.25">
      <c r="A544" s="423" t="s">
        <v>1087</v>
      </c>
      <c r="B544" s="425" t="s">
        <v>490</v>
      </c>
      <c r="C544" s="425" t="s">
        <v>250</v>
      </c>
      <c r="D544" s="425" t="s">
        <v>1088</v>
      </c>
      <c r="E544" s="425" t="s">
        <v>6</v>
      </c>
      <c r="F544" s="345">
        <f t="shared" ref="F544:G546" si="36">F545</f>
        <v>1236190</v>
      </c>
      <c r="G544" s="345">
        <f t="shared" si="36"/>
        <v>1236190</v>
      </c>
      <c r="I544" s="1"/>
      <c r="J544" s="1"/>
      <c r="K544" s="1"/>
      <c r="L544" s="1"/>
    </row>
    <row r="545" spans="1:12" s="67" customFormat="1" ht="73.400000000000006" hidden="1" outlineLevel="3" x14ac:dyDescent="0.25">
      <c r="A545" s="423" t="s">
        <v>1089</v>
      </c>
      <c r="B545" s="425" t="s">
        <v>490</v>
      </c>
      <c r="C545" s="425" t="s">
        <v>250</v>
      </c>
      <c r="D545" s="425" t="s">
        <v>1090</v>
      </c>
      <c r="E545" s="425" t="s">
        <v>6</v>
      </c>
      <c r="F545" s="345">
        <f t="shared" si="36"/>
        <v>1236190</v>
      </c>
      <c r="G545" s="345">
        <f t="shared" si="36"/>
        <v>1236190</v>
      </c>
      <c r="I545" s="1"/>
      <c r="J545" s="1"/>
      <c r="K545" s="1"/>
      <c r="L545" s="1"/>
    </row>
    <row r="546" spans="1:12" s="67" customFormat="1" ht="36.700000000000003" hidden="1" outlineLevel="3" x14ac:dyDescent="0.25">
      <c r="A546" s="423" t="s">
        <v>37</v>
      </c>
      <c r="B546" s="425" t="s">
        <v>490</v>
      </c>
      <c r="C546" s="425" t="s">
        <v>250</v>
      </c>
      <c r="D546" s="425" t="s">
        <v>1090</v>
      </c>
      <c r="E546" s="425" t="s">
        <v>38</v>
      </c>
      <c r="F546" s="345">
        <f t="shared" si="36"/>
        <v>1236190</v>
      </c>
      <c r="G546" s="345">
        <f t="shared" si="36"/>
        <v>1236190</v>
      </c>
      <c r="I546" s="1"/>
      <c r="J546" s="1"/>
      <c r="K546" s="1"/>
      <c r="L546" s="1"/>
    </row>
    <row r="547" spans="1:12" s="67" customFormat="1" hidden="1" outlineLevel="3" x14ac:dyDescent="0.25">
      <c r="A547" s="423" t="s">
        <v>74</v>
      </c>
      <c r="B547" s="425" t="s">
        <v>490</v>
      </c>
      <c r="C547" s="425" t="s">
        <v>250</v>
      </c>
      <c r="D547" s="425" t="s">
        <v>1090</v>
      </c>
      <c r="E547" s="425" t="s">
        <v>75</v>
      </c>
      <c r="F547" s="345">
        <f>1736190-500000</f>
        <v>1236190</v>
      </c>
      <c r="G547" s="345">
        <f>1736190-500000</f>
        <v>1236190</v>
      </c>
      <c r="I547" s="1"/>
      <c r="J547" s="1"/>
      <c r="K547" s="1"/>
      <c r="L547" s="1"/>
    </row>
    <row r="548" spans="1:12" s="67" customFormat="1" hidden="1" outlineLevel="3" x14ac:dyDescent="0.25">
      <c r="A548" s="423" t="s">
        <v>1073</v>
      </c>
      <c r="B548" s="425" t="s">
        <v>490</v>
      </c>
      <c r="C548" s="425" t="s">
        <v>77</v>
      </c>
      <c r="D548" s="425" t="s">
        <v>126</v>
      </c>
      <c r="E548" s="401" t="s">
        <v>6</v>
      </c>
      <c r="F548" s="402">
        <f>F549</f>
        <v>195000</v>
      </c>
      <c r="G548" s="402">
        <f>G549</f>
        <v>195000</v>
      </c>
      <c r="I548" s="1"/>
      <c r="J548" s="1"/>
      <c r="K548" s="1"/>
      <c r="L548" s="1"/>
    </row>
    <row r="549" spans="1:12" s="67" customFormat="1" ht="55.05" hidden="1" outlineLevel="3" x14ac:dyDescent="0.25">
      <c r="A549" s="45" t="s">
        <v>1169</v>
      </c>
      <c r="B549" s="387" t="s">
        <v>490</v>
      </c>
      <c r="C549" s="387" t="s">
        <v>77</v>
      </c>
      <c r="D549" s="387" t="s">
        <v>138</v>
      </c>
      <c r="E549" s="403" t="s">
        <v>6</v>
      </c>
      <c r="F549" s="347">
        <f>F550+F556</f>
        <v>195000</v>
      </c>
      <c r="G549" s="347">
        <f>G550+G556</f>
        <v>195000</v>
      </c>
      <c r="I549" s="1"/>
      <c r="J549" s="1"/>
      <c r="K549" s="1"/>
      <c r="L549" s="1"/>
    </row>
    <row r="550" spans="1:12" s="67" customFormat="1" ht="55.05" hidden="1" outlineLevel="3" x14ac:dyDescent="0.25">
      <c r="A550" s="423" t="s">
        <v>1040</v>
      </c>
      <c r="B550" s="425" t="s">
        <v>490</v>
      </c>
      <c r="C550" s="425" t="s">
        <v>77</v>
      </c>
      <c r="D550" s="425" t="s">
        <v>146</v>
      </c>
      <c r="E550" s="401" t="s">
        <v>6</v>
      </c>
      <c r="F550" s="402">
        <f>F551</f>
        <v>70000</v>
      </c>
      <c r="G550" s="402">
        <f>G551</f>
        <v>70000</v>
      </c>
      <c r="I550" s="1"/>
      <c r="J550" s="1"/>
      <c r="K550" s="1"/>
      <c r="L550" s="1"/>
    </row>
    <row r="551" spans="1:12" s="67" customFormat="1" ht="36.700000000000003" hidden="1" outlineLevel="7" x14ac:dyDescent="0.25">
      <c r="A551" s="423" t="s">
        <v>204</v>
      </c>
      <c r="B551" s="425" t="s">
        <v>490</v>
      </c>
      <c r="C551" s="425" t="s">
        <v>77</v>
      </c>
      <c r="D551" s="425" t="s">
        <v>217</v>
      </c>
      <c r="E551" s="401" t="s">
        <v>6</v>
      </c>
      <c r="F551" s="402">
        <f t="shared" ref="F551:G552" si="37">F552</f>
        <v>70000</v>
      </c>
      <c r="G551" s="402">
        <f t="shared" si="37"/>
        <v>70000</v>
      </c>
      <c r="I551" s="1"/>
      <c r="J551" s="1"/>
      <c r="K551" s="1"/>
      <c r="L551" s="1"/>
    </row>
    <row r="552" spans="1:12" s="67" customFormat="1" hidden="1" outlineLevel="7" x14ac:dyDescent="0.25">
      <c r="A552" s="423" t="s">
        <v>395</v>
      </c>
      <c r="B552" s="425" t="s">
        <v>490</v>
      </c>
      <c r="C552" s="425" t="s">
        <v>77</v>
      </c>
      <c r="D552" s="425" t="s">
        <v>232</v>
      </c>
      <c r="E552" s="401" t="s">
        <v>6</v>
      </c>
      <c r="F552" s="402">
        <f t="shared" si="37"/>
        <v>70000</v>
      </c>
      <c r="G552" s="402">
        <f t="shared" si="37"/>
        <v>70000</v>
      </c>
      <c r="I552" s="1"/>
      <c r="J552" s="1"/>
      <c r="K552" s="1"/>
      <c r="L552" s="1"/>
    </row>
    <row r="553" spans="1:12" s="67" customFormat="1" ht="23.3" hidden="1" customHeight="1" outlineLevel="7" x14ac:dyDescent="0.25">
      <c r="A553" s="423" t="s">
        <v>15</v>
      </c>
      <c r="B553" s="425" t="s">
        <v>490</v>
      </c>
      <c r="C553" s="425" t="s">
        <v>77</v>
      </c>
      <c r="D553" s="425" t="s">
        <v>232</v>
      </c>
      <c r="E553" s="401" t="s">
        <v>16</v>
      </c>
      <c r="F553" s="402">
        <v>70000</v>
      </c>
      <c r="G553" s="402">
        <v>70000</v>
      </c>
      <c r="I553" s="1"/>
      <c r="J553" s="1"/>
      <c r="K553" s="1"/>
      <c r="L553" s="1"/>
    </row>
    <row r="554" spans="1:12" ht="36.700000000000003" hidden="1" outlineLevel="2" x14ac:dyDescent="0.25">
      <c r="A554" s="423" t="s">
        <v>17</v>
      </c>
      <c r="B554" s="425" t="s">
        <v>490</v>
      </c>
      <c r="C554" s="425" t="s">
        <v>77</v>
      </c>
      <c r="D554" s="425" t="s">
        <v>232</v>
      </c>
      <c r="E554" s="401" t="s">
        <v>18</v>
      </c>
      <c r="F554" s="402">
        <v>70000</v>
      </c>
      <c r="G554" s="402">
        <v>70000</v>
      </c>
    </row>
    <row r="555" spans="1:12" ht="36.700000000000003" hidden="1" outlineLevel="7" x14ac:dyDescent="0.25">
      <c r="A555" s="423" t="s">
        <v>234</v>
      </c>
      <c r="B555" s="425" t="s">
        <v>490</v>
      </c>
      <c r="C555" s="425" t="s">
        <v>77</v>
      </c>
      <c r="D555" s="425" t="s">
        <v>233</v>
      </c>
      <c r="E555" s="401" t="s">
        <v>6</v>
      </c>
      <c r="F555" s="345">
        <f t="shared" ref="F555:G557" si="38">F556</f>
        <v>125000</v>
      </c>
      <c r="G555" s="345">
        <f t="shared" si="38"/>
        <v>125000</v>
      </c>
    </row>
    <row r="556" spans="1:12" hidden="1" outlineLevel="5" x14ac:dyDescent="0.25">
      <c r="A556" s="423" t="s">
        <v>78</v>
      </c>
      <c r="B556" s="425" t="s">
        <v>490</v>
      </c>
      <c r="C556" s="425" t="s">
        <v>77</v>
      </c>
      <c r="D556" s="425" t="s">
        <v>153</v>
      </c>
      <c r="E556" s="401" t="s">
        <v>6</v>
      </c>
      <c r="F556" s="402">
        <f t="shared" si="38"/>
        <v>125000</v>
      </c>
      <c r="G556" s="402">
        <f t="shared" si="38"/>
        <v>125000</v>
      </c>
    </row>
    <row r="557" spans="1:12" ht="36.700000000000003" hidden="1" outlineLevel="6" x14ac:dyDescent="0.25">
      <c r="A557" s="423" t="s">
        <v>15</v>
      </c>
      <c r="B557" s="425" t="s">
        <v>490</v>
      </c>
      <c r="C557" s="425" t="s">
        <v>77</v>
      </c>
      <c r="D557" s="425" t="s">
        <v>153</v>
      </c>
      <c r="E557" s="401" t="s">
        <v>16</v>
      </c>
      <c r="F557" s="402">
        <f t="shared" si="38"/>
        <v>125000</v>
      </c>
      <c r="G557" s="402">
        <f t="shared" si="38"/>
        <v>125000</v>
      </c>
    </row>
    <row r="558" spans="1:12" ht="36.700000000000003" hidden="1" outlineLevel="7" x14ac:dyDescent="0.25">
      <c r="A558" s="423" t="s">
        <v>17</v>
      </c>
      <c r="B558" s="425" t="s">
        <v>490</v>
      </c>
      <c r="C558" s="425" t="s">
        <v>77</v>
      </c>
      <c r="D558" s="425" t="s">
        <v>153</v>
      </c>
      <c r="E558" s="401" t="s">
        <v>18</v>
      </c>
      <c r="F558" s="345">
        <v>125000</v>
      </c>
      <c r="G558" s="345">
        <v>125000</v>
      </c>
    </row>
    <row r="559" spans="1:12" hidden="1" outlineLevel="6" x14ac:dyDescent="0.25">
      <c r="A559" s="423" t="s">
        <v>116</v>
      </c>
      <c r="B559" s="425" t="s">
        <v>490</v>
      </c>
      <c r="C559" s="425" t="s">
        <v>117</v>
      </c>
      <c r="D559" s="425" t="s">
        <v>126</v>
      </c>
      <c r="E559" s="401" t="s">
        <v>6</v>
      </c>
      <c r="F559" s="402">
        <f>F560</f>
        <v>22802878.02</v>
      </c>
      <c r="G559" s="402">
        <f>G560</f>
        <v>22362992.629999999</v>
      </c>
    </row>
    <row r="560" spans="1:12" ht="51.8" hidden="1" customHeight="1" outlineLevel="7" x14ac:dyDescent="0.25">
      <c r="A560" s="45" t="s">
        <v>1170</v>
      </c>
      <c r="B560" s="387" t="s">
        <v>490</v>
      </c>
      <c r="C560" s="387" t="s">
        <v>117</v>
      </c>
      <c r="D560" s="387" t="s">
        <v>138</v>
      </c>
      <c r="E560" s="403" t="s">
        <v>6</v>
      </c>
      <c r="F560" s="435">
        <f>F561+F579</f>
        <v>22802878.02</v>
      </c>
      <c r="G560" s="435">
        <f>G561+G579</f>
        <v>22362992.629999999</v>
      </c>
    </row>
    <row r="561" spans="1:8" ht="36.700000000000003" hidden="1" outlineLevel="6" x14ac:dyDescent="0.25">
      <c r="A561" s="423" t="s">
        <v>206</v>
      </c>
      <c r="B561" s="425" t="s">
        <v>490</v>
      </c>
      <c r="C561" s="425" t="s">
        <v>117</v>
      </c>
      <c r="D561" s="425" t="s">
        <v>223</v>
      </c>
      <c r="E561" s="401" t="s">
        <v>6</v>
      </c>
      <c r="F561" s="347">
        <f>F562+F569+F576</f>
        <v>20087758.02</v>
      </c>
      <c r="G561" s="347">
        <f>G562+G569+G576</f>
        <v>19647872.629999999</v>
      </c>
    </row>
    <row r="562" spans="1:8" ht="55.05" hidden="1" outlineLevel="7" x14ac:dyDescent="0.25">
      <c r="A562" s="423" t="s">
        <v>449</v>
      </c>
      <c r="B562" s="425" t="s">
        <v>490</v>
      </c>
      <c r="C562" s="425" t="s">
        <v>117</v>
      </c>
      <c r="D562" s="425" t="s">
        <v>489</v>
      </c>
      <c r="E562" s="401" t="s">
        <v>6</v>
      </c>
      <c r="F562" s="402">
        <f>F563+F565+F567</f>
        <v>5373360</v>
      </c>
      <c r="G562" s="402">
        <f>G563+G565+G567</f>
        <v>5775522</v>
      </c>
    </row>
    <row r="563" spans="1:8" ht="91.7" hidden="1" outlineLevel="3" x14ac:dyDescent="0.25">
      <c r="A563" s="423" t="s">
        <v>11</v>
      </c>
      <c r="B563" s="425" t="s">
        <v>490</v>
      </c>
      <c r="C563" s="425" t="s">
        <v>117</v>
      </c>
      <c r="D563" s="425" t="s">
        <v>489</v>
      </c>
      <c r="E563" s="401" t="s">
        <v>12</v>
      </c>
      <c r="F563" s="402">
        <f>F564</f>
        <v>5093360</v>
      </c>
      <c r="G563" s="402">
        <f>G564</f>
        <v>5495522</v>
      </c>
    </row>
    <row r="564" spans="1:8" ht="36.700000000000003" hidden="1" outlineLevel="3" x14ac:dyDescent="0.25">
      <c r="A564" s="423" t="s">
        <v>13</v>
      </c>
      <c r="B564" s="425" t="s">
        <v>490</v>
      </c>
      <c r="C564" s="425" t="s">
        <v>117</v>
      </c>
      <c r="D564" s="425" t="s">
        <v>489</v>
      </c>
      <c r="E564" s="401" t="s">
        <v>14</v>
      </c>
      <c r="F564" s="345">
        <f>6093360-1000000</f>
        <v>5093360</v>
      </c>
      <c r="G564" s="345">
        <f>6495522-1000000</f>
        <v>5495522</v>
      </c>
    </row>
    <row r="565" spans="1:8" ht="36.700000000000003" hidden="1" outlineLevel="3" x14ac:dyDescent="0.25">
      <c r="A565" s="423" t="s">
        <v>15</v>
      </c>
      <c r="B565" s="425" t="s">
        <v>490</v>
      </c>
      <c r="C565" s="425" t="s">
        <v>117</v>
      </c>
      <c r="D565" s="425" t="s">
        <v>489</v>
      </c>
      <c r="E565" s="401" t="s">
        <v>16</v>
      </c>
      <c r="F565" s="402">
        <f>F566</f>
        <v>280000</v>
      </c>
      <c r="G565" s="402">
        <f>G566</f>
        <v>280000</v>
      </c>
    </row>
    <row r="566" spans="1:8" s="76" customFormat="1" ht="40.75" hidden="1" customHeight="1" outlineLevel="3" x14ac:dyDescent="0.25">
      <c r="A566" s="423" t="s">
        <v>17</v>
      </c>
      <c r="B566" s="425" t="s">
        <v>490</v>
      </c>
      <c r="C566" s="425" t="s">
        <v>117</v>
      </c>
      <c r="D566" s="425" t="s">
        <v>489</v>
      </c>
      <c r="E566" s="401" t="s">
        <v>18</v>
      </c>
      <c r="F566" s="345">
        <v>280000</v>
      </c>
      <c r="G566" s="345">
        <v>280000</v>
      </c>
      <c r="H566" s="75"/>
    </row>
    <row r="567" spans="1:8" hidden="1" outlineLevel="3" x14ac:dyDescent="0.25">
      <c r="A567" s="423" t="s">
        <v>19</v>
      </c>
      <c r="B567" s="425" t="s">
        <v>490</v>
      </c>
      <c r="C567" s="425" t="s">
        <v>117</v>
      </c>
      <c r="D567" s="425" t="s">
        <v>489</v>
      </c>
      <c r="E567" s="401" t="s">
        <v>20</v>
      </c>
      <c r="F567" s="345">
        <f>F568</f>
        <v>0</v>
      </c>
      <c r="G567" s="345">
        <f>G568</f>
        <v>0</v>
      </c>
    </row>
    <row r="568" spans="1:8" s="76" customFormat="1" hidden="1" outlineLevel="3" x14ac:dyDescent="0.25">
      <c r="A568" s="423" t="s">
        <v>21</v>
      </c>
      <c r="B568" s="425" t="s">
        <v>490</v>
      </c>
      <c r="C568" s="425" t="s">
        <v>117</v>
      </c>
      <c r="D568" s="425" t="s">
        <v>489</v>
      </c>
      <c r="E568" s="401" t="s">
        <v>22</v>
      </c>
      <c r="F568" s="345">
        <v>0</v>
      </c>
      <c r="G568" s="345">
        <v>0</v>
      </c>
      <c r="H568" s="75"/>
    </row>
    <row r="569" spans="1:8" ht="42.45" hidden="1" customHeight="1" outlineLevel="3" x14ac:dyDescent="0.25">
      <c r="A569" s="423" t="s">
        <v>33</v>
      </c>
      <c r="B569" s="425" t="s">
        <v>490</v>
      </c>
      <c r="C569" s="425" t="s">
        <v>117</v>
      </c>
      <c r="D569" s="425" t="s">
        <v>154</v>
      </c>
      <c r="E569" s="401" t="s">
        <v>6</v>
      </c>
      <c r="F569" s="402">
        <f>F570+F572+F574</f>
        <v>12760192.02</v>
      </c>
      <c r="G569" s="402">
        <f>G570+G572+G574</f>
        <v>11736367.629999999</v>
      </c>
    </row>
    <row r="570" spans="1:8" ht="91.7" hidden="1" outlineLevel="3" x14ac:dyDescent="0.25">
      <c r="A570" s="423" t="s">
        <v>11</v>
      </c>
      <c r="B570" s="425" t="s">
        <v>490</v>
      </c>
      <c r="C570" s="425" t="s">
        <v>117</v>
      </c>
      <c r="D570" s="425" t="s">
        <v>154</v>
      </c>
      <c r="E570" s="401" t="s">
        <v>12</v>
      </c>
      <c r="F570" s="402">
        <f>F571</f>
        <v>11374841.02</v>
      </c>
      <c r="G570" s="402">
        <f>G571</f>
        <v>10651744.629999999</v>
      </c>
    </row>
    <row r="571" spans="1:8" hidden="1" outlineLevel="3" x14ac:dyDescent="0.25">
      <c r="A571" s="423" t="s">
        <v>34</v>
      </c>
      <c r="B571" s="425" t="s">
        <v>490</v>
      </c>
      <c r="C571" s="425" t="s">
        <v>117</v>
      </c>
      <c r="D571" s="425" t="s">
        <v>154</v>
      </c>
      <c r="E571" s="401" t="s">
        <v>35</v>
      </c>
      <c r="F571" s="345">
        <f>15707287-4000000-332445.98</f>
        <v>11374841.02</v>
      </c>
      <c r="G571" s="345">
        <f>16743968-6092223.37</f>
        <v>10651744.629999999</v>
      </c>
    </row>
    <row r="572" spans="1:8" ht="36.700000000000003" hidden="1" outlineLevel="3" x14ac:dyDescent="0.25">
      <c r="A572" s="423" t="s">
        <v>15</v>
      </c>
      <c r="B572" s="425" t="s">
        <v>490</v>
      </c>
      <c r="C572" s="425" t="s">
        <v>117</v>
      </c>
      <c r="D572" s="425" t="s">
        <v>154</v>
      </c>
      <c r="E572" s="401" t="s">
        <v>16</v>
      </c>
      <c r="F572" s="402">
        <f>F573</f>
        <v>1354600</v>
      </c>
      <c r="G572" s="402">
        <f>G573</f>
        <v>1054600</v>
      </c>
    </row>
    <row r="573" spans="1:8" ht="36.700000000000003" hidden="1" outlineLevel="3" x14ac:dyDescent="0.25">
      <c r="A573" s="423" t="s">
        <v>17</v>
      </c>
      <c r="B573" s="425" t="s">
        <v>490</v>
      </c>
      <c r="C573" s="425" t="s">
        <v>117</v>
      </c>
      <c r="D573" s="425" t="s">
        <v>154</v>
      </c>
      <c r="E573" s="401" t="s">
        <v>18</v>
      </c>
      <c r="F573" s="345">
        <f>2554600-1200000</f>
        <v>1354600</v>
      </c>
      <c r="G573" s="345">
        <f>2554600-1500000</f>
        <v>1054600</v>
      </c>
    </row>
    <row r="574" spans="1:8" s="76" customFormat="1" hidden="1" outlineLevel="3" x14ac:dyDescent="0.25">
      <c r="A574" s="423" t="s">
        <v>19</v>
      </c>
      <c r="B574" s="425" t="s">
        <v>490</v>
      </c>
      <c r="C574" s="425" t="s">
        <v>117</v>
      </c>
      <c r="D574" s="425" t="s">
        <v>154</v>
      </c>
      <c r="E574" s="401" t="s">
        <v>20</v>
      </c>
      <c r="F574" s="402">
        <f>F575</f>
        <v>30751</v>
      </c>
      <c r="G574" s="402">
        <f>G575</f>
        <v>30023</v>
      </c>
      <c r="H574" s="75"/>
    </row>
    <row r="575" spans="1:8" hidden="1" outlineLevel="3" x14ac:dyDescent="0.25">
      <c r="A575" s="423" t="s">
        <v>21</v>
      </c>
      <c r="B575" s="425" t="s">
        <v>490</v>
      </c>
      <c r="C575" s="425" t="s">
        <v>117</v>
      </c>
      <c r="D575" s="425" t="s">
        <v>154</v>
      </c>
      <c r="E575" s="401" t="s">
        <v>22</v>
      </c>
      <c r="F575" s="345">
        <v>30751</v>
      </c>
      <c r="G575" s="345">
        <v>30023</v>
      </c>
    </row>
    <row r="576" spans="1:8" ht="23.3" hidden="1" customHeight="1" outlineLevel="3" x14ac:dyDescent="0.25">
      <c r="A576" s="423" t="s">
        <v>36</v>
      </c>
      <c r="B576" s="425" t="s">
        <v>490</v>
      </c>
      <c r="C576" s="425" t="s">
        <v>117</v>
      </c>
      <c r="D576" s="425" t="s">
        <v>155</v>
      </c>
      <c r="E576" s="401" t="s">
        <v>6</v>
      </c>
      <c r="F576" s="402">
        <f>F577</f>
        <v>1954206</v>
      </c>
      <c r="G576" s="402">
        <f>G577</f>
        <v>2135983</v>
      </c>
    </row>
    <row r="577" spans="1:7" ht="45.7" hidden="1" customHeight="1" outlineLevel="3" x14ac:dyDescent="0.25">
      <c r="A577" s="423" t="s">
        <v>37</v>
      </c>
      <c r="B577" s="425" t="s">
        <v>490</v>
      </c>
      <c r="C577" s="425" t="s">
        <v>117</v>
      </c>
      <c r="D577" s="425" t="s">
        <v>155</v>
      </c>
      <c r="E577" s="401" t="s">
        <v>38</v>
      </c>
      <c r="F577" s="402">
        <f>F578</f>
        <v>1954206</v>
      </c>
      <c r="G577" s="402">
        <f>G578</f>
        <v>2135983</v>
      </c>
    </row>
    <row r="578" spans="1:7" ht="22.75" hidden="1" customHeight="1" outlineLevel="3" x14ac:dyDescent="0.25">
      <c r="A578" s="423" t="s">
        <v>39</v>
      </c>
      <c r="B578" s="425" t="s">
        <v>490</v>
      </c>
      <c r="C578" s="425" t="s">
        <v>117</v>
      </c>
      <c r="D578" s="425" t="s">
        <v>155</v>
      </c>
      <c r="E578" s="401" t="s">
        <v>40</v>
      </c>
      <c r="F578" s="345">
        <f>3054206-1100000</f>
        <v>1954206</v>
      </c>
      <c r="G578" s="345">
        <f>3235983-1100000</f>
        <v>2135983</v>
      </c>
    </row>
    <row r="579" spans="1:7" ht="69.45" hidden="1" customHeight="1" outlineLevel="3" x14ac:dyDescent="0.25">
      <c r="A579" s="423" t="s">
        <v>1040</v>
      </c>
      <c r="B579" s="425" t="s">
        <v>490</v>
      </c>
      <c r="C579" s="425" t="s">
        <v>117</v>
      </c>
      <c r="D579" s="425" t="s">
        <v>146</v>
      </c>
      <c r="E579" s="425" t="s">
        <v>6</v>
      </c>
      <c r="F579" s="345">
        <f t="shared" ref="F579:G584" si="39">F580</f>
        <v>2715120</v>
      </c>
      <c r="G579" s="345">
        <f t="shared" si="39"/>
        <v>2715120</v>
      </c>
    </row>
    <row r="580" spans="1:7" ht="40.75" hidden="1" customHeight="1" outlineLevel="3" x14ac:dyDescent="0.25">
      <c r="A580" s="423" t="s">
        <v>267</v>
      </c>
      <c r="B580" s="425" t="s">
        <v>490</v>
      </c>
      <c r="C580" s="425" t="s">
        <v>117</v>
      </c>
      <c r="D580" s="425" t="s">
        <v>220</v>
      </c>
      <c r="E580" s="425" t="s">
        <v>6</v>
      </c>
      <c r="F580" s="345">
        <f t="shared" si="39"/>
        <v>2715120</v>
      </c>
      <c r="G580" s="345">
        <f t="shared" si="39"/>
        <v>2715120</v>
      </c>
    </row>
    <row r="581" spans="1:7" ht="68.599999999999994" hidden="1" customHeight="1" outlineLevel="3" x14ac:dyDescent="0.25">
      <c r="A581" s="31" t="s">
        <v>937</v>
      </c>
      <c r="B581" s="425" t="s">
        <v>490</v>
      </c>
      <c r="C581" s="425" t="s">
        <v>117</v>
      </c>
      <c r="D581" s="425" t="s">
        <v>152</v>
      </c>
      <c r="E581" s="425" t="s">
        <v>6</v>
      </c>
      <c r="F581" s="345">
        <f>F584+F582+F586</f>
        <v>2715120</v>
      </c>
      <c r="G581" s="345">
        <f>G584+G582+G586</f>
        <v>2715120</v>
      </c>
    </row>
    <row r="582" spans="1:7" ht="32.450000000000003" hidden="1" customHeight="1" outlineLevel="3" x14ac:dyDescent="0.25">
      <c r="A582" s="423" t="s">
        <v>15</v>
      </c>
      <c r="B582" s="425" t="s">
        <v>490</v>
      </c>
      <c r="C582" s="425" t="s">
        <v>117</v>
      </c>
      <c r="D582" s="425" t="s">
        <v>152</v>
      </c>
      <c r="E582" s="425" t="s">
        <v>16</v>
      </c>
      <c r="F582" s="345">
        <f>F583</f>
        <v>2000</v>
      </c>
      <c r="G582" s="345">
        <f>G583</f>
        <v>2000</v>
      </c>
    </row>
    <row r="583" spans="1:7" ht="33.450000000000003" hidden="1" customHeight="1" outlineLevel="3" x14ac:dyDescent="0.25">
      <c r="A583" s="423" t="s">
        <v>17</v>
      </c>
      <c r="B583" s="425" t="s">
        <v>490</v>
      </c>
      <c r="C583" s="425" t="s">
        <v>117</v>
      </c>
      <c r="D583" s="425" t="s">
        <v>152</v>
      </c>
      <c r="E583" s="425" t="s">
        <v>18</v>
      </c>
      <c r="F583" s="345">
        <v>2000</v>
      </c>
      <c r="G583" s="345">
        <v>2000</v>
      </c>
    </row>
    <row r="584" spans="1:7" ht="22.75" hidden="1" customHeight="1" outlineLevel="3" x14ac:dyDescent="0.25">
      <c r="A584" s="423" t="s">
        <v>90</v>
      </c>
      <c r="B584" s="425" t="s">
        <v>490</v>
      </c>
      <c r="C584" s="425" t="s">
        <v>117</v>
      </c>
      <c r="D584" s="425" t="s">
        <v>152</v>
      </c>
      <c r="E584" s="425" t="s">
        <v>91</v>
      </c>
      <c r="F584" s="345">
        <f t="shared" si="39"/>
        <v>320000</v>
      </c>
      <c r="G584" s="345">
        <f t="shared" si="39"/>
        <v>320000</v>
      </c>
    </row>
    <row r="585" spans="1:7" ht="22.75" hidden="1" customHeight="1" outlineLevel="3" x14ac:dyDescent="0.25">
      <c r="A585" s="423" t="s">
        <v>97</v>
      </c>
      <c r="B585" s="425" t="s">
        <v>490</v>
      </c>
      <c r="C585" s="425" t="s">
        <v>117</v>
      </c>
      <c r="D585" s="425" t="s">
        <v>152</v>
      </c>
      <c r="E585" s="425" t="s">
        <v>98</v>
      </c>
      <c r="F585" s="345">
        <v>320000</v>
      </c>
      <c r="G585" s="345">
        <v>320000</v>
      </c>
    </row>
    <row r="586" spans="1:7" ht="22.75" hidden="1" customHeight="1" outlineLevel="3" x14ac:dyDescent="0.25">
      <c r="A586" s="423" t="s">
        <v>37</v>
      </c>
      <c r="B586" s="425" t="s">
        <v>490</v>
      </c>
      <c r="C586" s="425" t="s">
        <v>117</v>
      </c>
      <c r="D586" s="425" t="s">
        <v>152</v>
      </c>
      <c r="E586" s="425" t="s">
        <v>38</v>
      </c>
      <c r="F586" s="345">
        <f>F587</f>
        <v>2393120</v>
      </c>
      <c r="G586" s="345">
        <f>G587</f>
        <v>2393120</v>
      </c>
    </row>
    <row r="587" spans="1:7" ht="22.75" hidden="1" customHeight="1" outlineLevel="3" x14ac:dyDescent="0.25">
      <c r="A587" s="423" t="s">
        <v>74</v>
      </c>
      <c r="B587" s="425" t="s">
        <v>490</v>
      </c>
      <c r="C587" s="425" t="s">
        <v>117</v>
      </c>
      <c r="D587" s="425" t="s">
        <v>152</v>
      </c>
      <c r="E587" s="425" t="s">
        <v>75</v>
      </c>
      <c r="F587" s="345">
        <v>2393120</v>
      </c>
      <c r="G587" s="345">
        <v>2393120</v>
      </c>
    </row>
    <row r="588" spans="1:7" ht="40.75" hidden="1" customHeight="1" outlineLevel="3" x14ac:dyDescent="0.25">
      <c r="A588" s="45" t="s">
        <v>85</v>
      </c>
      <c r="B588" s="387" t="s">
        <v>490</v>
      </c>
      <c r="C588" s="387" t="s">
        <v>86</v>
      </c>
      <c r="D588" s="387" t="s">
        <v>126</v>
      </c>
      <c r="E588" s="403" t="s">
        <v>6</v>
      </c>
      <c r="F588" s="347">
        <f>F589+F595</f>
        <v>5391437</v>
      </c>
      <c r="G588" s="347">
        <f>G589+G595</f>
        <v>4244892</v>
      </c>
    </row>
    <row r="589" spans="1:7" hidden="1" outlineLevel="3" x14ac:dyDescent="0.25">
      <c r="A589" s="423" t="s">
        <v>94</v>
      </c>
      <c r="B589" s="425" t="s">
        <v>490</v>
      </c>
      <c r="C589" s="425" t="s">
        <v>95</v>
      </c>
      <c r="D589" s="425" t="s">
        <v>126</v>
      </c>
      <c r="E589" s="401" t="s">
        <v>6</v>
      </c>
      <c r="F589" s="402">
        <f t="shared" ref="F589:G593" si="40">F590</f>
        <v>1310000</v>
      </c>
      <c r="G589" s="402">
        <f t="shared" si="40"/>
        <v>0</v>
      </c>
    </row>
    <row r="590" spans="1:7" ht="55.05" hidden="1" outlineLevel="3" x14ac:dyDescent="0.25">
      <c r="A590" s="45" t="s">
        <v>1169</v>
      </c>
      <c r="B590" s="387" t="s">
        <v>490</v>
      </c>
      <c r="C590" s="387" t="s">
        <v>95</v>
      </c>
      <c r="D590" s="387" t="s">
        <v>138</v>
      </c>
      <c r="E590" s="403" t="s">
        <v>6</v>
      </c>
      <c r="F590" s="347">
        <f t="shared" si="40"/>
        <v>1310000</v>
      </c>
      <c r="G590" s="347">
        <f t="shared" si="40"/>
        <v>0</v>
      </c>
    </row>
    <row r="591" spans="1:7" hidden="1" outlineLevel="3" x14ac:dyDescent="0.25">
      <c r="A591" s="423" t="s">
        <v>886</v>
      </c>
      <c r="B591" s="425" t="s">
        <v>490</v>
      </c>
      <c r="C591" s="425" t="s">
        <v>95</v>
      </c>
      <c r="D591" s="425" t="s">
        <v>667</v>
      </c>
      <c r="E591" s="401" t="s">
        <v>6</v>
      </c>
      <c r="F591" s="402">
        <f t="shared" si="40"/>
        <v>1310000</v>
      </c>
      <c r="G591" s="402">
        <f t="shared" si="40"/>
        <v>0</v>
      </c>
    </row>
    <row r="592" spans="1:7" ht="73.400000000000006" hidden="1" outlineLevel="3" x14ac:dyDescent="0.25">
      <c r="A592" s="31" t="s">
        <v>941</v>
      </c>
      <c r="B592" s="425" t="s">
        <v>490</v>
      </c>
      <c r="C592" s="425" t="s">
        <v>95</v>
      </c>
      <c r="D592" s="425" t="s">
        <v>668</v>
      </c>
      <c r="E592" s="401" t="s">
        <v>6</v>
      </c>
      <c r="F592" s="402">
        <f t="shared" si="40"/>
        <v>1310000</v>
      </c>
      <c r="G592" s="402">
        <f t="shared" si="40"/>
        <v>0</v>
      </c>
    </row>
    <row r="593" spans="1:8" ht="28.55" hidden="1" customHeight="1" outlineLevel="3" x14ac:dyDescent="0.25">
      <c r="A593" s="423" t="s">
        <v>90</v>
      </c>
      <c r="B593" s="425" t="s">
        <v>490</v>
      </c>
      <c r="C593" s="425" t="s">
        <v>95</v>
      </c>
      <c r="D593" s="425" t="s">
        <v>668</v>
      </c>
      <c r="E593" s="401" t="s">
        <v>91</v>
      </c>
      <c r="F593" s="402">
        <f t="shared" si="40"/>
        <v>1310000</v>
      </c>
      <c r="G593" s="402">
        <f t="shared" si="40"/>
        <v>0</v>
      </c>
    </row>
    <row r="594" spans="1:8" ht="47.75" hidden="1" customHeight="1" outlineLevel="3" x14ac:dyDescent="0.25">
      <c r="A594" s="423" t="s">
        <v>97</v>
      </c>
      <c r="B594" s="425" t="s">
        <v>490</v>
      </c>
      <c r="C594" s="425" t="s">
        <v>95</v>
      </c>
      <c r="D594" s="425" t="s">
        <v>668</v>
      </c>
      <c r="E594" s="401" t="s">
        <v>98</v>
      </c>
      <c r="F594" s="345">
        <v>1310000</v>
      </c>
      <c r="G594" s="345">
        <v>0</v>
      </c>
    </row>
    <row r="595" spans="1:8" hidden="1" outlineLevel="3" x14ac:dyDescent="0.25">
      <c r="A595" s="423" t="s">
        <v>123</v>
      </c>
      <c r="B595" s="425" t="s">
        <v>490</v>
      </c>
      <c r="C595" s="425" t="s">
        <v>124</v>
      </c>
      <c r="D595" s="425" t="s">
        <v>126</v>
      </c>
      <c r="E595" s="401" t="s">
        <v>6</v>
      </c>
      <c r="F595" s="402">
        <f t="shared" ref="F595:G598" si="41">F596</f>
        <v>4081437</v>
      </c>
      <c r="G595" s="402">
        <f t="shared" si="41"/>
        <v>4244892</v>
      </c>
    </row>
    <row r="596" spans="1:8" ht="39.75" hidden="1" customHeight="1" outlineLevel="3" x14ac:dyDescent="0.25">
      <c r="A596" s="45" t="s">
        <v>1170</v>
      </c>
      <c r="B596" s="387" t="s">
        <v>490</v>
      </c>
      <c r="C596" s="387" t="s">
        <v>124</v>
      </c>
      <c r="D596" s="387" t="s">
        <v>138</v>
      </c>
      <c r="E596" s="403" t="s">
        <v>6</v>
      </c>
      <c r="F596" s="347">
        <f t="shared" si="41"/>
        <v>4081437</v>
      </c>
      <c r="G596" s="347">
        <f t="shared" si="41"/>
        <v>4244892</v>
      </c>
    </row>
    <row r="597" spans="1:8" ht="37.4" hidden="1" customHeight="1" outlineLevel="3" x14ac:dyDescent="0.25">
      <c r="A597" s="423" t="s">
        <v>1038</v>
      </c>
      <c r="B597" s="425" t="s">
        <v>490</v>
      </c>
      <c r="C597" s="425" t="s">
        <v>124</v>
      </c>
      <c r="D597" s="425" t="s">
        <v>139</v>
      </c>
      <c r="E597" s="401" t="s">
        <v>6</v>
      </c>
      <c r="F597" s="402">
        <f t="shared" si="41"/>
        <v>4081437</v>
      </c>
      <c r="G597" s="402">
        <f t="shared" si="41"/>
        <v>4244892</v>
      </c>
    </row>
    <row r="598" spans="1:8" ht="36.700000000000003" hidden="1" outlineLevel="3" x14ac:dyDescent="0.25">
      <c r="A598" s="423" t="s">
        <v>202</v>
      </c>
      <c r="B598" s="425" t="s">
        <v>490</v>
      </c>
      <c r="C598" s="425" t="s">
        <v>124</v>
      </c>
      <c r="D598" s="425" t="s">
        <v>231</v>
      </c>
      <c r="E598" s="401" t="s">
        <v>6</v>
      </c>
      <c r="F598" s="402">
        <f t="shared" si="41"/>
        <v>4081437</v>
      </c>
      <c r="G598" s="402">
        <f t="shared" si="41"/>
        <v>4244892</v>
      </c>
    </row>
    <row r="599" spans="1:8" s="2" customFormat="1" ht="103.75" hidden="1" customHeight="1" x14ac:dyDescent="0.25">
      <c r="A599" s="31" t="s">
        <v>938</v>
      </c>
      <c r="B599" s="425" t="s">
        <v>490</v>
      </c>
      <c r="C599" s="425" t="s">
        <v>124</v>
      </c>
      <c r="D599" s="425" t="s">
        <v>156</v>
      </c>
      <c r="E599" s="401" t="s">
        <v>6</v>
      </c>
      <c r="F599" s="402">
        <f>F602+F600</f>
        <v>4081437</v>
      </c>
      <c r="G599" s="402">
        <f>G602+G600</f>
        <v>4244892</v>
      </c>
      <c r="H599" s="143"/>
    </row>
    <row r="600" spans="1:8" s="2" customFormat="1" ht="27.2" hidden="1" customHeight="1" x14ac:dyDescent="0.25">
      <c r="A600" s="423" t="s">
        <v>15</v>
      </c>
      <c r="B600" s="425" t="s">
        <v>490</v>
      </c>
      <c r="C600" s="425" t="s">
        <v>124</v>
      </c>
      <c r="D600" s="425" t="s">
        <v>156</v>
      </c>
      <c r="E600" s="425" t="s">
        <v>16</v>
      </c>
      <c r="F600" s="402">
        <f>F601</f>
        <v>30000</v>
      </c>
      <c r="G600" s="402">
        <f>G601</f>
        <v>30000</v>
      </c>
      <c r="H600" s="143"/>
    </row>
    <row r="601" spans="1:8" s="2" customFormat="1" ht="27.2" hidden="1" customHeight="1" x14ac:dyDescent="0.25">
      <c r="A601" s="423" t="s">
        <v>17</v>
      </c>
      <c r="B601" s="425" t="s">
        <v>490</v>
      </c>
      <c r="C601" s="425" t="s">
        <v>124</v>
      </c>
      <c r="D601" s="425" t="s">
        <v>156</v>
      </c>
      <c r="E601" s="425" t="s">
        <v>18</v>
      </c>
      <c r="F601" s="402">
        <v>30000</v>
      </c>
      <c r="G601" s="402">
        <v>30000</v>
      </c>
      <c r="H601" s="143"/>
    </row>
    <row r="602" spans="1:8" s="2" customFormat="1" ht="29.25" hidden="1" customHeight="1" x14ac:dyDescent="0.25">
      <c r="A602" s="423" t="s">
        <v>90</v>
      </c>
      <c r="B602" s="425" t="s">
        <v>490</v>
      </c>
      <c r="C602" s="425" t="s">
        <v>124</v>
      </c>
      <c r="D602" s="425" t="s">
        <v>156</v>
      </c>
      <c r="E602" s="401" t="s">
        <v>91</v>
      </c>
      <c r="F602" s="402">
        <f>F603</f>
        <v>4051437</v>
      </c>
      <c r="G602" s="402">
        <f>G603</f>
        <v>4214892</v>
      </c>
      <c r="H602" s="143"/>
    </row>
    <row r="603" spans="1:8" s="2" customFormat="1" ht="40.1" hidden="1" customHeight="1" x14ac:dyDescent="0.25">
      <c r="A603" s="423" t="s">
        <v>92</v>
      </c>
      <c r="B603" s="425" t="s">
        <v>490</v>
      </c>
      <c r="C603" s="425" t="s">
        <v>124</v>
      </c>
      <c r="D603" s="425" t="s">
        <v>156</v>
      </c>
      <c r="E603" s="401" t="s">
        <v>93</v>
      </c>
      <c r="F603" s="345">
        <v>4051437</v>
      </c>
      <c r="G603" s="345">
        <v>4214892</v>
      </c>
      <c r="H603" s="143"/>
    </row>
    <row r="604" spans="1:8" s="2" customFormat="1" ht="19.55" hidden="1" customHeight="1" x14ac:dyDescent="0.25">
      <c r="A604" s="45" t="s">
        <v>100</v>
      </c>
      <c r="B604" s="425" t="s">
        <v>490</v>
      </c>
      <c r="C604" s="425" t="s">
        <v>101</v>
      </c>
      <c r="D604" s="387" t="s">
        <v>126</v>
      </c>
      <c r="E604" s="401" t="s">
        <v>6</v>
      </c>
      <c r="F604" s="345">
        <f t="shared" ref="F604:G606" si="42">F605</f>
        <v>0</v>
      </c>
      <c r="G604" s="345">
        <f t="shared" si="42"/>
        <v>0</v>
      </c>
      <c r="H604" s="143"/>
    </row>
    <row r="605" spans="1:8" ht="21.25" hidden="1" customHeight="1" x14ac:dyDescent="0.25">
      <c r="A605" s="423" t="s">
        <v>291</v>
      </c>
      <c r="B605" s="425" t="s">
        <v>490</v>
      </c>
      <c r="C605" s="425" t="s">
        <v>290</v>
      </c>
      <c r="D605" s="387" t="s">
        <v>126</v>
      </c>
      <c r="E605" s="401" t="s">
        <v>6</v>
      </c>
      <c r="F605" s="345">
        <f t="shared" si="42"/>
        <v>0</v>
      </c>
      <c r="G605" s="345">
        <f t="shared" si="42"/>
        <v>0</v>
      </c>
    </row>
    <row r="606" spans="1:8" ht="57.75" hidden="1" customHeight="1" x14ac:dyDescent="0.25">
      <c r="A606" s="45" t="s">
        <v>1171</v>
      </c>
      <c r="B606" s="425" t="s">
        <v>490</v>
      </c>
      <c r="C606" s="425" t="s">
        <v>290</v>
      </c>
      <c r="D606" s="387" t="s">
        <v>198</v>
      </c>
      <c r="E606" s="401" t="s">
        <v>6</v>
      </c>
      <c r="F606" s="345">
        <f t="shared" si="42"/>
        <v>0</v>
      </c>
      <c r="G606" s="345">
        <f t="shared" si="42"/>
        <v>0</v>
      </c>
    </row>
    <row r="607" spans="1:8" ht="58.75" hidden="1" customHeight="1" x14ac:dyDescent="0.25">
      <c r="A607" s="423" t="s">
        <v>1014</v>
      </c>
      <c r="B607" s="425" t="s">
        <v>490</v>
      </c>
      <c r="C607" s="425" t="s">
        <v>290</v>
      </c>
      <c r="D607" s="425" t="s">
        <v>608</v>
      </c>
      <c r="E607" s="401" t="s">
        <v>6</v>
      </c>
      <c r="F607" s="345">
        <v>0</v>
      </c>
      <c r="G607" s="345">
        <v>0</v>
      </c>
    </row>
    <row r="608" spans="1:8" s="67" customFormat="1" ht="36.700000000000003" hidden="1" x14ac:dyDescent="0.25">
      <c r="A608" s="78" t="s">
        <v>671</v>
      </c>
      <c r="B608" s="58">
        <v>959</v>
      </c>
      <c r="C608" s="396" t="s">
        <v>5</v>
      </c>
      <c r="D608" s="396" t="s">
        <v>126</v>
      </c>
      <c r="E608" s="396" t="s">
        <v>6</v>
      </c>
      <c r="F608" s="348">
        <f>F609</f>
        <v>1988849.3</v>
      </c>
      <c r="G608" s="348">
        <f t="shared" ref="G608:G609" si="43">G609</f>
        <v>2068382.88</v>
      </c>
    </row>
    <row r="609" spans="1:10" s="67" customFormat="1" hidden="1" x14ac:dyDescent="0.25">
      <c r="A609" s="423" t="s">
        <v>7</v>
      </c>
      <c r="B609" s="425" t="s">
        <v>672</v>
      </c>
      <c r="C609" s="425" t="s">
        <v>8</v>
      </c>
      <c r="D609" s="425" t="s">
        <v>126</v>
      </c>
      <c r="E609" s="425" t="s">
        <v>6</v>
      </c>
      <c r="F609" s="345">
        <f>F610</f>
        <v>1988849.3</v>
      </c>
      <c r="G609" s="345">
        <f t="shared" si="43"/>
        <v>2068382.88</v>
      </c>
    </row>
    <row r="610" spans="1:10" s="67" customFormat="1" ht="55.05" hidden="1" x14ac:dyDescent="0.25">
      <c r="A610" s="423" t="s">
        <v>9</v>
      </c>
      <c r="B610" s="425" t="s">
        <v>672</v>
      </c>
      <c r="C610" s="425" t="s">
        <v>10</v>
      </c>
      <c r="D610" s="425" t="s">
        <v>126</v>
      </c>
      <c r="E610" s="425" t="s">
        <v>6</v>
      </c>
      <c r="F610" s="402">
        <f>F611+F622+F627</f>
        <v>1988849.3</v>
      </c>
      <c r="G610" s="402">
        <f>G611+G622+G627</f>
        <v>2068382.88</v>
      </c>
    </row>
    <row r="611" spans="1:10" s="67" customFormat="1" ht="36.700000000000003" hidden="1" x14ac:dyDescent="0.25">
      <c r="A611" s="423" t="s">
        <v>132</v>
      </c>
      <c r="B611" s="425" t="s">
        <v>672</v>
      </c>
      <c r="C611" s="425" t="s">
        <v>10</v>
      </c>
      <c r="D611" s="425" t="s">
        <v>127</v>
      </c>
      <c r="E611" s="425" t="s">
        <v>6</v>
      </c>
      <c r="F611" s="402">
        <f>F612+F615</f>
        <v>1969089.3</v>
      </c>
      <c r="G611" s="402">
        <f>G612+G615</f>
        <v>2047832.88</v>
      </c>
    </row>
    <row r="612" spans="1:10" s="67" customFormat="1" hidden="1" x14ac:dyDescent="0.25">
      <c r="A612" s="423" t="s">
        <v>673</v>
      </c>
      <c r="B612" s="425" t="s">
        <v>672</v>
      </c>
      <c r="C612" s="425" t="s">
        <v>10</v>
      </c>
      <c r="D612" s="425" t="s">
        <v>143</v>
      </c>
      <c r="E612" s="425" t="s">
        <v>6</v>
      </c>
      <c r="F612" s="402">
        <f>F613</f>
        <v>1675704.33</v>
      </c>
      <c r="G612" s="402">
        <f>G613</f>
        <v>1742732.51</v>
      </c>
    </row>
    <row r="613" spans="1:10" s="67" customFormat="1" ht="91.7" hidden="1" x14ac:dyDescent="0.25">
      <c r="A613" s="423" t="s">
        <v>11</v>
      </c>
      <c r="B613" s="425" t="s">
        <v>672</v>
      </c>
      <c r="C613" s="425" t="s">
        <v>10</v>
      </c>
      <c r="D613" s="425" t="s">
        <v>143</v>
      </c>
      <c r="E613" s="425" t="s">
        <v>12</v>
      </c>
      <c r="F613" s="402">
        <f>F614</f>
        <v>1675704.33</v>
      </c>
      <c r="G613" s="402">
        <f>G614</f>
        <v>1742732.51</v>
      </c>
    </row>
    <row r="614" spans="1:10" s="67" customFormat="1" ht="36.700000000000003" hidden="1" x14ac:dyDescent="0.25">
      <c r="A614" s="423" t="s">
        <v>13</v>
      </c>
      <c r="B614" s="425" t="s">
        <v>672</v>
      </c>
      <c r="C614" s="425" t="s">
        <v>10</v>
      </c>
      <c r="D614" s="425" t="s">
        <v>143</v>
      </c>
      <c r="E614" s="425" t="s">
        <v>14</v>
      </c>
      <c r="F614" s="345">
        <v>1675704.33</v>
      </c>
      <c r="G614" s="345">
        <v>1742732.51</v>
      </c>
    </row>
    <row r="615" spans="1:10" s="67" customFormat="1" ht="55.05" hidden="1" x14ac:dyDescent="0.25">
      <c r="A615" s="423" t="s">
        <v>449</v>
      </c>
      <c r="B615" s="425" t="s">
        <v>672</v>
      </c>
      <c r="C615" s="425" t="s">
        <v>10</v>
      </c>
      <c r="D615" s="425" t="s">
        <v>450</v>
      </c>
      <c r="E615" s="425" t="s">
        <v>6</v>
      </c>
      <c r="F615" s="345">
        <f>F616+F618+F620</f>
        <v>293384.96999999997</v>
      </c>
      <c r="G615" s="345">
        <f>G616+G618+G620</f>
        <v>305100.37</v>
      </c>
    </row>
    <row r="616" spans="1:10" s="67" customFormat="1" ht="89.7" hidden="1" customHeight="1" x14ac:dyDescent="0.25">
      <c r="A616" s="423" t="s">
        <v>11</v>
      </c>
      <c r="B616" s="425" t="s">
        <v>672</v>
      </c>
      <c r="C616" s="425" t="s">
        <v>10</v>
      </c>
      <c r="D616" s="425" t="s">
        <v>450</v>
      </c>
      <c r="E616" s="425" t="s">
        <v>12</v>
      </c>
      <c r="F616" s="345">
        <f>F617</f>
        <v>229444.97</v>
      </c>
      <c r="G616" s="345">
        <f>G617</f>
        <v>238622.77</v>
      </c>
    </row>
    <row r="617" spans="1:10" s="67" customFormat="1" ht="36.700000000000003" hidden="1" x14ac:dyDescent="0.25">
      <c r="A617" s="423" t="s">
        <v>13</v>
      </c>
      <c r="B617" s="425" t="s">
        <v>672</v>
      </c>
      <c r="C617" s="425" t="s">
        <v>10</v>
      </c>
      <c r="D617" s="425" t="s">
        <v>450</v>
      </c>
      <c r="E617" s="425" t="s">
        <v>14</v>
      </c>
      <c r="F617" s="345">
        <v>229444.97</v>
      </c>
      <c r="G617" s="345">
        <v>238622.77</v>
      </c>
    </row>
    <row r="618" spans="1:10" s="67" customFormat="1" ht="36.700000000000003" hidden="1" x14ac:dyDescent="0.25">
      <c r="A618" s="423" t="s">
        <v>15</v>
      </c>
      <c r="B618" s="425" t="s">
        <v>672</v>
      </c>
      <c r="C618" s="425" t="s">
        <v>10</v>
      </c>
      <c r="D618" s="425" t="s">
        <v>450</v>
      </c>
      <c r="E618" s="425" t="s">
        <v>16</v>
      </c>
      <c r="F618" s="345">
        <f>F619</f>
        <v>63440</v>
      </c>
      <c r="G618" s="345">
        <f>G619</f>
        <v>65977.600000000006</v>
      </c>
    </row>
    <row r="619" spans="1:10" s="67" customFormat="1" ht="36.700000000000003" hidden="1" x14ac:dyDescent="0.25">
      <c r="A619" s="423" t="s">
        <v>17</v>
      </c>
      <c r="B619" s="425" t="s">
        <v>672</v>
      </c>
      <c r="C619" s="425" t="s">
        <v>10</v>
      </c>
      <c r="D619" s="425" t="s">
        <v>450</v>
      </c>
      <c r="E619" s="425" t="s">
        <v>18</v>
      </c>
      <c r="F619" s="345">
        <v>63440</v>
      </c>
      <c r="G619" s="345">
        <v>65977.600000000006</v>
      </c>
      <c r="I619" s="658"/>
      <c r="J619" s="658"/>
    </row>
    <row r="620" spans="1:10" s="67" customFormat="1" hidden="1" x14ac:dyDescent="0.25">
      <c r="A620" s="423" t="s">
        <v>19</v>
      </c>
      <c r="B620" s="425" t="s">
        <v>672</v>
      </c>
      <c r="C620" s="425" t="s">
        <v>10</v>
      </c>
      <c r="D620" s="425" t="s">
        <v>450</v>
      </c>
      <c r="E620" s="401" t="s">
        <v>20</v>
      </c>
      <c r="F620" s="345">
        <f>F621</f>
        <v>500</v>
      </c>
      <c r="G620" s="345">
        <f>G621</f>
        <v>500</v>
      </c>
      <c r="I620" s="635"/>
      <c r="J620" s="635"/>
    </row>
    <row r="621" spans="1:10" s="67" customFormat="1" hidden="1" x14ac:dyDescent="0.25">
      <c r="A621" s="423" t="s">
        <v>21</v>
      </c>
      <c r="B621" s="425" t="s">
        <v>672</v>
      </c>
      <c r="C621" s="425" t="s">
        <v>10</v>
      </c>
      <c r="D621" s="425" t="s">
        <v>450</v>
      </c>
      <c r="E621" s="401" t="s">
        <v>22</v>
      </c>
      <c r="F621" s="345">
        <v>500</v>
      </c>
      <c r="G621" s="345">
        <v>500</v>
      </c>
      <c r="I621" s="635"/>
      <c r="J621" s="635"/>
    </row>
    <row r="622" spans="1:10" s="67" customFormat="1" ht="55.05" hidden="1" x14ac:dyDescent="0.3">
      <c r="A622" s="45" t="s">
        <v>1149</v>
      </c>
      <c r="B622" s="387" t="s">
        <v>672</v>
      </c>
      <c r="C622" s="387" t="s">
        <v>24</v>
      </c>
      <c r="D622" s="409" t="s">
        <v>128</v>
      </c>
      <c r="E622" s="409" t="s">
        <v>6</v>
      </c>
      <c r="F622" s="345">
        <f t="shared" ref="F622:G625" si="44">F623</f>
        <v>10400</v>
      </c>
      <c r="G622" s="345">
        <f t="shared" si="44"/>
        <v>10816</v>
      </c>
      <c r="I622" s="635"/>
      <c r="J622" s="635"/>
    </row>
    <row r="623" spans="1:10" s="67" customFormat="1" ht="55.05" hidden="1" x14ac:dyDescent="0.3">
      <c r="A623" s="423" t="s">
        <v>729</v>
      </c>
      <c r="B623" s="425" t="s">
        <v>672</v>
      </c>
      <c r="C623" s="425" t="s">
        <v>24</v>
      </c>
      <c r="D623" s="391" t="s">
        <v>303</v>
      </c>
      <c r="E623" s="391" t="s">
        <v>6</v>
      </c>
      <c r="F623" s="345">
        <f t="shared" si="44"/>
        <v>10400</v>
      </c>
      <c r="G623" s="345">
        <f t="shared" si="44"/>
        <v>10816</v>
      </c>
      <c r="I623" s="635"/>
      <c r="J623" s="635"/>
    </row>
    <row r="624" spans="1:10" s="67" customFormat="1" hidden="1" x14ac:dyDescent="0.3">
      <c r="A624" s="423" t="s">
        <v>309</v>
      </c>
      <c r="B624" s="425" t="s">
        <v>672</v>
      </c>
      <c r="C624" s="425" t="s">
        <v>24</v>
      </c>
      <c r="D624" s="391" t="s">
        <v>304</v>
      </c>
      <c r="E624" s="391" t="s">
        <v>6</v>
      </c>
      <c r="F624" s="345">
        <f t="shared" si="44"/>
        <v>10400</v>
      </c>
      <c r="G624" s="345">
        <f t="shared" si="44"/>
        <v>10816</v>
      </c>
      <c r="I624" s="635"/>
      <c r="J624" s="635"/>
    </row>
    <row r="625" spans="1:10" s="67" customFormat="1" ht="36.700000000000003" hidden="1" x14ac:dyDescent="0.3">
      <c r="A625" s="423" t="s">
        <v>15</v>
      </c>
      <c r="B625" s="425" t="s">
        <v>672</v>
      </c>
      <c r="C625" s="425" t="s">
        <v>24</v>
      </c>
      <c r="D625" s="391" t="s">
        <v>304</v>
      </c>
      <c r="E625" s="391" t="s">
        <v>16</v>
      </c>
      <c r="F625" s="345">
        <f t="shared" si="44"/>
        <v>10400</v>
      </c>
      <c r="G625" s="345">
        <f t="shared" si="44"/>
        <v>10816</v>
      </c>
      <c r="I625" s="635"/>
      <c r="J625" s="635"/>
    </row>
    <row r="626" spans="1:10" s="67" customFormat="1" ht="36.700000000000003" hidden="1" x14ac:dyDescent="0.3">
      <c r="A626" s="423" t="s">
        <v>17</v>
      </c>
      <c r="B626" s="425" t="s">
        <v>672</v>
      </c>
      <c r="C626" s="425" t="s">
        <v>24</v>
      </c>
      <c r="D626" s="391" t="s">
        <v>304</v>
      </c>
      <c r="E626" s="425" t="s">
        <v>18</v>
      </c>
      <c r="F626" s="345">
        <v>10400</v>
      </c>
      <c r="G626" s="345">
        <v>10816</v>
      </c>
      <c r="I626" s="635"/>
      <c r="J626" s="635"/>
    </row>
    <row r="627" spans="1:10" s="67" customFormat="1" ht="55.05" hidden="1" x14ac:dyDescent="0.3">
      <c r="A627" s="45" t="s">
        <v>1150</v>
      </c>
      <c r="B627" s="387" t="s">
        <v>672</v>
      </c>
      <c r="C627" s="425" t="s">
        <v>24</v>
      </c>
      <c r="D627" s="409" t="s">
        <v>305</v>
      </c>
      <c r="E627" s="409" t="s">
        <v>6</v>
      </c>
      <c r="F627" s="345">
        <f t="shared" ref="F627:G630" si="45">F628</f>
        <v>9360</v>
      </c>
      <c r="G627" s="345">
        <f t="shared" si="45"/>
        <v>9734</v>
      </c>
      <c r="I627" s="635"/>
      <c r="J627" s="635"/>
    </row>
    <row r="628" spans="1:10" s="67" customFormat="1" ht="36.700000000000003" hidden="1" x14ac:dyDescent="0.3">
      <c r="A628" s="423" t="s">
        <v>245</v>
      </c>
      <c r="B628" s="425" t="s">
        <v>672</v>
      </c>
      <c r="C628" s="425" t="s">
        <v>24</v>
      </c>
      <c r="D628" s="391" t="s">
        <v>306</v>
      </c>
      <c r="E628" s="391" t="s">
        <v>6</v>
      </c>
      <c r="F628" s="345">
        <f t="shared" si="45"/>
        <v>9360</v>
      </c>
      <c r="G628" s="345">
        <f t="shared" si="45"/>
        <v>9734</v>
      </c>
      <c r="I628" s="635"/>
      <c r="J628" s="635"/>
    </row>
    <row r="629" spans="1:10" s="67" customFormat="1" ht="55.05" hidden="1" x14ac:dyDescent="0.3">
      <c r="A629" s="423" t="s">
        <v>25</v>
      </c>
      <c r="B629" s="425" t="s">
        <v>672</v>
      </c>
      <c r="C629" s="425" t="s">
        <v>24</v>
      </c>
      <c r="D629" s="391" t="s">
        <v>317</v>
      </c>
      <c r="E629" s="391" t="s">
        <v>6</v>
      </c>
      <c r="F629" s="345">
        <f t="shared" si="45"/>
        <v>9360</v>
      </c>
      <c r="G629" s="345">
        <f t="shared" si="45"/>
        <v>9734</v>
      </c>
      <c r="I629" s="635"/>
      <c r="J629" s="635"/>
    </row>
    <row r="630" spans="1:10" s="67" customFormat="1" ht="36.700000000000003" hidden="1" x14ac:dyDescent="0.3">
      <c r="A630" s="423" t="s">
        <v>15</v>
      </c>
      <c r="B630" s="425" t="s">
        <v>672</v>
      </c>
      <c r="C630" s="425" t="s">
        <v>24</v>
      </c>
      <c r="D630" s="391" t="s">
        <v>317</v>
      </c>
      <c r="E630" s="391" t="s">
        <v>16</v>
      </c>
      <c r="F630" s="345">
        <f t="shared" si="45"/>
        <v>9360</v>
      </c>
      <c r="G630" s="345">
        <f t="shared" si="45"/>
        <v>9734</v>
      </c>
      <c r="I630" s="635"/>
      <c r="J630" s="635"/>
    </row>
    <row r="631" spans="1:10" s="67" customFormat="1" ht="36.700000000000003" hidden="1" x14ac:dyDescent="0.3">
      <c r="A631" s="423" t="s">
        <v>17</v>
      </c>
      <c r="B631" s="425" t="s">
        <v>672</v>
      </c>
      <c r="C631" s="425" t="s">
        <v>24</v>
      </c>
      <c r="D631" s="391" t="s">
        <v>317</v>
      </c>
      <c r="E631" s="391" t="s">
        <v>18</v>
      </c>
      <c r="F631" s="345">
        <v>9360</v>
      </c>
      <c r="G631" s="345">
        <v>9734</v>
      </c>
      <c r="I631" s="635"/>
      <c r="J631" s="635"/>
    </row>
    <row r="632" spans="1:10" s="67" customFormat="1" hidden="1" x14ac:dyDescent="0.3">
      <c r="A632" s="79" t="s">
        <v>685</v>
      </c>
      <c r="B632" s="80"/>
      <c r="C632" s="80"/>
      <c r="D632" s="81"/>
      <c r="E632" s="80"/>
      <c r="F632" s="400">
        <f>F10+F32+F416+F443+F608</f>
        <v>1060587445.6499999</v>
      </c>
      <c r="G632" s="400">
        <f>G10+G32+G416+G443+G608</f>
        <v>1095413699.4000001</v>
      </c>
      <c r="I632" s="658"/>
      <c r="J632" s="658"/>
    </row>
    <row r="633" spans="1:10" s="67" customFormat="1" hidden="1" x14ac:dyDescent="0.3">
      <c r="A633" s="66"/>
      <c r="B633" s="3"/>
      <c r="C633" s="3"/>
      <c r="D633" s="82" t="s">
        <v>703</v>
      </c>
      <c r="E633" s="3"/>
      <c r="F633" s="349">
        <f>F638-F634</f>
        <v>419780996</v>
      </c>
      <c r="G633" s="349">
        <f>G638-G634</f>
        <v>423999996.00000012</v>
      </c>
    </row>
    <row r="634" spans="1:10" s="67" customFormat="1" hidden="1" x14ac:dyDescent="0.3">
      <c r="A634" s="66"/>
      <c r="B634" s="3"/>
      <c r="C634" s="3"/>
      <c r="D634" s="82" t="s">
        <v>492</v>
      </c>
      <c r="E634" s="3"/>
      <c r="F634" s="349">
        <f>F49+F134+F139+F142+F147+F150+F155+F160+F169+F190+F196+F210+F277+F285+F297+F333+F347+F364+F374+F380+F398+F452+F471+F481+F487+F490+F503+F510+F517+F520+F581+F592+F599-173500</f>
        <v>651300974.54999995</v>
      </c>
      <c r="G634" s="349">
        <f>G49+G134+G139+G142+G147+G150+G155+G160+G169+G190+G196+G210+G277+G285+G297+G333+G347+G364+G374+G380+G398+G452+G471+G481+G487+G490+G503+G510+G517+G520+G581+G592+G599-173500</f>
        <v>692613703.19999993</v>
      </c>
    </row>
    <row r="635" spans="1:10" s="67" customFormat="1" hidden="1" x14ac:dyDescent="0.3">
      <c r="A635" s="66"/>
      <c r="B635" s="3"/>
      <c r="C635" s="3"/>
      <c r="D635" s="82"/>
      <c r="E635" s="3"/>
      <c r="F635" s="349">
        <f>'прил 4'!C41+'прил 4'!C51+'прил 4'!C62</f>
        <v>651300974.54999995</v>
      </c>
      <c r="G635" s="349">
        <f>'прил 4'!D41+'прил 4'!D51+'прил 4'!D62</f>
        <v>692613703.19999993</v>
      </c>
    </row>
    <row r="636" spans="1:10" s="67" customFormat="1" hidden="1" x14ac:dyDescent="0.3">
      <c r="A636" s="66"/>
      <c r="B636" s="3"/>
      <c r="C636" s="3"/>
      <c r="D636" s="410" t="s">
        <v>704</v>
      </c>
      <c r="E636" s="3"/>
      <c r="F636" s="349">
        <f>F633*2.5%</f>
        <v>10494524.9</v>
      </c>
      <c r="G636" s="349">
        <f>G633*5%</f>
        <v>21199999.800000008</v>
      </c>
    </row>
    <row r="637" spans="1:10" s="67" customFormat="1" hidden="1" x14ac:dyDescent="0.3">
      <c r="A637" s="66"/>
      <c r="B637" s="3"/>
      <c r="C637" s="3"/>
      <c r="D637" s="410"/>
      <c r="E637" s="3"/>
      <c r="F637" s="349">
        <f>F632+F636</f>
        <v>1071081970.5499998</v>
      </c>
      <c r="G637" s="349">
        <f>G632+G636</f>
        <v>1116613699.2</v>
      </c>
    </row>
    <row r="638" spans="1:10" s="67" customFormat="1" hidden="1" x14ac:dyDescent="0.3">
      <c r="A638" s="66"/>
      <c r="B638" s="3"/>
      <c r="C638" s="3"/>
      <c r="D638" s="82"/>
      <c r="E638" s="3"/>
      <c r="F638" s="349">
        <f>'прил 4'!C65</f>
        <v>1071081970.55</v>
      </c>
      <c r="G638" s="349">
        <f>'прил 4'!D65</f>
        <v>1116613699.2</v>
      </c>
    </row>
    <row r="639" spans="1:10" s="67" customFormat="1" hidden="1" x14ac:dyDescent="0.3">
      <c r="A639" s="66"/>
      <c r="B639" s="3"/>
      <c r="C639" s="3"/>
      <c r="D639" s="82"/>
      <c r="E639" s="3"/>
      <c r="F639" s="606">
        <f>F638-F632-F636</f>
        <v>9.4994902610778809E-8</v>
      </c>
      <c r="G639" s="606">
        <f>G638-G632-G636</f>
        <v>-5.5879354476928711E-8</v>
      </c>
    </row>
    <row r="640" spans="1:10" s="67" customFormat="1" hidden="1" x14ac:dyDescent="0.3">
      <c r="A640" s="66"/>
      <c r="B640" s="3"/>
      <c r="C640" s="3"/>
      <c r="D640" s="82" t="s">
        <v>705</v>
      </c>
      <c r="E640" s="3"/>
      <c r="F640" s="349">
        <v>173500</v>
      </c>
      <c r="G640" s="349">
        <v>173500</v>
      </c>
    </row>
    <row r="641" spans="1:7" s="67" customFormat="1" hidden="1" x14ac:dyDescent="0.3">
      <c r="A641" s="66"/>
      <c r="B641" s="3"/>
      <c r="C641" s="3"/>
      <c r="D641" s="82" t="s">
        <v>706</v>
      </c>
      <c r="E641" s="3"/>
      <c r="F641" s="349"/>
      <c r="G641" s="344"/>
    </row>
    <row r="642" spans="1:7" s="67" customFormat="1" x14ac:dyDescent="0.3">
      <c r="A642" s="66"/>
      <c r="B642" s="3"/>
      <c r="C642" s="3"/>
      <c r="D642" s="82"/>
      <c r="E642" s="3"/>
      <c r="F642" s="349"/>
      <c r="G642" s="344"/>
    </row>
    <row r="643" spans="1:7" s="67" customFormat="1" x14ac:dyDescent="0.3">
      <c r="A643" s="66"/>
      <c r="B643" s="3"/>
      <c r="C643" s="3"/>
      <c r="D643" s="82"/>
      <c r="E643" s="3"/>
      <c r="F643" s="349">
        <f>F632+F636</f>
        <v>1071081970.5499998</v>
      </c>
      <c r="G643" s="349">
        <f>G632+G636</f>
        <v>1116613699.2</v>
      </c>
    </row>
    <row r="644" spans="1:7" s="67" customFormat="1" x14ac:dyDescent="0.3">
      <c r="A644" s="66"/>
      <c r="B644" s="3"/>
      <c r="C644" s="3"/>
      <c r="D644" s="82"/>
      <c r="E644" s="3"/>
      <c r="F644" s="349">
        <f>'прил 4'!C65</f>
        <v>1071081970.55</v>
      </c>
      <c r="G644" s="349">
        <f>'прил 4'!D65</f>
        <v>1116613699.2</v>
      </c>
    </row>
    <row r="645" spans="1:7" s="67" customFormat="1" x14ac:dyDescent="0.3">
      <c r="A645" s="66"/>
      <c r="B645" s="3"/>
      <c r="C645" s="3"/>
      <c r="D645" s="82"/>
      <c r="E645" s="3"/>
      <c r="F645" s="349">
        <f>F644-F643</f>
        <v>0</v>
      </c>
      <c r="G645" s="349">
        <f>G644-G643</f>
        <v>0</v>
      </c>
    </row>
    <row r="646" spans="1:7" s="67" customFormat="1" x14ac:dyDescent="0.3">
      <c r="A646" s="66"/>
      <c r="B646" s="3"/>
      <c r="C646" s="3"/>
      <c r="D646" s="82"/>
      <c r="E646" s="3"/>
      <c r="F646" s="349"/>
      <c r="G646" s="344"/>
    </row>
    <row r="647" spans="1:7" s="67" customFormat="1" x14ac:dyDescent="0.3">
      <c r="A647" s="66"/>
      <c r="B647" s="3"/>
      <c r="C647" s="3"/>
      <c r="D647" s="82"/>
      <c r="E647" s="3"/>
      <c r="F647" s="349"/>
      <c r="G647" s="344"/>
    </row>
    <row r="648" spans="1:7" s="67" customFormat="1" x14ac:dyDescent="0.3">
      <c r="A648" s="66"/>
      <c r="B648" s="3" t="s">
        <v>719</v>
      </c>
      <c r="C648" s="3"/>
      <c r="D648" s="82"/>
      <c r="E648" s="3"/>
      <c r="F648" s="349">
        <f>F355+F378+F603</f>
        <v>25179930.710000001</v>
      </c>
      <c r="G648" s="349">
        <f>G355+G378+G603</f>
        <v>26026786.02</v>
      </c>
    </row>
    <row r="649" spans="1:7" s="67" customFormat="1" x14ac:dyDescent="0.3">
      <c r="A649" s="66"/>
      <c r="B649" s="3"/>
      <c r="C649" s="3"/>
      <c r="D649" s="82"/>
      <c r="E649" s="3"/>
      <c r="F649" s="349"/>
      <c r="G649" s="344"/>
    </row>
    <row r="650" spans="1:7" s="67" customFormat="1" x14ac:dyDescent="0.3">
      <c r="A650" s="66"/>
      <c r="B650" s="3"/>
      <c r="C650" s="3"/>
      <c r="D650" s="82"/>
      <c r="E650" s="3"/>
      <c r="F650" s="349"/>
      <c r="G650" s="344"/>
    </row>
    <row r="655" spans="1:7" s="67" customFormat="1" x14ac:dyDescent="0.3">
      <c r="A655" s="66"/>
      <c r="B655" s="3" t="s">
        <v>598</v>
      </c>
      <c r="C655" s="3"/>
      <c r="D655" s="83"/>
      <c r="E655" s="3"/>
      <c r="F655" s="350"/>
      <c r="G655" s="349"/>
    </row>
    <row r="656" spans="1:7" s="67" customFormat="1" x14ac:dyDescent="0.3">
      <c r="A656" s="66"/>
      <c r="B656" s="3" t="s">
        <v>597</v>
      </c>
      <c r="C656" s="3"/>
      <c r="D656" s="83"/>
      <c r="E656" s="3"/>
      <c r="F656" s="350"/>
      <c r="G656" s="349"/>
    </row>
  </sheetData>
  <autoFilter ref="A9:WVG641">
    <filterColumn colId="3">
      <customFilters>
        <customFilter val="*13030"/>
      </customFilters>
    </filterColumn>
  </autoFilter>
  <mergeCells count="5">
    <mergeCell ref="I619:J619"/>
    <mergeCell ref="I632:J632"/>
    <mergeCell ref="A5:F5"/>
    <mergeCell ref="A6:F6"/>
    <mergeCell ref="A7:F7"/>
  </mergeCells>
  <pageMargins left="1.1811023622047243" right="0.39370078740157483" top="0.78740157480314965" bottom="0.78740157480314965" header="0.31496062992125984" footer="0.31496062992125984"/>
  <pageSetup paperSize="9" scale="59" orientation="portrait" r:id="rId1"/>
  <rowBreaks count="4" manualBreakCount="4">
    <brk id="344" max="6" man="1"/>
    <brk id="379" max="6" man="1"/>
    <brk id="441" max="6" man="1"/>
    <brk id="52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прил 1</vt:lpstr>
      <vt:lpstr>прил 2 </vt:lpstr>
      <vt:lpstr>прил 3 </vt:lpstr>
      <vt:lpstr>прил 4</vt:lpstr>
      <vt:lpstr>прил 5 </vt:lpstr>
      <vt:lpstr>прил 6 </vt:lpstr>
      <vt:lpstr>прил 7 </vt:lpstr>
      <vt:lpstr>прил 12</vt:lpstr>
      <vt:lpstr>прил 8</vt:lpstr>
      <vt:lpstr>прил 9 </vt:lpstr>
      <vt:lpstr>прил 10 </vt:lpstr>
      <vt:lpstr>прил 11</vt:lpstr>
      <vt:lpstr>прил 12 </vt:lpstr>
      <vt:lpstr>потребность 2023 (5)</vt:lpstr>
      <vt:lpstr>потребность 2024 1 (МБ)</vt:lpstr>
      <vt:lpstr>потребность 2024 проект (МБ)</vt:lpstr>
      <vt:lpstr>потребность 2024 проект весь</vt:lpstr>
      <vt:lpstr>Лист2</vt:lpstr>
      <vt:lpstr>'потребность 2023 (5)'!Область_печати</vt:lpstr>
      <vt:lpstr>'потребность 2024 1 (МБ)'!Область_печати</vt:lpstr>
      <vt:lpstr>'потребность 2024 проект (МБ)'!Область_печати</vt:lpstr>
      <vt:lpstr>'потребность 2024 проект весь'!Область_печати</vt:lpstr>
      <vt:lpstr>'прил 10 '!Область_печати</vt:lpstr>
      <vt:lpstr>'прил 11'!Область_печати</vt:lpstr>
      <vt:lpstr>'прил 12'!Область_печати</vt:lpstr>
      <vt:lpstr>'прил 12 '!Область_печати</vt:lpstr>
      <vt:lpstr>'прил 2 '!Область_печати</vt:lpstr>
      <vt:lpstr>'прил 3 '!Область_печати</vt:lpstr>
      <vt:lpstr>'прил 4'!Область_печати</vt:lpstr>
      <vt:lpstr>'прил 5 '!Область_печати</vt:lpstr>
      <vt:lpstr>'прил 6 '!Область_печати</vt:lpstr>
      <vt:lpstr>'прил 7 '!Область_печати</vt:lpstr>
      <vt:lpstr>'прил 8'!Область_печати</vt:lpstr>
      <vt:lpstr>'прил 9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2023-11-15T05:11:22Z</dcterms:modified>
</cp:coreProperties>
</file>