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890" yWindow="105" windowWidth="14805" windowHeight="8010" activeTab="1"/>
  </bookViews>
  <sheets>
    <sheet name="тепло" sheetId="2" r:id="rId1"/>
    <sheet name="ВСЕГО" sheetId="4" r:id="rId2"/>
    <sheet name=" ВС" sheetId="1" r:id="rId3"/>
    <sheet name="новокачалинск" sheetId="5" r:id="rId4"/>
    <sheet name="первомайское" sheetId="6" r:id="rId5"/>
    <sheet name="Троицкое" sheetId="7" r:id="rId6"/>
    <sheet name="октябрьское" sheetId="8" r:id="rId7"/>
    <sheet name="Майское" sheetId="9" r:id="rId8"/>
    <sheet name="Лист6" sheetId="10" r:id="rId9"/>
  </sheets>
  <definedNames>
    <definedName name="_xlnm.Print_Titles" localSheetId="2">' ВС'!$8:$11</definedName>
    <definedName name="_xlnm.Print_Titles" localSheetId="0">тепло!$6:$9</definedName>
    <definedName name="_xlnm.Print_Area" localSheetId="2">' ВС'!$B$1:$X$123</definedName>
    <definedName name="_xlnm.Print_Area" localSheetId="0">тепло!$A$1:$W$110</definedName>
  </definedNames>
  <calcPr calcId="145621"/>
</workbook>
</file>

<file path=xl/calcChain.xml><?xml version="1.0" encoding="utf-8"?>
<calcChain xmlns="http://schemas.openxmlformats.org/spreadsheetml/2006/main">
  <c r="W27" i="4" l="1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E103" i="4"/>
  <c r="E102" i="4"/>
  <c r="E101" i="4"/>
  <c r="E100" i="4"/>
  <c r="E99" i="4"/>
  <c r="E98" i="4"/>
  <c r="E97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G103" i="4"/>
  <c r="G102" i="4"/>
  <c r="G101" i="4"/>
  <c r="G100" i="4"/>
  <c r="G99" i="4"/>
  <c r="G98" i="4"/>
  <c r="G97" i="4"/>
  <c r="F102" i="4"/>
  <c r="F101" i="4"/>
  <c r="F97" i="4"/>
  <c r="F98" i="4"/>
  <c r="F99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3" i="4"/>
  <c r="E12" i="4"/>
  <c r="F31" i="4"/>
  <c r="H110" i="4"/>
  <c r="D110" i="4"/>
  <c r="B110" i="4"/>
  <c r="D108" i="4"/>
  <c r="D107" i="4"/>
  <c r="D106" i="4"/>
  <c r="D105" i="4"/>
  <c r="D104" i="4"/>
  <c r="B105" i="4"/>
  <c r="B104" i="4"/>
  <c r="D103" i="4"/>
  <c r="D102" i="4"/>
  <c r="D101" i="4"/>
  <c r="D100" i="4"/>
  <c r="D99" i="4"/>
  <c r="D98" i="4"/>
  <c r="D97" i="4"/>
  <c r="B103" i="4"/>
  <c r="B102" i="4"/>
  <c r="B101" i="4"/>
  <c r="B99" i="4"/>
  <c r="B98" i="4"/>
  <c r="B97" i="4"/>
  <c r="D95" i="4"/>
  <c r="D94" i="4"/>
  <c r="D93" i="4"/>
  <c r="D92" i="4"/>
  <c r="D90" i="4"/>
  <c r="D89" i="4"/>
  <c r="D88" i="4"/>
  <c r="D87" i="4"/>
  <c r="B94" i="4"/>
  <c r="B93" i="4"/>
  <c r="B92" i="4"/>
  <c r="B89" i="4"/>
  <c r="B88" i="4"/>
  <c r="B113" i="4" s="1"/>
  <c r="B87" i="4"/>
  <c r="B86" i="4"/>
  <c r="B85" i="4"/>
  <c r="B84" i="4"/>
  <c r="B83" i="4"/>
  <c r="D82" i="4"/>
  <c r="D81" i="4"/>
  <c r="D80" i="4"/>
  <c r="D79" i="4"/>
  <c r="D78" i="4"/>
  <c r="D77" i="4"/>
  <c r="B82" i="4"/>
  <c r="B81" i="4"/>
  <c r="B79" i="4"/>
  <c r="B80" i="4"/>
  <c r="B78" i="4"/>
  <c r="B77" i="4"/>
  <c r="D76" i="4"/>
  <c r="B76" i="4"/>
  <c r="D74" i="4"/>
  <c r="B75" i="4"/>
  <c r="D73" i="4"/>
  <c r="D72" i="4"/>
  <c r="D71" i="4"/>
  <c r="B73" i="4"/>
  <c r="B72" i="4"/>
  <c r="B71" i="4"/>
  <c r="D69" i="4" l="1"/>
  <c r="D68" i="4"/>
  <c r="D67" i="4"/>
  <c r="D66" i="4"/>
  <c r="B69" i="4"/>
  <c r="B68" i="4"/>
  <c r="B67" i="4"/>
  <c r="B66" i="4"/>
  <c r="D65" i="4"/>
  <c r="D64" i="4"/>
  <c r="D63" i="4"/>
  <c r="D62" i="4"/>
  <c r="B65" i="4"/>
  <c r="B64" i="4"/>
  <c r="B63" i="4"/>
  <c r="B62" i="4"/>
  <c r="B57" i="4"/>
  <c r="B56" i="4"/>
  <c r="B55" i="4"/>
  <c r="B54" i="4"/>
  <c r="D52" i="4"/>
  <c r="B52" i="4"/>
  <c r="D51" i="4"/>
  <c r="B51" i="4"/>
  <c r="D49" i="4"/>
  <c r="D48" i="4"/>
  <c r="D47" i="4"/>
  <c r="D46" i="4"/>
  <c r="B49" i="4"/>
  <c r="B48" i="4"/>
  <c r="B47" i="4"/>
  <c r="B46" i="4"/>
  <c r="D44" i="4"/>
  <c r="D43" i="4"/>
  <c r="B43" i="4"/>
  <c r="D39" i="4"/>
  <c r="D38" i="4"/>
  <c r="D37" i="4"/>
  <c r="D36" i="4"/>
  <c r="B41" i="4"/>
  <c r="B39" i="4"/>
  <c r="B38" i="4"/>
  <c r="B37" i="4"/>
  <c r="B36" i="4"/>
  <c r="D35" i="4"/>
  <c r="B35" i="4"/>
  <c r="D34" i="4"/>
  <c r="D33" i="4"/>
  <c r="B34" i="4"/>
  <c r="B33" i="4"/>
  <c r="B32" i="4"/>
  <c r="B31" i="4"/>
  <c r="B30" i="4"/>
  <c r="B29" i="4"/>
  <c r="B27" i="4"/>
  <c r="C112" i="4"/>
  <c r="C105" i="4"/>
  <c r="C104" i="4"/>
  <c r="C103" i="4"/>
  <c r="C102" i="4"/>
  <c r="C101" i="4"/>
  <c r="C99" i="4"/>
  <c r="C98" i="4"/>
  <c r="C97" i="4"/>
  <c r="C94" i="4"/>
  <c r="C93" i="4"/>
  <c r="C92" i="4"/>
  <c r="C89" i="4"/>
  <c r="C88" i="4"/>
  <c r="C87" i="4"/>
  <c r="C82" i="4"/>
  <c r="C81" i="4"/>
  <c r="C80" i="4"/>
  <c r="C79" i="4"/>
  <c r="C78" i="4"/>
  <c r="C77" i="4"/>
  <c r="C76" i="4"/>
  <c r="C73" i="4"/>
  <c r="C72" i="4"/>
  <c r="C71" i="4"/>
  <c r="C69" i="4"/>
  <c r="C68" i="4"/>
  <c r="C67" i="4"/>
  <c r="C66" i="4"/>
  <c r="C65" i="4"/>
  <c r="C64" i="4"/>
  <c r="C63" i="4"/>
  <c r="C62" i="4"/>
  <c r="C52" i="4"/>
  <c r="C51" i="4"/>
  <c r="C49" i="4"/>
  <c r="C48" i="4"/>
  <c r="C47" i="4"/>
  <c r="C46" i="4"/>
  <c r="C43" i="4"/>
  <c r="C39" i="4"/>
  <c r="C38" i="4"/>
  <c r="C37" i="4"/>
  <c r="C36" i="4"/>
  <c r="C35" i="4" s="1"/>
  <c r="C34" i="4"/>
  <c r="C33" i="4"/>
  <c r="D27" i="4"/>
  <c r="C27" i="4" s="1"/>
  <c r="D30" i="4"/>
  <c r="C30" i="4" s="1"/>
  <c r="D28" i="4"/>
  <c r="C28" i="4" s="1"/>
  <c r="B2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 s="1"/>
  <c r="B12" i="4" s="1"/>
  <c r="D26" i="4"/>
  <c r="C26" i="4" s="1"/>
  <c r="D25" i="4"/>
  <c r="C25" i="4" s="1"/>
  <c r="D23" i="4"/>
  <c r="C23" i="4" s="1"/>
  <c r="D18" i="4"/>
  <c r="C18" i="4" s="1"/>
  <c r="D17" i="4"/>
  <c r="C17" i="4" s="1"/>
  <c r="D16" i="4"/>
  <c r="C16" i="4" s="1"/>
  <c r="D24" i="4"/>
  <c r="C24" i="4" s="1"/>
  <c r="D22" i="4"/>
  <c r="C22" i="4" s="1"/>
  <c r="D21" i="4"/>
  <c r="C21" i="4" s="1"/>
  <c r="D20" i="4"/>
  <c r="C20" i="4" s="1"/>
  <c r="D19" i="4"/>
  <c r="C19" i="4" s="1"/>
  <c r="D15" i="4"/>
  <c r="C15" i="4" s="1"/>
  <c r="D14" i="4"/>
  <c r="C14" i="4" s="1"/>
  <c r="B108" i="4"/>
  <c r="C108" i="4" s="1"/>
  <c r="B107" i="4"/>
  <c r="C107" i="4" s="1"/>
  <c r="B106" i="4"/>
  <c r="C106" i="4" s="1"/>
  <c r="B100" i="4"/>
  <c r="C100" i="4" s="1"/>
  <c r="B95" i="4"/>
  <c r="C95" i="4" s="1"/>
  <c r="B74" i="4"/>
  <c r="C74" i="4" s="1"/>
  <c r="B70" i="4"/>
  <c r="B61" i="4"/>
  <c r="C61" i="4" s="1"/>
  <c r="B59" i="4"/>
  <c r="B58" i="4"/>
  <c r="B53" i="4"/>
  <c r="B50" i="4"/>
  <c r="B45" i="4"/>
  <c r="B44" i="4"/>
  <c r="C44" i="4" s="1"/>
  <c r="B42" i="4"/>
  <c r="B40" i="4"/>
  <c r="B111" i="4"/>
  <c r="D109" i="4"/>
  <c r="D96" i="4"/>
  <c r="D113" i="4"/>
  <c r="D86" i="4"/>
  <c r="C86" i="4" s="1"/>
  <c r="D85" i="4"/>
  <c r="C85" i="4" s="1"/>
  <c r="D84" i="4"/>
  <c r="C84" i="4" s="1"/>
  <c r="D83" i="4"/>
  <c r="C83" i="4" s="1"/>
  <c r="D75" i="4"/>
  <c r="C75" i="4" s="1"/>
  <c r="D70" i="4"/>
  <c r="C70" i="4" s="1"/>
  <c r="D59" i="4"/>
  <c r="C59" i="4" s="1"/>
  <c r="D58" i="4"/>
  <c r="C58" i="4" s="1"/>
  <c r="D57" i="4"/>
  <c r="C57" i="4" s="1"/>
  <c r="D56" i="4"/>
  <c r="C56" i="4" s="1"/>
  <c r="D55" i="4"/>
  <c r="C55" i="4" s="1"/>
  <c r="D54" i="4"/>
  <c r="C54" i="4" s="1"/>
  <c r="D53" i="4"/>
  <c r="C53" i="4" s="1"/>
  <c r="D50" i="4"/>
  <c r="C50" i="4" s="1"/>
  <c r="D45" i="4"/>
  <c r="C45" i="4" s="1"/>
  <c r="D42" i="4"/>
  <c r="C42" i="4" s="1"/>
  <c r="D41" i="4"/>
  <c r="C41" i="4" s="1"/>
  <c r="D40" i="4"/>
  <c r="C40" i="4" s="1"/>
  <c r="D32" i="4"/>
  <c r="C32" i="4" s="1"/>
  <c r="D31" i="4"/>
  <c r="C31" i="4" s="1"/>
  <c r="D29" i="4"/>
  <c r="C29" i="4" s="1"/>
  <c r="J112" i="4"/>
  <c r="U57" i="1"/>
  <c r="W89" i="1"/>
  <c r="V89" i="1"/>
  <c r="U89" i="1"/>
  <c r="R89" i="1"/>
  <c r="Q89" i="1"/>
  <c r="P89" i="1"/>
  <c r="M89" i="1"/>
  <c r="L89" i="1"/>
  <c r="K89" i="1"/>
  <c r="I89" i="1"/>
  <c r="H89" i="1"/>
  <c r="G88" i="1"/>
  <c r="G89" i="1"/>
  <c r="W41" i="1"/>
  <c r="V41" i="1"/>
  <c r="U41" i="1"/>
  <c r="R41" i="1"/>
  <c r="Q41" i="1"/>
  <c r="P41" i="1"/>
  <c r="M41" i="1"/>
  <c r="L41" i="1"/>
  <c r="K41" i="1"/>
  <c r="I41" i="1"/>
  <c r="H41" i="1"/>
  <c r="G41" i="1"/>
  <c r="D13" i="4" l="1"/>
  <c r="C110" i="4"/>
  <c r="C13" i="4" l="1"/>
  <c r="D12" i="4"/>
  <c r="C12" i="4" s="1"/>
  <c r="U112" i="1"/>
  <c r="W112" i="1"/>
  <c r="V112" i="1"/>
  <c r="R112" i="1"/>
  <c r="Q112" i="1"/>
  <c r="P112" i="1"/>
  <c r="M112" i="1"/>
  <c r="L112" i="1"/>
  <c r="K112" i="1"/>
  <c r="I112" i="1"/>
  <c r="H112" i="1"/>
  <c r="G112" i="1"/>
  <c r="B19" i="2"/>
  <c r="C19" i="2" s="1"/>
  <c r="B89" i="2"/>
  <c r="B85" i="2"/>
  <c r="C18" i="2"/>
  <c r="C17" i="2"/>
  <c r="B16" i="2"/>
  <c r="C60" i="1" l="1"/>
  <c r="C101" i="1"/>
  <c r="C98" i="1"/>
  <c r="D82" i="1"/>
  <c r="A49" i="1"/>
  <c r="A48" i="1"/>
  <c r="A37" i="1"/>
  <c r="A38" i="1" s="1"/>
  <c r="W23" i="1"/>
  <c r="V23" i="1"/>
  <c r="U23" i="1"/>
  <c r="R23" i="1"/>
  <c r="Q23" i="1"/>
  <c r="P23" i="1"/>
  <c r="M23" i="1"/>
  <c r="L23" i="1"/>
  <c r="K23" i="1"/>
  <c r="I23" i="1"/>
  <c r="H23" i="1"/>
  <c r="G23" i="1"/>
  <c r="W102" i="1"/>
  <c r="V102" i="1"/>
  <c r="U102" i="1"/>
  <c r="R102" i="1"/>
  <c r="Q102" i="1"/>
  <c r="P102" i="1"/>
  <c r="C21" i="1"/>
  <c r="C12" i="1"/>
  <c r="H102" i="4" l="1"/>
  <c r="H100" i="4"/>
  <c r="H98" i="4" s="1"/>
  <c r="X109" i="1" l="1"/>
  <c r="X108" i="1"/>
  <c r="X107" i="1"/>
  <c r="X106" i="1"/>
  <c r="X105" i="1"/>
  <c r="X103" i="1"/>
  <c r="X102" i="1"/>
  <c r="X100" i="1"/>
  <c r="X99" i="1"/>
  <c r="X96" i="1"/>
  <c r="X91" i="1"/>
  <c r="X90" i="1"/>
  <c r="X86" i="1"/>
  <c r="X85" i="1"/>
  <c r="X84" i="1"/>
  <c r="X82" i="1"/>
  <c r="X81" i="1"/>
  <c r="X80" i="1"/>
  <c r="X79" i="1"/>
  <c r="X78" i="1"/>
  <c r="X76" i="1"/>
  <c r="X75" i="1"/>
  <c r="X74" i="1"/>
  <c r="X73" i="1"/>
  <c r="X72" i="1"/>
  <c r="X71" i="1"/>
  <c r="X69" i="1"/>
  <c r="X68" i="1"/>
  <c r="X67" i="1"/>
  <c r="X66" i="1"/>
  <c r="X65" i="1"/>
  <c r="X64" i="1"/>
  <c r="X63" i="1"/>
  <c r="X61" i="1"/>
  <c r="X60" i="1"/>
  <c r="X59" i="1"/>
  <c r="X58" i="1"/>
  <c r="X57" i="1"/>
  <c r="X56" i="1"/>
  <c r="X55" i="1"/>
  <c r="X54" i="1"/>
  <c r="X52" i="1"/>
  <c r="X51" i="1"/>
  <c r="X50" i="1"/>
  <c r="X49" i="1"/>
  <c r="X48" i="1"/>
  <c r="X47" i="1"/>
  <c r="X46" i="1"/>
  <c r="X44" i="1"/>
  <c r="X43" i="1"/>
  <c r="X41" i="1"/>
  <c r="X39" i="1"/>
  <c r="X38" i="1"/>
  <c r="X37" i="1"/>
  <c r="X36" i="1"/>
  <c r="X32" i="1"/>
  <c r="X31" i="1"/>
  <c r="X30" i="1"/>
  <c r="X29" i="1"/>
  <c r="S109" i="1"/>
  <c r="S108" i="1"/>
  <c r="S107" i="1"/>
  <c r="S106" i="1"/>
  <c r="S105" i="1"/>
  <c r="S103" i="1"/>
  <c r="S102" i="1"/>
  <c r="S100" i="1"/>
  <c r="S99" i="1"/>
  <c r="S96" i="1"/>
  <c r="S91" i="1"/>
  <c r="S90" i="1"/>
  <c r="S86" i="1"/>
  <c r="S85" i="1"/>
  <c r="S84" i="1"/>
  <c r="S82" i="1"/>
  <c r="S81" i="1"/>
  <c r="S80" i="1"/>
  <c r="S79" i="1"/>
  <c r="S78" i="1"/>
  <c r="S76" i="1"/>
  <c r="S75" i="1"/>
  <c r="S74" i="1"/>
  <c r="S73" i="1"/>
  <c r="S72" i="1"/>
  <c r="S71" i="1"/>
  <c r="S69" i="1"/>
  <c r="S68" i="1"/>
  <c r="S67" i="1"/>
  <c r="S66" i="1"/>
  <c r="S65" i="1"/>
  <c r="S64" i="1"/>
  <c r="S63" i="1"/>
  <c r="S61" i="1"/>
  <c r="S60" i="1"/>
  <c r="S59" i="1"/>
  <c r="S58" i="1"/>
  <c r="S57" i="1"/>
  <c r="S56" i="1"/>
  <c r="S55" i="1"/>
  <c r="S54" i="1"/>
  <c r="S52" i="1"/>
  <c r="S51" i="1"/>
  <c r="S50" i="1"/>
  <c r="S49" i="1"/>
  <c r="S48" i="1"/>
  <c r="S47" i="1"/>
  <c r="S46" i="1"/>
  <c r="S44" i="1"/>
  <c r="S43" i="1"/>
  <c r="S41" i="1"/>
  <c r="S39" i="1"/>
  <c r="S38" i="1"/>
  <c r="S37" i="1"/>
  <c r="S36" i="1"/>
  <c r="S33" i="1"/>
  <c r="S32" i="1"/>
  <c r="S31" i="1"/>
  <c r="S30" i="1"/>
  <c r="S29" i="1"/>
  <c r="N109" i="1"/>
  <c r="N108" i="1"/>
  <c r="N107" i="1"/>
  <c r="N106" i="1"/>
  <c r="N105" i="1"/>
  <c r="N100" i="1"/>
  <c r="N99" i="1"/>
  <c r="N96" i="1"/>
  <c r="N91" i="1"/>
  <c r="N90" i="1"/>
  <c r="N86" i="1"/>
  <c r="N85" i="1"/>
  <c r="N84" i="1"/>
  <c r="N82" i="1"/>
  <c r="N81" i="1"/>
  <c r="N80" i="1"/>
  <c r="N79" i="1"/>
  <c r="N78" i="1"/>
  <c r="N76" i="1"/>
  <c r="N75" i="1"/>
  <c r="N74" i="1"/>
  <c r="N73" i="1"/>
  <c r="N72" i="1"/>
  <c r="N71" i="1"/>
  <c r="N69" i="1"/>
  <c r="N68" i="1"/>
  <c r="N67" i="1"/>
  <c r="N66" i="1"/>
  <c r="N65" i="1"/>
  <c r="N64" i="1"/>
  <c r="N63" i="1"/>
  <c r="N61" i="1"/>
  <c r="N60" i="1"/>
  <c r="N59" i="1"/>
  <c r="N58" i="1"/>
  <c r="N57" i="1"/>
  <c r="N56" i="1"/>
  <c r="N55" i="1"/>
  <c r="N54" i="1"/>
  <c r="N52" i="1"/>
  <c r="N51" i="1"/>
  <c r="N50" i="1"/>
  <c r="N49" i="1"/>
  <c r="N48" i="1"/>
  <c r="N47" i="1"/>
  <c r="N46" i="1"/>
  <c r="N44" i="1"/>
  <c r="N43" i="1"/>
  <c r="N41" i="1"/>
  <c r="N39" i="1"/>
  <c r="N38" i="1"/>
  <c r="N37" i="1"/>
  <c r="N36" i="1"/>
  <c r="N32" i="1"/>
  <c r="N31" i="1"/>
  <c r="N30" i="1"/>
  <c r="N29" i="1"/>
  <c r="J109" i="1"/>
  <c r="J108" i="1"/>
  <c r="J107" i="1"/>
  <c r="J106" i="1"/>
  <c r="J105" i="1"/>
  <c r="J100" i="1"/>
  <c r="J99" i="1"/>
  <c r="J96" i="1"/>
  <c r="J91" i="1"/>
  <c r="J90" i="1"/>
  <c r="J86" i="1"/>
  <c r="J85" i="1"/>
  <c r="J84" i="1"/>
  <c r="J82" i="1"/>
  <c r="J81" i="1"/>
  <c r="J80" i="1"/>
  <c r="J79" i="1"/>
  <c r="J78" i="1"/>
  <c r="J76" i="1"/>
  <c r="J75" i="1"/>
  <c r="J74" i="1"/>
  <c r="J73" i="1"/>
  <c r="J72" i="1"/>
  <c r="J71" i="1"/>
  <c r="J69" i="1"/>
  <c r="J68" i="1"/>
  <c r="J67" i="1"/>
  <c r="J66" i="1"/>
  <c r="J65" i="1"/>
  <c r="J64" i="1"/>
  <c r="J63" i="1"/>
  <c r="J61" i="1"/>
  <c r="J60" i="1"/>
  <c r="J59" i="1"/>
  <c r="J58" i="1"/>
  <c r="J57" i="1"/>
  <c r="J56" i="1"/>
  <c r="J55" i="1"/>
  <c r="J54" i="1"/>
  <c r="J52" i="1"/>
  <c r="J51" i="1"/>
  <c r="J50" i="1"/>
  <c r="J49" i="1"/>
  <c r="J48" i="1"/>
  <c r="J47" i="1"/>
  <c r="J46" i="1"/>
  <c r="J44" i="1"/>
  <c r="J43" i="1"/>
  <c r="J41" i="1"/>
  <c r="J39" i="1"/>
  <c r="J38" i="1"/>
  <c r="J37" i="1"/>
  <c r="J36" i="1"/>
  <c r="J32" i="1"/>
  <c r="J31" i="1"/>
  <c r="J30" i="1"/>
  <c r="J29" i="1"/>
  <c r="W83" i="1"/>
  <c r="V83" i="1"/>
  <c r="U83" i="1"/>
  <c r="X83" i="1" s="1"/>
  <c r="R83" i="1"/>
  <c r="Q83" i="1"/>
  <c r="P83" i="1"/>
  <c r="S83" i="1" s="1"/>
  <c r="M83" i="1"/>
  <c r="L83" i="1"/>
  <c r="K83" i="1"/>
  <c r="N83" i="1" s="1"/>
  <c r="I83" i="1"/>
  <c r="H83" i="1"/>
  <c r="W77" i="1"/>
  <c r="V77" i="1"/>
  <c r="U77" i="1"/>
  <c r="X77" i="1" s="1"/>
  <c r="R77" i="1"/>
  <c r="Q77" i="1"/>
  <c r="P77" i="1"/>
  <c r="S77" i="1" s="1"/>
  <c r="M77" i="1"/>
  <c r="L77" i="1"/>
  <c r="K77" i="1"/>
  <c r="N77" i="1" s="1"/>
  <c r="I77" i="1"/>
  <c r="H77" i="1"/>
  <c r="W70" i="1"/>
  <c r="V70" i="1"/>
  <c r="U70" i="1"/>
  <c r="X70" i="1" s="1"/>
  <c r="R70" i="1"/>
  <c r="Q70" i="1"/>
  <c r="P70" i="1"/>
  <c r="S70" i="1" s="1"/>
  <c r="M70" i="1"/>
  <c r="L70" i="1"/>
  <c r="K70" i="1"/>
  <c r="N70" i="1" s="1"/>
  <c r="I70" i="1"/>
  <c r="H70" i="1"/>
  <c r="V62" i="1"/>
  <c r="Q62" i="1"/>
  <c r="H62" i="1"/>
  <c r="W35" i="1"/>
  <c r="V35" i="1"/>
  <c r="U35" i="1"/>
  <c r="R35" i="1"/>
  <c r="Q35" i="1"/>
  <c r="P35" i="1"/>
  <c r="M35" i="1"/>
  <c r="L35" i="1"/>
  <c r="K35" i="1"/>
  <c r="I35" i="1"/>
  <c r="H35" i="1"/>
  <c r="G35" i="1"/>
  <c r="G83" i="1"/>
  <c r="J83" i="1" s="1"/>
  <c r="G77" i="1"/>
  <c r="J77" i="1" s="1"/>
  <c r="G70" i="1"/>
  <c r="J70" i="1" s="1"/>
  <c r="X35" i="1" l="1"/>
  <c r="L62" i="1"/>
  <c r="M62" i="1"/>
  <c r="S35" i="1"/>
  <c r="N35" i="1"/>
  <c r="J35" i="1"/>
  <c r="W62" i="1"/>
  <c r="U62" i="1"/>
  <c r="X62" i="1" s="1"/>
  <c r="R62" i="1"/>
  <c r="P62" i="1"/>
  <c r="S62" i="1" s="1"/>
  <c r="K62" i="1"/>
  <c r="N62" i="1" s="1"/>
  <c r="I62" i="1"/>
  <c r="G62" i="1"/>
  <c r="J62" i="1" s="1"/>
  <c r="X89" i="1"/>
  <c r="S89" i="1"/>
  <c r="N89" i="1"/>
  <c r="J89" i="1"/>
  <c r="O82" i="1"/>
  <c r="K42" i="1"/>
  <c r="L42" i="1"/>
  <c r="M42" i="1"/>
  <c r="V75" i="2"/>
  <c r="E32" i="2"/>
  <c r="E33" i="2"/>
  <c r="E34" i="2"/>
  <c r="E35" i="2"/>
  <c r="E37" i="2"/>
  <c r="E71" i="2"/>
  <c r="E92" i="2"/>
  <c r="E93" i="2"/>
  <c r="G28" i="2"/>
  <c r="H28" i="2"/>
  <c r="G31" i="2"/>
  <c r="H31" i="2"/>
  <c r="G38" i="2"/>
  <c r="H38" i="2"/>
  <c r="G49" i="2"/>
  <c r="H49" i="2"/>
  <c r="G59" i="2"/>
  <c r="H59" i="2"/>
  <c r="G60" i="2"/>
  <c r="H60" i="2"/>
  <c r="G64" i="2"/>
  <c r="H64" i="2"/>
  <c r="G65" i="2"/>
  <c r="H65" i="2"/>
  <c r="G66" i="2"/>
  <c r="H66" i="2"/>
  <c r="G75" i="2"/>
  <c r="H75" i="2"/>
  <c r="G76" i="2"/>
  <c r="H76" i="2"/>
  <c r="G79" i="2"/>
  <c r="G82" i="4" s="1"/>
  <c r="H79" i="2"/>
  <c r="H82" i="4" s="1"/>
  <c r="G85" i="2"/>
  <c r="H85" i="2"/>
  <c r="G86" i="2"/>
  <c r="H86" i="2"/>
  <c r="H84" i="2" s="1"/>
  <c r="H89" i="2"/>
  <c r="G91" i="2"/>
  <c r="H91" i="2"/>
  <c r="G94" i="2"/>
  <c r="H94" i="2"/>
  <c r="F79" i="2"/>
  <c r="F82" i="4" s="1"/>
  <c r="F49" i="2"/>
  <c r="F38" i="2"/>
  <c r="U75" i="2"/>
  <c r="T75" i="2"/>
  <c r="F85" i="2"/>
  <c r="V85" i="2"/>
  <c r="U85" i="2"/>
  <c r="T85" i="2"/>
  <c r="T101" i="2"/>
  <c r="R101" i="2"/>
  <c r="I101" i="2"/>
  <c r="F86" i="2"/>
  <c r="V86" i="2"/>
  <c r="U86" i="2"/>
  <c r="T86" i="2"/>
  <c r="Q86" i="2"/>
  <c r="P86" i="2"/>
  <c r="O86" i="2"/>
  <c r="L86" i="2"/>
  <c r="K86" i="2"/>
  <c r="J86" i="2"/>
  <c r="V76" i="2"/>
  <c r="U76" i="2"/>
  <c r="T76" i="2"/>
  <c r="Q76" i="2"/>
  <c r="P76" i="2"/>
  <c r="O76" i="2"/>
  <c r="L76" i="2"/>
  <c r="K76" i="2"/>
  <c r="J76" i="2"/>
  <c r="F76" i="2"/>
  <c r="L75" i="2"/>
  <c r="K75" i="2"/>
  <c r="J75" i="2"/>
  <c r="F75" i="2"/>
  <c r="F73" i="2" s="1"/>
  <c r="V65" i="2"/>
  <c r="U65" i="2"/>
  <c r="T65" i="2"/>
  <c r="Q65" i="2"/>
  <c r="P65" i="2"/>
  <c r="O65" i="2"/>
  <c r="L65" i="2"/>
  <c r="K65" i="2"/>
  <c r="J65" i="2"/>
  <c r="F65" i="2"/>
  <c r="V64" i="2"/>
  <c r="U64" i="2"/>
  <c r="T64" i="2"/>
  <c r="Q64" i="2"/>
  <c r="P64" i="2"/>
  <c r="O64" i="2"/>
  <c r="L64" i="2"/>
  <c r="K64" i="2"/>
  <c r="J64" i="2"/>
  <c r="F64" i="2"/>
  <c r="V60" i="2"/>
  <c r="U60" i="2"/>
  <c r="T60" i="2"/>
  <c r="Q60" i="2"/>
  <c r="P60" i="2"/>
  <c r="O60" i="2"/>
  <c r="L60" i="2"/>
  <c r="K60" i="2"/>
  <c r="J60" i="2"/>
  <c r="F60" i="2"/>
  <c r="V59" i="2"/>
  <c r="U59" i="2"/>
  <c r="T59" i="2"/>
  <c r="Q59" i="2"/>
  <c r="P59" i="2"/>
  <c r="O59" i="2"/>
  <c r="L59" i="2"/>
  <c r="K59" i="2"/>
  <c r="J59" i="2"/>
  <c r="F59" i="2"/>
  <c r="L45" i="2"/>
  <c r="K45" i="2"/>
  <c r="Q30" i="2"/>
  <c r="P30" i="2"/>
  <c r="O30" i="2"/>
  <c r="V28" i="2"/>
  <c r="U28" i="2"/>
  <c r="T28" i="2"/>
  <c r="Q28" i="2"/>
  <c r="P28" i="2"/>
  <c r="O28" i="2"/>
  <c r="L28" i="2"/>
  <c r="K28" i="2"/>
  <c r="J28" i="2"/>
  <c r="F28" i="2"/>
  <c r="Q26" i="2"/>
  <c r="P26" i="2"/>
  <c r="O26" i="2"/>
  <c r="L26" i="2"/>
  <c r="K26" i="2"/>
  <c r="C85" i="2"/>
  <c r="C86" i="2"/>
  <c r="C89" i="2"/>
  <c r="V87" i="9"/>
  <c r="Q87" i="9"/>
  <c r="L87" i="9"/>
  <c r="H87" i="9"/>
  <c r="P86" i="9"/>
  <c r="O86" i="9"/>
  <c r="N86" i="9"/>
  <c r="K86" i="9"/>
  <c r="J86" i="9"/>
  <c r="V83" i="9"/>
  <c r="Q83" i="9"/>
  <c r="L83" i="9"/>
  <c r="H83" i="9"/>
  <c r="M83" i="9" s="1"/>
  <c r="R83" i="9" s="1"/>
  <c r="W83" i="9" s="1"/>
  <c r="V82" i="9"/>
  <c r="Q82" i="9"/>
  <c r="L82" i="9"/>
  <c r="M82" i="9" s="1"/>
  <c r="H82" i="9"/>
  <c r="V81" i="9"/>
  <c r="Q81" i="9"/>
  <c r="L81" i="9"/>
  <c r="H81" i="9"/>
  <c r="V80" i="9"/>
  <c r="Q80" i="9"/>
  <c r="L80" i="9"/>
  <c r="H80" i="9"/>
  <c r="V79" i="9"/>
  <c r="Q79" i="9"/>
  <c r="L79" i="9"/>
  <c r="M79" i="9" s="1"/>
  <c r="H79" i="9"/>
  <c r="U78" i="9"/>
  <c r="T78" i="9"/>
  <c r="S78" i="9"/>
  <c r="V78" i="9" s="1"/>
  <c r="P78" i="9"/>
  <c r="O78" i="9"/>
  <c r="N78" i="9"/>
  <c r="K78" i="9"/>
  <c r="J78" i="9"/>
  <c r="I78" i="9"/>
  <c r="L78" i="9" s="1"/>
  <c r="G78" i="9"/>
  <c r="F78" i="9"/>
  <c r="E78" i="9"/>
  <c r="H78" i="9" s="1"/>
  <c r="V77" i="9"/>
  <c r="Q77" i="9"/>
  <c r="L77" i="9"/>
  <c r="H77" i="9"/>
  <c r="V76" i="9"/>
  <c r="Q76" i="9"/>
  <c r="L76" i="9"/>
  <c r="H76" i="9"/>
  <c r="V75" i="9"/>
  <c r="Q75" i="9"/>
  <c r="L75" i="9"/>
  <c r="M75" i="9" s="1"/>
  <c r="H75" i="9"/>
  <c r="V74" i="9"/>
  <c r="Q74" i="9"/>
  <c r="L74" i="9"/>
  <c r="H74" i="9"/>
  <c r="U73" i="9"/>
  <c r="T73" i="9"/>
  <c r="S73" i="9"/>
  <c r="V73" i="9" s="1"/>
  <c r="P73" i="9"/>
  <c r="O73" i="9"/>
  <c r="N73" i="9"/>
  <c r="K73" i="9"/>
  <c r="K62" i="9" s="1"/>
  <c r="I73" i="9"/>
  <c r="G73" i="9"/>
  <c r="F73" i="9"/>
  <c r="F62" i="9" s="1"/>
  <c r="E73" i="9"/>
  <c r="V72" i="9"/>
  <c r="Q72" i="9"/>
  <c r="L72" i="9"/>
  <c r="H72" i="9"/>
  <c r="M72" i="9" s="1"/>
  <c r="V71" i="9"/>
  <c r="Q71" i="9"/>
  <c r="L71" i="9"/>
  <c r="M71" i="9" s="1"/>
  <c r="H71" i="9"/>
  <c r="V70" i="9"/>
  <c r="Q70" i="9"/>
  <c r="L70" i="9"/>
  <c r="H70" i="9"/>
  <c r="V69" i="9"/>
  <c r="Q69" i="9"/>
  <c r="L69" i="9"/>
  <c r="H69" i="9"/>
  <c r="V68" i="9"/>
  <c r="Q68" i="9"/>
  <c r="L68" i="9"/>
  <c r="H68" i="9"/>
  <c r="M68" i="9" s="1"/>
  <c r="R68" i="9" s="1"/>
  <c r="W68" i="9" s="1"/>
  <c r="V67" i="9"/>
  <c r="Q67" i="9"/>
  <c r="L67" i="9"/>
  <c r="M67" i="9" s="1"/>
  <c r="H67" i="9"/>
  <c r="V66" i="9"/>
  <c r="Q66" i="9"/>
  <c r="L66" i="9"/>
  <c r="H66" i="9"/>
  <c r="V65" i="9"/>
  <c r="Q65" i="9"/>
  <c r="L65" i="9"/>
  <c r="H65" i="9"/>
  <c r="V64" i="9"/>
  <c r="Q64" i="9"/>
  <c r="L64" i="9"/>
  <c r="M64" i="9" s="1"/>
  <c r="H64" i="9"/>
  <c r="V63" i="9"/>
  <c r="Q63" i="9"/>
  <c r="L63" i="9"/>
  <c r="H63" i="9"/>
  <c r="U62" i="9"/>
  <c r="N62" i="9"/>
  <c r="J62" i="9"/>
  <c r="I62" i="9"/>
  <c r="G62" i="9"/>
  <c r="V61" i="9"/>
  <c r="Q61" i="9"/>
  <c r="L61" i="9"/>
  <c r="H61" i="9"/>
  <c r="V60" i="9"/>
  <c r="Q60" i="9"/>
  <c r="L60" i="9"/>
  <c r="M60" i="9" s="1"/>
  <c r="H60" i="9"/>
  <c r="V59" i="9"/>
  <c r="Q59" i="9"/>
  <c r="L59" i="9"/>
  <c r="H59" i="9"/>
  <c r="U58" i="9"/>
  <c r="T58" i="9"/>
  <c r="S58" i="9"/>
  <c r="P58" i="9"/>
  <c r="N58" i="9"/>
  <c r="Q58" i="9" s="1"/>
  <c r="K58" i="9"/>
  <c r="J58" i="9"/>
  <c r="I58" i="9"/>
  <c r="L58" i="9" s="1"/>
  <c r="G58" i="9"/>
  <c r="F58" i="9"/>
  <c r="E58" i="9"/>
  <c r="H58" i="9" s="1"/>
  <c r="V57" i="9"/>
  <c r="Q57" i="9"/>
  <c r="L57" i="9"/>
  <c r="M57" i="9" s="1"/>
  <c r="H57" i="9"/>
  <c r="V56" i="9"/>
  <c r="Q56" i="9"/>
  <c r="L56" i="9"/>
  <c r="H56" i="9"/>
  <c r="U55" i="9"/>
  <c r="T55" i="9"/>
  <c r="S55" i="9"/>
  <c r="V55" i="9" s="1"/>
  <c r="P55" i="9"/>
  <c r="O55" i="9"/>
  <c r="N55" i="9"/>
  <c r="K55" i="9"/>
  <c r="J55" i="9"/>
  <c r="I55" i="9"/>
  <c r="G55" i="9"/>
  <c r="F55" i="9"/>
  <c r="E55" i="9"/>
  <c r="S54" i="9"/>
  <c r="V54" i="9" s="1"/>
  <c r="Q54" i="9"/>
  <c r="L54" i="9"/>
  <c r="H54" i="9"/>
  <c r="V53" i="9"/>
  <c r="Q53" i="9"/>
  <c r="L53" i="9"/>
  <c r="H53" i="9"/>
  <c r="V52" i="9"/>
  <c r="Q52" i="9"/>
  <c r="R52" i="9" s="1"/>
  <c r="W52" i="9" s="1"/>
  <c r="L52" i="9"/>
  <c r="H52" i="9"/>
  <c r="M52" i="9" s="1"/>
  <c r="V51" i="9"/>
  <c r="Q51" i="9"/>
  <c r="L51" i="9"/>
  <c r="H51" i="9"/>
  <c r="U50" i="9"/>
  <c r="T50" i="9"/>
  <c r="S50" i="9"/>
  <c r="O50" i="9"/>
  <c r="N50" i="9"/>
  <c r="Q50" i="9" s="1"/>
  <c r="K50" i="9"/>
  <c r="J50" i="9"/>
  <c r="I50" i="9"/>
  <c r="L50" i="9" s="1"/>
  <c r="G50" i="9"/>
  <c r="F50" i="9"/>
  <c r="E50" i="9"/>
  <c r="H50" i="9" s="1"/>
  <c r="V48" i="9"/>
  <c r="Q48" i="9"/>
  <c r="L48" i="9"/>
  <c r="H48" i="9"/>
  <c r="V47" i="9"/>
  <c r="Q47" i="9"/>
  <c r="L47" i="9"/>
  <c r="M47" i="9" s="1"/>
  <c r="R47" i="9" s="1"/>
  <c r="W47" i="9" s="1"/>
  <c r="H47" i="9"/>
  <c r="V46" i="9"/>
  <c r="Q46" i="9"/>
  <c r="L46" i="9"/>
  <c r="H46" i="9"/>
  <c r="V45" i="9"/>
  <c r="Q45" i="9"/>
  <c r="L45" i="9"/>
  <c r="M45" i="9" s="1"/>
  <c r="H45" i="9"/>
  <c r="V44" i="9"/>
  <c r="Q44" i="9"/>
  <c r="L44" i="9"/>
  <c r="H44" i="9"/>
  <c r="P43" i="9"/>
  <c r="O43" i="9"/>
  <c r="V41" i="9"/>
  <c r="Q41" i="9"/>
  <c r="L41" i="9"/>
  <c r="M41" i="9" s="1"/>
  <c r="H41" i="9"/>
  <c r="U40" i="9"/>
  <c r="T40" i="9"/>
  <c r="S40" i="9"/>
  <c r="V40" i="9" s="1"/>
  <c r="P40" i="9"/>
  <c r="O40" i="9"/>
  <c r="N40" i="9"/>
  <c r="Q40" i="9" s="1"/>
  <c r="K40" i="9"/>
  <c r="J40" i="9"/>
  <c r="I40" i="9"/>
  <c r="L40" i="9" s="1"/>
  <c r="G40" i="9"/>
  <c r="F40" i="9"/>
  <c r="E40" i="9"/>
  <c r="H40" i="9" s="1"/>
  <c r="U39" i="9"/>
  <c r="T39" i="9"/>
  <c r="S39" i="9"/>
  <c r="S38" i="9" s="1"/>
  <c r="P39" i="9"/>
  <c r="O39" i="9"/>
  <c r="O38" i="9" s="1"/>
  <c r="N39" i="9"/>
  <c r="Q39" i="9" s="1"/>
  <c r="K39" i="9"/>
  <c r="K38" i="9" s="1"/>
  <c r="J39" i="9"/>
  <c r="J38" i="9" s="1"/>
  <c r="G39" i="9"/>
  <c r="F39" i="9"/>
  <c r="E39" i="9"/>
  <c r="U38" i="9"/>
  <c r="T38" i="9"/>
  <c r="N38" i="9"/>
  <c r="F38" i="9"/>
  <c r="V37" i="9"/>
  <c r="Q37" i="9"/>
  <c r="L37" i="9"/>
  <c r="H37" i="9"/>
  <c r="M37" i="9" s="1"/>
  <c r="R37" i="9" s="1"/>
  <c r="W37" i="9" s="1"/>
  <c r="V36" i="9"/>
  <c r="Q36" i="9"/>
  <c r="I36" i="9"/>
  <c r="I39" i="9" s="1"/>
  <c r="H36" i="9"/>
  <c r="U35" i="9"/>
  <c r="T35" i="9"/>
  <c r="S35" i="9"/>
  <c r="P35" i="9"/>
  <c r="O35" i="9"/>
  <c r="N35" i="9"/>
  <c r="K35" i="9"/>
  <c r="J35" i="9"/>
  <c r="I35" i="9"/>
  <c r="G35" i="9"/>
  <c r="F35" i="9"/>
  <c r="E35" i="9"/>
  <c r="V34" i="9"/>
  <c r="Q34" i="9"/>
  <c r="L34" i="9"/>
  <c r="H34" i="9"/>
  <c r="V33" i="9"/>
  <c r="Q33" i="9"/>
  <c r="L33" i="9"/>
  <c r="H33" i="9"/>
  <c r="Q32" i="9"/>
  <c r="V31" i="9"/>
  <c r="Q31" i="9"/>
  <c r="L31" i="9"/>
  <c r="M31" i="9" s="1"/>
  <c r="R31" i="9" s="1"/>
  <c r="H31" i="9"/>
  <c r="V29" i="9"/>
  <c r="Q29" i="9"/>
  <c r="L29" i="9"/>
  <c r="M29" i="9" s="1"/>
  <c r="R29" i="9" s="1"/>
  <c r="W29" i="9" s="1"/>
  <c r="H29" i="9"/>
  <c r="Q27" i="9"/>
  <c r="L27" i="9"/>
  <c r="H27" i="9"/>
  <c r="M27" i="9" s="1"/>
  <c r="V25" i="9"/>
  <c r="Q25" i="9"/>
  <c r="L25" i="9"/>
  <c r="H25" i="9"/>
  <c r="M25" i="9" s="1"/>
  <c r="R25" i="9" s="1"/>
  <c r="W25" i="9" s="1"/>
  <c r="Q22" i="9"/>
  <c r="L22" i="9"/>
  <c r="M22" i="9" s="1"/>
  <c r="Q21" i="9"/>
  <c r="V20" i="9"/>
  <c r="O20" i="9"/>
  <c r="N20" i="9"/>
  <c r="K20" i="9"/>
  <c r="L20" i="9" s="1"/>
  <c r="H20" i="9"/>
  <c r="V19" i="9"/>
  <c r="Q19" i="9"/>
  <c r="L19" i="9"/>
  <c r="H19" i="9"/>
  <c r="V18" i="9"/>
  <c r="Q18" i="9"/>
  <c r="L18" i="9"/>
  <c r="H18" i="9"/>
  <c r="V17" i="9"/>
  <c r="Q17" i="9"/>
  <c r="L17" i="9"/>
  <c r="H17" i="9"/>
  <c r="M17" i="9" s="1"/>
  <c r="R17" i="9" s="1"/>
  <c r="W17" i="9" s="1"/>
  <c r="U16" i="9"/>
  <c r="T16" i="9"/>
  <c r="T14" i="9" s="1"/>
  <c r="T86" i="9" s="1"/>
  <c r="S16" i="9"/>
  <c r="V16" i="9" s="1"/>
  <c r="P16" i="9"/>
  <c r="Q16" i="9" s="1"/>
  <c r="J16" i="9"/>
  <c r="I16" i="9"/>
  <c r="L16" i="9" s="1"/>
  <c r="G16" i="9"/>
  <c r="G14" i="9" s="1"/>
  <c r="G86" i="9" s="1"/>
  <c r="F16" i="9"/>
  <c r="E16" i="9"/>
  <c r="H16" i="9" s="1"/>
  <c r="V15" i="9"/>
  <c r="Q15" i="9"/>
  <c r="L15" i="9"/>
  <c r="H15" i="9"/>
  <c r="U14" i="9"/>
  <c r="U86" i="9" s="1"/>
  <c r="S14" i="9"/>
  <c r="S86" i="9" s="1"/>
  <c r="Q14" i="9"/>
  <c r="Q86" i="9" s="1"/>
  <c r="F14" i="9"/>
  <c r="F86" i="9" s="1"/>
  <c r="E14" i="9"/>
  <c r="E86" i="9" s="1"/>
  <c r="Q13" i="9"/>
  <c r="Q12" i="9"/>
  <c r="Q11" i="9"/>
  <c r="K11" i="9"/>
  <c r="J11" i="9"/>
  <c r="Q10" i="9"/>
  <c r="U9" i="9"/>
  <c r="U23" i="9" s="1"/>
  <c r="U49" i="9" s="1"/>
  <c r="U43" i="9" s="1"/>
  <c r="T9" i="9"/>
  <c r="T26" i="9" s="1"/>
  <c r="T42" i="9" s="1"/>
  <c r="S9" i="9"/>
  <c r="S10" i="9" s="1"/>
  <c r="P9" i="9"/>
  <c r="P26" i="9" s="1"/>
  <c r="P42" i="9" s="1"/>
  <c r="O9" i="9"/>
  <c r="O26" i="9" s="1"/>
  <c r="O42" i="9" s="1"/>
  <c r="N9" i="9"/>
  <c r="N26" i="9" s="1"/>
  <c r="K9" i="9"/>
  <c r="K26" i="9" s="1"/>
  <c r="K42" i="9" s="1"/>
  <c r="J9" i="9"/>
  <c r="J26" i="9" s="1"/>
  <c r="J42" i="9" s="1"/>
  <c r="I9" i="9"/>
  <c r="I21" i="9" s="1"/>
  <c r="G9" i="9"/>
  <c r="F9" i="9"/>
  <c r="F21" i="9" s="1"/>
  <c r="F32" i="9" s="1"/>
  <c r="E9" i="9"/>
  <c r="E21" i="9" s="1"/>
  <c r="E32" i="9" s="1"/>
  <c r="V87" i="8"/>
  <c r="Q87" i="8"/>
  <c r="L87" i="8"/>
  <c r="M87" i="8" s="1"/>
  <c r="H87" i="8"/>
  <c r="P86" i="8"/>
  <c r="O86" i="8"/>
  <c r="N86" i="8"/>
  <c r="K86" i="8"/>
  <c r="J86" i="8"/>
  <c r="V83" i="8"/>
  <c r="Q83" i="8"/>
  <c r="L83" i="8"/>
  <c r="H83" i="8"/>
  <c r="M83" i="8" s="1"/>
  <c r="V82" i="8"/>
  <c r="Q82" i="8"/>
  <c r="L82" i="8"/>
  <c r="M82" i="8" s="1"/>
  <c r="H82" i="8"/>
  <c r="V81" i="8"/>
  <c r="Q81" i="8"/>
  <c r="L81" i="8"/>
  <c r="H81" i="8"/>
  <c r="V80" i="8"/>
  <c r="Q80" i="8"/>
  <c r="L80" i="8"/>
  <c r="H80" i="8"/>
  <c r="V79" i="8"/>
  <c r="Q79" i="8"/>
  <c r="L79" i="8"/>
  <c r="H79" i="8"/>
  <c r="M79" i="8" s="1"/>
  <c r="U78" i="8"/>
  <c r="T78" i="8"/>
  <c r="S78" i="8"/>
  <c r="V78" i="8" s="1"/>
  <c r="P78" i="8"/>
  <c r="O78" i="8"/>
  <c r="N78" i="8"/>
  <c r="K78" i="8"/>
  <c r="J78" i="8"/>
  <c r="I78" i="8"/>
  <c r="G78" i="8"/>
  <c r="F78" i="8"/>
  <c r="E78" i="8"/>
  <c r="V77" i="8"/>
  <c r="Q77" i="8"/>
  <c r="L77" i="8"/>
  <c r="H77" i="8"/>
  <c r="V76" i="8"/>
  <c r="Q76" i="8"/>
  <c r="L76" i="8"/>
  <c r="H76" i="8"/>
  <c r="V75" i="8"/>
  <c r="Q75" i="8"/>
  <c r="L75" i="8"/>
  <c r="H75" i="8"/>
  <c r="M75" i="8" s="1"/>
  <c r="V74" i="8"/>
  <c r="Q74" i="8"/>
  <c r="L74" i="8"/>
  <c r="M74" i="8" s="1"/>
  <c r="H74" i="8"/>
  <c r="U73" i="8"/>
  <c r="T73" i="8"/>
  <c r="S73" i="8"/>
  <c r="V73" i="8" s="1"/>
  <c r="P73" i="8"/>
  <c r="O73" i="8"/>
  <c r="N73" i="8"/>
  <c r="Q73" i="8" s="1"/>
  <c r="K73" i="8"/>
  <c r="I73" i="8"/>
  <c r="G73" i="8"/>
  <c r="F73" i="8"/>
  <c r="E73" i="8"/>
  <c r="V72" i="8"/>
  <c r="Q72" i="8"/>
  <c r="L72" i="8"/>
  <c r="H72" i="8"/>
  <c r="M72" i="8" s="1"/>
  <c r="V71" i="8"/>
  <c r="Q71" i="8"/>
  <c r="L71" i="8"/>
  <c r="M71" i="8" s="1"/>
  <c r="H71" i="8"/>
  <c r="V70" i="8"/>
  <c r="Q70" i="8"/>
  <c r="L70" i="8"/>
  <c r="M70" i="8" s="1"/>
  <c r="R70" i="8" s="1"/>
  <c r="H70" i="8"/>
  <c r="V69" i="8"/>
  <c r="Q69" i="8"/>
  <c r="L69" i="8"/>
  <c r="H69" i="8"/>
  <c r="V68" i="8"/>
  <c r="Q68" i="8"/>
  <c r="L68" i="8"/>
  <c r="H68" i="8"/>
  <c r="M68" i="8" s="1"/>
  <c r="V67" i="8"/>
  <c r="Q67" i="8"/>
  <c r="L67" i="8"/>
  <c r="M67" i="8" s="1"/>
  <c r="H67" i="8"/>
  <c r="V66" i="8"/>
  <c r="Q66" i="8"/>
  <c r="L66" i="8"/>
  <c r="H66" i="8"/>
  <c r="V65" i="8"/>
  <c r="Q65" i="8"/>
  <c r="L65" i="8"/>
  <c r="H65" i="8"/>
  <c r="V64" i="8"/>
  <c r="Q64" i="8"/>
  <c r="R64" i="8" s="1"/>
  <c r="W64" i="8" s="1"/>
  <c r="L64" i="8"/>
  <c r="H64" i="8"/>
  <c r="M64" i="8" s="1"/>
  <c r="V63" i="8"/>
  <c r="Q63" i="8"/>
  <c r="L63" i="8"/>
  <c r="M63" i="8" s="1"/>
  <c r="H63" i="8"/>
  <c r="U62" i="8"/>
  <c r="S62" i="8"/>
  <c r="K62" i="8"/>
  <c r="J62" i="8"/>
  <c r="F62" i="8"/>
  <c r="V61" i="8"/>
  <c r="Q61" i="8"/>
  <c r="L61" i="8"/>
  <c r="H61" i="8"/>
  <c r="V60" i="8"/>
  <c r="Q60" i="8"/>
  <c r="L60" i="8"/>
  <c r="H60" i="8"/>
  <c r="M60" i="8" s="1"/>
  <c r="V59" i="8"/>
  <c r="Q59" i="8"/>
  <c r="L59" i="8"/>
  <c r="M59" i="8" s="1"/>
  <c r="H59" i="8"/>
  <c r="U58" i="8"/>
  <c r="T58" i="8"/>
  <c r="S58" i="8"/>
  <c r="V58" i="8" s="1"/>
  <c r="P58" i="8"/>
  <c r="N58" i="8"/>
  <c r="Q58" i="8" s="1"/>
  <c r="K58" i="8"/>
  <c r="J58" i="8"/>
  <c r="I58" i="8"/>
  <c r="L58" i="8" s="1"/>
  <c r="M58" i="8" s="1"/>
  <c r="G58" i="8"/>
  <c r="F58" i="8"/>
  <c r="E58" i="8"/>
  <c r="H58" i="8" s="1"/>
  <c r="V57" i="8"/>
  <c r="Q57" i="8"/>
  <c r="R57" i="8" s="1"/>
  <c r="W57" i="8" s="1"/>
  <c r="L57" i="8"/>
  <c r="H57" i="8"/>
  <c r="M57" i="8" s="1"/>
  <c r="V56" i="8"/>
  <c r="Q56" i="8"/>
  <c r="L56" i="8"/>
  <c r="M56" i="8" s="1"/>
  <c r="H56" i="8"/>
  <c r="U55" i="8"/>
  <c r="T55" i="8"/>
  <c r="S55" i="8"/>
  <c r="V55" i="8" s="1"/>
  <c r="P55" i="8"/>
  <c r="O55" i="8"/>
  <c r="N55" i="8"/>
  <c r="Q55" i="8" s="1"/>
  <c r="K55" i="8"/>
  <c r="J55" i="8"/>
  <c r="I55" i="8"/>
  <c r="G55" i="8"/>
  <c r="F55" i="8"/>
  <c r="E55" i="8"/>
  <c r="H55" i="8" s="1"/>
  <c r="U54" i="8"/>
  <c r="T54" i="8"/>
  <c r="S54" i="8"/>
  <c r="Q54" i="8"/>
  <c r="I54" i="8"/>
  <c r="G54" i="8"/>
  <c r="F54" i="8"/>
  <c r="E54" i="8"/>
  <c r="E50" i="8" s="1"/>
  <c r="V53" i="8"/>
  <c r="Q53" i="8"/>
  <c r="L53" i="8"/>
  <c r="M53" i="8" s="1"/>
  <c r="H53" i="8"/>
  <c r="V52" i="8"/>
  <c r="Q52" i="8"/>
  <c r="L52" i="8"/>
  <c r="H52" i="8"/>
  <c r="V51" i="8"/>
  <c r="Q51" i="8"/>
  <c r="L51" i="8"/>
  <c r="H51" i="8"/>
  <c r="T50" i="8"/>
  <c r="S50" i="8"/>
  <c r="O50" i="8"/>
  <c r="O43" i="8" s="1"/>
  <c r="N50" i="8"/>
  <c r="Q50" i="8" s="1"/>
  <c r="K50" i="8"/>
  <c r="J50" i="8"/>
  <c r="G50" i="8"/>
  <c r="F50" i="8"/>
  <c r="V48" i="8"/>
  <c r="Q48" i="8"/>
  <c r="L48" i="8"/>
  <c r="H48" i="8"/>
  <c r="V47" i="8"/>
  <c r="Q47" i="8"/>
  <c r="L47" i="8"/>
  <c r="H47" i="8"/>
  <c r="M47" i="8" s="1"/>
  <c r="V46" i="8"/>
  <c r="Q46" i="8"/>
  <c r="L46" i="8"/>
  <c r="M46" i="8" s="1"/>
  <c r="H46" i="8"/>
  <c r="V45" i="8"/>
  <c r="Q45" i="8"/>
  <c r="L45" i="8"/>
  <c r="H45" i="8"/>
  <c r="V44" i="8"/>
  <c r="Q44" i="8"/>
  <c r="L44" i="8"/>
  <c r="H44" i="8"/>
  <c r="P43" i="8"/>
  <c r="V41" i="8"/>
  <c r="Q41" i="8"/>
  <c r="L41" i="8"/>
  <c r="M41" i="8" s="1"/>
  <c r="R41" i="8" s="1"/>
  <c r="W41" i="8" s="1"/>
  <c r="H41" i="8"/>
  <c r="U40" i="8"/>
  <c r="T40" i="8"/>
  <c r="S40" i="8"/>
  <c r="P40" i="8"/>
  <c r="O40" i="8"/>
  <c r="N40" i="8"/>
  <c r="Q40" i="8" s="1"/>
  <c r="K40" i="8"/>
  <c r="J40" i="8"/>
  <c r="I40" i="8"/>
  <c r="L40" i="8" s="1"/>
  <c r="G40" i="8"/>
  <c r="F40" i="8"/>
  <c r="E40" i="8"/>
  <c r="H40" i="8" s="1"/>
  <c r="U39" i="8"/>
  <c r="T39" i="8"/>
  <c r="S39" i="8"/>
  <c r="V39" i="8" s="1"/>
  <c r="P39" i="8"/>
  <c r="O39" i="8"/>
  <c r="N39" i="8"/>
  <c r="Q39" i="8" s="1"/>
  <c r="K39" i="8"/>
  <c r="J39" i="8"/>
  <c r="G39" i="8"/>
  <c r="G38" i="8" s="1"/>
  <c r="F39" i="8"/>
  <c r="E39" i="8"/>
  <c r="T38" i="8"/>
  <c r="S38" i="8"/>
  <c r="P38" i="8"/>
  <c r="O38" i="8"/>
  <c r="N38" i="8"/>
  <c r="Q38" i="8" s="1"/>
  <c r="K38" i="8"/>
  <c r="J38" i="8"/>
  <c r="F38" i="8"/>
  <c r="V37" i="8"/>
  <c r="Q37" i="8"/>
  <c r="L37" i="8"/>
  <c r="H37" i="8"/>
  <c r="V36" i="8"/>
  <c r="Q36" i="8"/>
  <c r="Q35" i="8" s="1"/>
  <c r="I36" i="8"/>
  <c r="L36" i="8" s="1"/>
  <c r="H36" i="8"/>
  <c r="H35" i="8" s="1"/>
  <c r="V35" i="8"/>
  <c r="U35" i="8"/>
  <c r="T35" i="8"/>
  <c r="S35" i="8"/>
  <c r="P35" i="8"/>
  <c r="O35" i="8"/>
  <c r="N35" i="8"/>
  <c r="K35" i="8"/>
  <c r="J35" i="8"/>
  <c r="G35" i="8"/>
  <c r="F35" i="8"/>
  <c r="E35" i="8"/>
  <c r="V34" i="8"/>
  <c r="Q34" i="8"/>
  <c r="L34" i="8"/>
  <c r="H34" i="8"/>
  <c r="M34" i="8" s="1"/>
  <c r="R34" i="8" s="1"/>
  <c r="W34" i="8" s="1"/>
  <c r="V33" i="8"/>
  <c r="Q33" i="8"/>
  <c r="L33" i="8"/>
  <c r="M33" i="8" s="1"/>
  <c r="H33" i="8"/>
  <c r="Q32" i="8"/>
  <c r="V31" i="8"/>
  <c r="Q31" i="8"/>
  <c r="L31" i="8"/>
  <c r="H31" i="8"/>
  <c r="M31" i="8" s="1"/>
  <c r="R31" i="8" s="1"/>
  <c r="W31" i="8" s="1"/>
  <c r="V29" i="8"/>
  <c r="Q29" i="8"/>
  <c r="L29" i="8"/>
  <c r="M29" i="8" s="1"/>
  <c r="H29" i="8"/>
  <c r="Q27" i="8"/>
  <c r="L27" i="8"/>
  <c r="H27" i="8"/>
  <c r="T26" i="8"/>
  <c r="S26" i="8"/>
  <c r="S42" i="8" s="1"/>
  <c r="I26" i="8"/>
  <c r="I42" i="8" s="1"/>
  <c r="G26" i="8"/>
  <c r="G42" i="8" s="1"/>
  <c r="F26" i="8"/>
  <c r="F42" i="8" s="1"/>
  <c r="V25" i="8"/>
  <c r="Q25" i="8"/>
  <c r="L25" i="8"/>
  <c r="M25" i="8" s="1"/>
  <c r="H25" i="8"/>
  <c r="T23" i="8"/>
  <c r="T49" i="8" s="1"/>
  <c r="T43" i="8" s="1"/>
  <c r="S23" i="8"/>
  <c r="S30" i="8" s="1"/>
  <c r="I23" i="8"/>
  <c r="I49" i="8" s="1"/>
  <c r="G23" i="8"/>
  <c r="G49" i="8" s="1"/>
  <c r="F23" i="8"/>
  <c r="Q22" i="8"/>
  <c r="T21" i="8"/>
  <c r="T32" i="8" s="1"/>
  <c r="S21" i="8"/>
  <c r="S32" i="8" s="1"/>
  <c r="Q21" i="8"/>
  <c r="I21" i="8"/>
  <c r="I32" i="8" s="1"/>
  <c r="L32" i="8" s="1"/>
  <c r="G21" i="8"/>
  <c r="G32" i="8" s="1"/>
  <c r="F21" i="8"/>
  <c r="F32" i="8" s="1"/>
  <c r="V20" i="8"/>
  <c r="O20" i="8"/>
  <c r="N20" i="8"/>
  <c r="K20" i="8"/>
  <c r="L20" i="8" s="1"/>
  <c r="M20" i="8" s="1"/>
  <c r="H20" i="8"/>
  <c r="V19" i="8"/>
  <c r="Q19" i="8"/>
  <c r="L19" i="8"/>
  <c r="M19" i="8" s="1"/>
  <c r="H19" i="8"/>
  <c r="V18" i="8"/>
  <c r="Q18" i="8"/>
  <c r="L18" i="8"/>
  <c r="M18" i="8" s="1"/>
  <c r="H18" i="8"/>
  <c r="V17" i="8"/>
  <c r="Q17" i="8"/>
  <c r="L17" i="8"/>
  <c r="H17" i="8"/>
  <c r="U16" i="8"/>
  <c r="U14" i="8" s="1"/>
  <c r="U86" i="8" s="1"/>
  <c r="T16" i="8"/>
  <c r="S16" i="8"/>
  <c r="P16" i="8"/>
  <c r="P20" i="8" s="1"/>
  <c r="J16" i="8"/>
  <c r="I16" i="8"/>
  <c r="G16" i="8"/>
  <c r="F16" i="8"/>
  <c r="F14" i="8" s="1"/>
  <c r="F86" i="8" s="1"/>
  <c r="E16" i="8"/>
  <c r="V15" i="8"/>
  <c r="Q15" i="8"/>
  <c r="L15" i="8"/>
  <c r="H15" i="8"/>
  <c r="T14" i="8"/>
  <c r="T86" i="8" s="1"/>
  <c r="S14" i="8"/>
  <c r="Q14" i="8"/>
  <c r="Q86" i="8" s="1"/>
  <c r="G14" i="8"/>
  <c r="G86" i="8" s="1"/>
  <c r="Q13" i="8"/>
  <c r="Q12" i="8"/>
  <c r="Q11" i="8"/>
  <c r="K11" i="8"/>
  <c r="J11" i="8"/>
  <c r="T10" i="8"/>
  <c r="T11" i="8" s="1"/>
  <c r="S10" i="8"/>
  <c r="S11" i="8" s="1"/>
  <c r="S12" i="8" s="1"/>
  <c r="Q10" i="8"/>
  <c r="I10" i="8"/>
  <c r="I11" i="8" s="1"/>
  <c r="G10" i="8"/>
  <c r="G11" i="8" s="1"/>
  <c r="F10" i="8"/>
  <c r="F11" i="8" s="1"/>
  <c r="U9" i="8"/>
  <c r="P9" i="8"/>
  <c r="O9" i="8"/>
  <c r="N9" i="8"/>
  <c r="N26" i="8" s="1"/>
  <c r="N42" i="8" s="1"/>
  <c r="K9" i="8"/>
  <c r="K26" i="8" s="1"/>
  <c r="K42" i="8" s="1"/>
  <c r="J9" i="8"/>
  <c r="J23" i="8" s="1"/>
  <c r="E9" i="8"/>
  <c r="V87" i="7"/>
  <c r="Q87" i="7"/>
  <c r="L87" i="7"/>
  <c r="M87" i="7" s="1"/>
  <c r="H87" i="7"/>
  <c r="P86" i="7"/>
  <c r="O86" i="7"/>
  <c r="N86" i="7"/>
  <c r="K86" i="7"/>
  <c r="J86" i="7"/>
  <c r="G86" i="7"/>
  <c r="F86" i="7"/>
  <c r="E86" i="7"/>
  <c r="V83" i="7"/>
  <c r="Q83" i="7"/>
  <c r="L83" i="7"/>
  <c r="H83" i="7"/>
  <c r="M83" i="7" s="1"/>
  <c r="V82" i="7"/>
  <c r="Q82" i="7"/>
  <c r="L82" i="7"/>
  <c r="M82" i="7" s="1"/>
  <c r="H82" i="7"/>
  <c r="V81" i="7"/>
  <c r="Q81" i="7"/>
  <c r="L81" i="7"/>
  <c r="H81" i="7"/>
  <c r="V80" i="7"/>
  <c r="Q80" i="7"/>
  <c r="L80" i="7"/>
  <c r="H80" i="7"/>
  <c r="V79" i="7"/>
  <c r="Q79" i="7"/>
  <c r="R79" i="7" s="1"/>
  <c r="W79" i="7" s="1"/>
  <c r="L79" i="7"/>
  <c r="H79" i="7"/>
  <c r="M79" i="7" s="1"/>
  <c r="U78" i="7"/>
  <c r="T78" i="7"/>
  <c r="S78" i="7"/>
  <c r="P78" i="7"/>
  <c r="O78" i="7"/>
  <c r="N78" i="7"/>
  <c r="K78" i="7"/>
  <c r="J78" i="7"/>
  <c r="I78" i="7"/>
  <c r="G78" i="7"/>
  <c r="F78" i="7"/>
  <c r="E78" i="7"/>
  <c r="V77" i="7"/>
  <c r="Q77" i="7"/>
  <c r="L77" i="7"/>
  <c r="H77" i="7"/>
  <c r="V76" i="7"/>
  <c r="Q76" i="7"/>
  <c r="L76" i="7"/>
  <c r="H76" i="7"/>
  <c r="V75" i="7"/>
  <c r="Q75" i="7"/>
  <c r="R75" i="7" s="1"/>
  <c r="W75" i="7" s="1"/>
  <c r="L75" i="7"/>
  <c r="H75" i="7"/>
  <c r="M75" i="7" s="1"/>
  <c r="V74" i="7"/>
  <c r="Q74" i="7"/>
  <c r="L74" i="7"/>
  <c r="M74" i="7" s="1"/>
  <c r="H74" i="7"/>
  <c r="U73" i="7"/>
  <c r="T73" i="7"/>
  <c r="S73" i="7"/>
  <c r="V73" i="7" s="1"/>
  <c r="P73" i="7"/>
  <c r="O73" i="7"/>
  <c r="N73" i="7"/>
  <c r="K73" i="7"/>
  <c r="I73" i="7"/>
  <c r="G73" i="7"/>
  <c r="F73" i="7"/>
  <c r="E73" i="7"/>
  <c r="V72" i="7"/>
  <c r="Q72" i="7"/>
  <c r="R72" i="7" s="1"/>
  <c r="W72" i="7" s="1"/>
  <c r="L72" i="7"/>
  <c r="H72" i="7"/>
  <c r="M72" i="7" s="1"/>
  <c r="V71" i="7"/>
  <c r="Q71" i="7"/>
  <c r="L71" i="7"/>
  <c r="M71" i="7" s="1"/>
  <c r="H71" i="7"/>
  <c r="V70" i="7"/>
  <c r="Q70" i="7"/>
  <c r="L70" i="7"/>
  <c r="M70" i="7" s="1"/>
  <c r="R70" i="7" s="1"/>
  <c r="H70" i="7"/>
  <c r="V69" i="7"/>
  <c r="Q69" i="7"/>
  <c r="L69" i="7"/>
  <c r="H69" i="7"/>
  <c r="V68" i="7"/>
  <c r="Q68" i="7"/>
  <c r="L68" i="7"/>
  <c r="H68" i="7"/>
  <c r="M68" i="7" s="1"/>
  <c r="V67" i="7"/>
  <c r="Q67" i="7"/>
  <c r="L67" i="7"/>
  <c r="M67" i="7" s="1"/>
  <c r="H67" i="7"/>
  <c r="V66" i="7"/>
  <c r="Q66" i="7"/>
  <c r="L66" i="7"/>
  <c r="H66" i="7"/>
  <c r="V65" i="7"/>
  <c r="Q65" i="7"/>
  <c r="L65" i="7"/>
  <c r="H65" i="7"/>
  <c r="V64" i="7"/>
  <c r="Q64" i="7"/>
  <c r="R64" i="7" s="1"/>
  <c r="W64" i="7" s="1"/>
  <c r="L64" i="7"/>
  <c r="H64" i="7"/>
  <c r="M64" i="7" s="1"/>
  <c r="V63" i="7"/>
  <c r="Q63" i="7"/>
  <c r="L63" i="7"/>
  <c r="M63" i="7" s="1"/>
  <c r="H63" i="7"/>
  <c r="U62" i="7"/>
  <c r="O62" i="7"/>
  <c r="N62" i="7"/>
  <c r="J62" i="7"/>
  <c r="F62" i="7"/>
  <c r="V61" i="7"/>
  <c r="Q61" i="7"/>
  <c r="L61" i="7"/>
  <c r="H61" i="7"/>
  <c r="V60" i="7"/>
  <c r="Q60" i="7"/>
  <c r="R60" i="7" s="1"/>
  <c r="W60" i="7" s="1"/>
  <c r="L60" i="7"/>
  <c r="H60" i="7"/>
  <c r="M60" i="7" s="1"/>
  <c r="V59" i="7"/>
  <c r="Q59" i="7"/>
  <c r="L59" i="7"/>
  <c r="M59" i="7" s="1"/>
  <c r="H59" i="7"/>
  <c r="U58" i="7"/>
  <c r="T58" i="7"/>
  <c r="S58" i="7"/>
  <c r="V58" i="7" s="1"/>
  <c r="P58" i="7"/>
  <c r="N58" i="7"/>
  <c r="Q58" i="7" s="1"/>
  <c r="K58" i="7"/>
  <c r="J58" i="7"/>
  <c r="I58" i="7"/>
  <c r="G58" i="7"/>
  <c r="F58" i="7"/>
  <c r="E58" i="7"/>
  <c r="H58" i="7" s="1"/>
  <c r="V57" i="7"/>
  <c r="Q57" i="7"/>
  <c r="L57" i="7"/>
  <c r="H57" i="7"/>
  <c r="M57" i="7" s="1"/>
  <c r="R57" i="7" s="1"/>
  <c r="W57" i="7" s="1"/>
  <c r="V56" i="7"/>
  <c r="Q56" i="7"/>
  <c r="L56" i="7"/>
  <c r="M56" i="7" s="1"/>
  <c r="H56" i="7"/>
  <c r="U55" i="7"/>
  <c r="T55" i="7"/>
  <c r="S55" i="7"/>
  <c r="V55" i="7" s="1"/>
  <c r="P55" i="7"/>
  <c r="O55" i="7"/>
  <c r="N55" i="7"/>
  <c r="Q55" i="7" s="1"/>
  <c r="K55" i="7"/>
  <c r="J55" i="7"/>
  <c r="I55" i="7"/>
  <c r="G55" i="7"/>
  <c r="F55" i="7"/>
  <c r="E55" i="7"/>
  <c r="U54" i="7"/>
  <c r="T54" i="7"/>
  <c r="S54" i="7"/>
  <c r="Q54" i="7"/>
  <c r="I54" i="7"/>
  <c r="G54" i="7"/>
  <c r="F54" i="7"/>
  <c r="E54" i="7"/>
  <c r="V53" i="7"/>
  <c r="Q53" i="7"/>
  <c r="L53" i="7"/>
  <c r="M53" i="7" s="1"/>
  <c r="H53" i="7"/>
  <c r="V52" i="7"/>
  <c r="Q52" i="7"/>
  <c r="L52" i="7"/>
  <c r="H52" i="7"/>
  <c r="V51" i="7"/>
  <c r="Q51" i="7"/>
  <c r="L51" i="7"/>
  <c r="H51" i="7"/>
  <c r="T50" i="7"/>
  <c r="S50" i="7"/>
  <c r="O50" i="7"/>
  <c r="O43" i="7" s="1"/>
  <c r="N50" i="7"/>
  <c r="Q50" i="7" s="1"/>
  <c r="K50" i="7"/>
  <c r="J50" i="7"/>
  <c r="G50" i="7"/>
  <c r="F50" i="7"/>
  <c r="V48" i="7"/>
  <c r="Q48" i="7"/>
  <c r="L48" i="7"/>
  <c r="H48" i="7"/>
  <c r="V47" i="7"/>
  <c r="Q47" i="7"/>
  <c r="L47" i="7"/>
  <c r="H47" i="7"/>
  <c r="M47" i="7" s="1"/>
  <c r="V46" i="7"/>
  <c r="Q46" i="7"/>
  <c r="L46" i="7"/>
  <c r="M46" i="7" s="1"/>
  <c r="H46" i="7"/>
  <c r="V45" i="7"/>
  <c r="Q45" i="7"/>
  <c r="L45" i="7"/>
  <c r="M45" i="7" s="1"/>
  <c r="R45" i="7" s="1"/>
  <c r="W45" i="7" s="1"/>
  <c r="H45" i="7"/>
  <c r="V44" i="7"/>
  <c r="Q44" i="7"/>
  <c r="L44" i="7"/>
  <c r="H44" i="7"/>
  <c r="P43" i="7"/>
  <c r="Q41" i="7"/>
  <c r="U40" i="7"/>
  <c r="T40" i="7"/>
  <c r="S40" i="7"/>
  <c r="P40" i="7"/>
  <c r="O40" i="7"/>
  <c r="N40" i="7"/>
  <c r="K40" i="7"/>
  <c r="J40" i="7"/>
  <c r="I40" i="7"/>
  <c r="L40" i="7" s="1"/>
  <c r="G40" i="7"/>
  <c r="F40" i="7"/>
  <c r="E40" i="7"/>
  <c r="H40" i="7" s="1"/>
  <c r="U39" i="7"/>
  <c r="T39" i="7"/>
  <c r="S39" i="7"/>
  <c r="V39" i="7" s="1"/>
  <c r="P39" i="7"/>
  <c r="O39" i="7"/>
  <c r="N39" i="7"/>
  <c r="K39" i="7"/>
  <c r="J39" i="7"/>
  <c r="G39" i="7"/>
  <c r="F39" i="7"/>
  <c r="F38" i="7" s="1"/>
  <c r="E39" i="7"/>
  <c r="H39" i="7" s="1"/>
  <c r="U38" i="7"/>
  <c r="T38" i="7"/>
  <c r="P38" i="7"/>
  <c r="O38" i="7"/>
  <c r="K38" i="7"/>
  <c r="E38" i="7"/>
  <c r="V37" i="7"/>
  <c r="Q37" i="7"/>
  <c r="L37" i="7"/>
  <c r="H37" i="7"/>
  <c r="V36" i="7"/>
  <c r="Q36" i="7"/>
  <c r="I36" i="7"/>
  <c r="I39" i="7" s="1"/>
  <c r="H36" i="7"/>
  <c r="V35" i="7"/>
  <c r="U35" i="7"/>
  <c r="T35" i="7"/>
  <c r="S35" i="7"/>
  <c r="Q35" i="7"/>
  <c r="P35" i="7"/>
  <c r="O35" i="7"/>
  <c r="N35" i="7"/>
  <c r="K35" i="7"/>
  <c r="J35" i="7"/>
  <c r="I35" i="7"/>
  <c r="H35" i="7"/>
  <c r="G35" i="7"/>
  <c r="F35" i="7"/>
  <c r="E35" i="7"/>
  <c r="V34" i="7"/>
  <c r="Q34" i="7"/>
  <c r="L34" i="7"/>
  <c r="H34" i="7"/>
  <c r="V33" i="7"/>
  <c r="Q33" i="7"/>
  <c r="L33" i="7"/>
  <c r="H33" i="7"/>
  <c r="M33" i="7" s="1"/>
  <c r="Q32" i="7"/>
  <c r="V31" i="7"/>
  <c r="Q31" i="7"/>
  <c r="L31" i="7"/>
  <c r="H31" i="7"/>
  <c r="V29" i="7"/>
  <c r="Q29" i="7"/>
  <c r="L29" i="7"/>
  <c r="M29" i="7" s="1"/>
  <c r="H29" i="7"/>
  <c r="Q27" i="7"/>
  <c r="L27" i="7"/>
  <c r="M27" i="7" s="1"/>
  <c r="R27" i="7" s="1"/>
  <c r="U27" i="7" s="1"/>
  <c r="V27" i="7" s="1"/>
  <c r="H27" i="7"/>
  <c r="V25" i="7"/>
  <c r="Q25" i="7"/>
  <c r="L25" i="7"/>
  <c r="H25" i="7"/>
  <c r="M25" i="7" s="1"/>
  <c r="Q21" i="7"/>
  <c r="V20" i="7"/>
  <c r="O20" i="7"/>
  <c r="N20" i="7"/>
  <c r="Q20" i="7" s="1"/>
  <c r="K20" i="7"/>
  <c r="L20" i="7" s="1"/>
  <c r="H20" i="7"/>
  <c r="V19" i="7"/>
  <c r="Q19" i="7"/>
  <c r="L19" i="7"/>
  <c r="M19" i="7" s="1"/>
  <c r="H19" i="7"/>
  <c r="V18" i="7"/>
  <c r="Q18" i="7"/>
  <c r="L18" i="7"/>
  <c r="H18" i="7"/>
  <c r="U17" i="7"/>
  <c r="V17" i="7" s="1"/>
  <c r="Q17" i="7"/>
  <c r="L17" i="7"/>
  <c r="M17" i="7" s="1"/>
  <c r="H17" i="7"/>
  <c r="U16" i="7"/>
  <c r="T16" i="7"/>
  <c r="S16" i="7"/>
  <c r="P16" i="7"/>
  <c r="P20" i="7" s="1"/>
  <c r="J16" i="7"/>
  <c r="I16" i="7"/>
  <c r="G16" i="7"/>
  <c r="F16" i="7"/>
  <c r="E16" i="7"/>
  <c r="H16" i="7" s="1"/>
  <c r="V15" i="7"/>
  <c r="Q15" i="7"/>
  <c r="L15" i="7"/>
  <c r="H15" i="7"/>
  <c r="T14" i="7"/>
  <c r="T86" i="7" s="1"/>
  <c r="S14" i="7"/>
  <c r="S86" i="7" s="1"/>
  <c r="Q14" i="7"/>
  <c r="Q86" i="7" s="1"/>
  <c r="I14" i="7"/>
  <c r="H14" i="7"/>
  <c r="H86" i="7" s="1"/>
  <c r="Q13" i="7"/>
  <c r="H13" i="7"/>
  <c r="Q12" i="7"/>
  <c r="Q11" i="7"/>
  <c r="K11" i="7"/>
  <c r="J11" i="7"/>
  <c r="J9" i="7" s="1"/>
  <c r="Q10" i="7"/>
  <c r="U9" i="7"/>
  <c r="U26" i="7" s="1"/>
  <c r="U42" i="7" s="1"/>
  <c r="T9" i="7"/>
  <c r="T23" i="7" s="1"/>
  <c r="T49" i="7" s="1"/>
  <c r="S9" i="7"/>
  <c r="P9" i="7"/>
  <c r="P26" i="7" s="1"/>
  <c r="P42" i="7" s="1"/>
  <c r="O9" i="7"/>
  <c r="N9" i="7"/>
  <c r="N23" i="7" s="1"/>
  <c r="K9" i="7"/>
  <c r="I9" i="7"/>
  <c r="I26" i="7" s="1"/>
  <c r="G9" i="7"/>
  <c r="F9" i="7"/>
  <c r="F10" i="7" s="1"/>
  <c r="F11" i="7" s="1"/>
  <c r="F12" i="7" s="1"/>
  <c r="E9" i="7"/>
  <c r="E26" i="7" s="1"/>
  <c r="V87" i="6"/>
  <c r="Q87" i="6"/>
  <c r="L87" i="6"/>
  <c r="M87" i="6" s="1"/>
  <c r="H87" i="6"/>
  <c r="P86" i="6"/>
  <c r="O86" i="6"/>
  <c r="N86" i="6"/>
  <c r="K86" i="6"/>
  <c r="J86" i="6"/>
  <c r="V83" i="6"/>
  <c r="Q83" i="6"/>
  <c r="L83" i="6"/>
  <c r="H83" i="6"/>
  <c r="M83" i="6" s="1"/>
  <c r="V82" i="6"/>
  <c r="Q82" i="6"/>
  <c r="L82" i="6"/>
  <c r="M82" i="6" s="1"/>
  <c r="H82" i="6"/>
  <c r="V81" i="6"/>
  <c r="Q81" i="6"/>
  <c r="L81" i="6"/>
  <c r="H81" i="6"/>
  <c r="V80" i="6"/>
  <c r="Q80" i="6"/>
  <c r="L80" i="6"/>
  <c r="H80" i="6"/>
  <c r="V79" i="6"/>
  <c r="Q79" i="6"/>
  <c r="L79" i="6"/>
  <c r="H79" i="6"/>
  <c r="M79" i="6" s="1"/>
  <c r="U78" i="6"/>
  <c r="T78" i="6"/>
  <c r="S78" i="6"/>
  <c r="V78" i="6" s="1"/>
  <c r="P78" i="6"/>
  <c r="O78" i="6"/>
  <c r="N78" i="6"/>
  <c r="K78" i="6"/>
  <c r="J78" i="6"/>
  <c r="I78" i="6"/>
  <c r="G78" i="6"/>
  <c r="F78" i="6"/>
  <c r="E78" i="6"/>
  <c r="V77" i="6"/>
  <c r="Q77" i="6"/>
  <c r="L77" i="6"/>
  <c r="H77" i="6"/>
  <c r="V76" i="6"/>
  <c r="Q76" i="6"/>
  <c r="L76" i="6"/>
  <c r="H76" i="6"/>
  <c r="V75" i="6"/>
  <c r="Q75" i="6"/>
  <c r="L75" i="6"/>
  <c r="H75" i="6"/>
  <c r="M75" i="6" s="1"/>
  <c r="V74" i="6"/>
  <c r="Q74" i="6"/>
  <c r="L74" i="6"/>
  <c r="M74" i="6" s="1"/>
  <c r="H74" i="6"/>
  <c r="U73" i="6"/>
  <c r="T73" i="6"/>
  <c r="S73" i="6"/>
  <c r="V73" i="6" s="1"/>
  <c r="P73" i="6"/>
  <c r="O73" i="6"/>
  <c r="N73" i="6"/>
  <c r="Q73" i="6" s="1"/>
  <c r="K73" i="6"/>
  <c r="I73" i="6"/>
  <c r="G73" i="6"/>
  <c r="F73" i="6"/>
  <c r="E73" i="6"/>
  <c r="V72" i="6"/>
  <c r="Q72" i="6"/>
  <c r="L72" i="6"/>
  <c r="H72" i="6"/>
  <c r="M72" i="6" s="1"/>
  <c r="V71" i="6"/>
  <c r="Q71" i="6"/>
  <c r="L71" i="6"/>
  <c r="M71" i="6" s="1"/>
  <c r="H71" i="6"/>
  <c r="V70" i="6"/>
  <c r="Q70" i="6"/>
  <c r="L70" i="6"/>
  <c r="M70" i="6" s="1"/>
  <c r="R70" i="6" s="1"/>
  <c r="H70" i="6"/>
  <c r="V69" i="6"/>
  <c r="Q69" i="6"/>
  <c r="L69" i="6"/>
  <c r="H69" i="6"/>
  <c r="V68" i="6"/>
  <c r="Q68" i="6"/>
  <c r="L68" i="6"/>
  <c r="H68" i="6"/>
  <c r="M68" i="6" s="1"/>
  <c r="V67" i="6"/>
  <c r="Q67" i="6"/>
  <c r="L67" i="6"/>
  <c r="M67" i="6" s="1"/>
  <c r="H67" i="6"/>
  <c r="V66" i="6"/>
  <c r="Q66" i="6"/>
  <c r="L66" i="6"/>
  <c r="H66" i="6"/>
  <c r="V65" i="6"/>
  <c r="Q65" i="6"/>
  <c r="L65" i="6"/>
  <c r="H65" i="6"/>
  <c r="V64" i="6"/>
  <c r="Q64" i="6"/>
  <c r="R64" i="6" s="1"/>
  <c r="W64" i="6" s="1"/>
  <c r="L64" i="6"/>
  <c r="H64" i="6"/>
  <c r="M64" i="6" s="1"/>
  <c r="V63" i="6"/>
  <c r="Q63" i="6"/>
  <c r="L63" i="6"/>
  <c r="M63" i="6" s="1"/>
  <c r="H63" i="6"/>
  <c r="U62" i="6"/>
  <c r="S62" i="6"/>
  <c r="K62" i="6"/>
  <c r="J62" i="6"/>
  <c r="F62" i="6"/>
  <c r="V61" i="6"/>
  <c r="Q61" i="6"/>
  <c r="L61" i="6"/>
  <c r="H61" i="6"/>
  <c r="V60" i="6"/>
  <c r="Q60" i="6"/>
  <c r="L60" i="6"/>
  <c r="H60" i="6"/>
  <c r="M60" i="6" s="1"/>
  <c r="V59" i="6"/>
  <c r="Q59" i="6"/>
  <c r="L59" i="6"/>
  <c r="M59" i="6" s="1"/>
  <c r="H59" i="6"/>
  <c r="U58" i="6"/>
  <c r="T58" i="6"/>
  <c r="S58" i="6"/>
  <c r="V58" i="6" s="1"/>
  <c r="P58" i="6"/>
  <c r="N58" i="6"/>
  <c r="Q58" i="6" s="1"/>
  <c r="K58" i="6"/>
  <c r="J58" i="6"/>
  <c r="I58" i="6"/>
  <c r="L58" i="6" s="1"/>
  <c r="M58" i="6" s="1"/>
  <c r="G58" i="6"/>
  <c r="F58" i="6"/>
  <c r="E58" i="6"/>
  <c r="H58" i="6" s="1"/>
  <c r="V57" i="6"/>
  <c r="Q57" i="6"/>
  <c r="R57" i="6" s="1"/>
  <c r="W57" i="6" s="1"/>
  <c r="L57" i="6"/>
  <c r="H57" i="6"/>
  <c r="M57" i="6" s="1"/>
  <c r="V56" i="6"/>
  <c r="Q56" i="6"/>
  <c r="L56" i="6"/>
  <c r="M56" i="6" s="1"/>
  <c r="H56" i="6"/>
  <c r="U55" i="6"/>
  <c r="T55" i="6"/>
  <c r="S55" i="6"/>
  <c r="V55" i="6" s="1"/>
  <c r="P55" i="6"/>
  <c r="O55" i="6"/>
  <c r="N55" i="6"/>
  <c r="Q55" i="6" s="1"/>
  <c r="K55" i="6"/>
  <c r="J55" i="6"/>
  <c r="I55" i="6"/>
  <c r="G55" i="6"/>
  <c r="F55" i="6"/>
  <c r="E55" i="6"/>
  <c r="H55" i="6" s="1"/>
  <c r="U54" i="6"/>
  <c r="T54" i="6"/>
  <c r="S54" i="6"/>
  <c r="Q54" i="6"/>
  <c r="I54" i="6"/>
  <c r="G54" i="6"/>
  <c r="F54" i="6"/>
  <c r="E54" i="6"/>
  <c r="E50" i="6" s="1"/>
  <c r="V53" i="6"/>
  <c r="Q53" i="6"/>
  <c r="L53" i="6"/>
  <c r="M53" i="6" s="1"/>
  <c r="H53" i="6"/>
  <c r="V52" i="6"/>
  <c r="Q52" i="6"/>
  <c r="L52" i="6"/>
  <c r="H52" i="6"/>
  <c r="V51" i="6"/>
  <c r="Q51" i="6"/>
  <c r="L51" i="6"/>
  <c r="H51" i="6"/>
  <c r="T50" i="6"/>
  <c r="S50" i="6"/>
  <c r="O50" i="6"/>
  <c r="O43" i="6" s="1"/>
  <c r="N50" i="6"/>
  <c r="Q50" i="6" s="1"/>
  <c r="K50" i="6"/>
  <c r="J50" i="6"/>
  <c r="G50" i="6"/>
  <c r="F50" i="6"/>
  <c r="V48" i="6"/>
  <c r="Q48" i="6"/>
  <c r="L48" i="6"/>
  <c r="H48" i="6"/>
  <c r="V47" i="6"/>
  <c r="Q47" i="6"/>
  <c r="L47" i="6"/>
  <c r="H47" i="6"/>
  <c r="M47" i="6" s="1"/>
  <c r="V46" i="6"/>
  <c r="Q46" i="6"/>
  <c r="L46" i="6"/>
  <c r="M46" i="6" s="1"/>
  <c r="H46" i="6"/>
  <c r="V45" i="6"/>
  <c r="Q45" i="6"/>
  <c r="L45" i="6"/>
  <c r="H45" i="6"/>
  <c r="V44" i="6"/>
  <c r="Q44" i="6"/>
  <c r="L44" i="6"/>
  <c r="H44" i="6"/>
  <c r="P43" i="6"/>
  <c r="Q41" i="6"/>
  <c r="U40" i="6"/>
  <c r="T40" i="6"/>
  <c r="S40" i="6"/>
  <c r="P40" i="6"/>
  <c r="O40" i="6"/>
  <c r="N40" i="6"/>
  <c r="Q40" i="6" s="1"/>
  <c r="K40" i="6"/>
  <c r="J40" i="6"/>
  <c r="I40" i="6"/>
  <c r="G40" i="6"/>
  <c r="F40" i="6"/>
  <c r="E40" i="6"/>
  <c r="H40" i="6" s="1"/>
  <c r="U39" i="6"/>
  <c r="T39" i="6"/>
  <c r="S39" i="6"/>
  <c r="V39" i="6" s="1"/>
  <c r="P39" i="6"/>
  <c r="Q85" i="2" s="1"/>
  <c r="O39" i="6"/>
  <c r="P85" i="2" s="1"/>
  <c r="N39" i="6"/>
  <c r="O85" i="2" s="1"/>
  <c r="K39" i="6"/>
  <c r="L85" i="2" s="1"/>
  <c r="J39" i="6"/>
  <c r="G39" i="6"/>
  <c r="F39" i="6"/>
  <c r="E39" i="6"/>
  <c r="U38" i="6"/>
  <c r="T38" i="6"/>
  <c r="P38" i="6"/>
  <c r="O38" i="6"/>
  <c r="K38" i="6"/>
  <c r="G38" i="6"/>
  <c r="V37" i="6"/>
  <c r="Q37" i="6"/>
  <c r="L37" i="6"/>
  <c r="H37" i="6"/>
  <c r="V36" i="6"/>
  <c r="Q36" i="6"/>
  <c r="I36" i="6"/>
  <c r="I39" i="6" s="1"/>
  <c r="I38" i="6" s="1"/>
  <c r="H36" i="6"/>
  <c r="V35" i="6"/>
  <c r="U35" i="6"/>
  <c r="T35" i="6"/>
  <c r="S35" i="6"/>
  <c r="Q35" i="6"/>
  <c r="P35" i="6"/>
  <c r="O35" i="6"/>
  <c r="N35" i="6"/>
  <c r="K35" i="6"/>
  <c r="J35" i="6"/>
  <c r="I35" i="6"/>
  <c r="H35" i="6"/>
  <c r="G35" i="6"/>
  <c r="F35" i="6"/>
  <c r="E35" i="6"/>
  <c r="V34" i="6"/>
  <c r="Q34" i="6"/>
  <c r="L34" i="6"/>
  <c r="H34" i="6"/>
  <c r="V33" i="6"/>
  <c r="Q33" i="6"/>
  <c r="L33" i="6"/>
  <c r="H33" i="6"/>
  <c r="Q32" i="6"/>
  <c r="Q31" i="6"/>
  <c r="V29" i="6"/>
  <c r="Q29" i="6"/>
  <c r="L29" i="6"/>
  <c r="H29" i="6"/>
  <c r="Q27" i="6"/>
  <c r="L27" i="6"/>
  <c r="H27" i="6"/>
  <c r="V25" i="6"/>
  <c r="Q25" i="6"/>
  <c r="L25" i="6"/>
  <c r="H25" i="6"/>
  <c r="Q21" i="6"/>
  <c r="V20" i="6"/>
  <c r="O20" i="6"/>
  <c r="N20" i="6"/>
  <c r="K20" i="6"/>
  <c r="L20" i="6" s="1"/>
  <c r="H20" i="6"/>
  <c r="V19" i="6"/>
  <c r="Q19" i="6"/>
  <c r="L19" i="6"/>
  <c r="H19" i="6"/>
  <c r="V18" i="6"/>
  <c r="Q18" i="6"/>
  <c r="L18" i="6"/>
  <c r="H18" i="6"/>
  <c r="V17" i="6"/>
  <c r="Q17" i="6"/>
  <c r="L17" i="6"/>
  <c r="M17" i="6" s="1"/>
  <c r="H17" i="6"/>
  <c r="U16" i="6"/>
  <c r="T16" i="6"/>
  <c r="S16" i="6"/>
  <c r="S14" i="6" s="1"/>
  <c r="S86" i="6" s="1"/>
  <c r="P16" i="6"/>
  <c r="Q16" i="6" s="1"/>
  <c r="J16" i="6"/>
  <c r="I16" i="6"/>
  <c r="L16" i="6" s="1"/>
  <c r="G16" i="6"/>
  <c r="F16" i="6"/>
  <c r="H16" i="6" s="1"/>
  <c r="M16" i="6" s="1"/>
  <c r="V15" i="6"/>
  <c r="Q15" i="6"/>
  <c r="L15" i="6"/>
  <c r="H15" i="6"/>
  <c r="U14" i="6"/>
  <c r="U86" i="6" s="1"/>
  <c r="T14" i="6"/>
  <c r="T86" i="6" s="1"/>
  <c r="Q14" i="6"/>
  <c r="I14" i="6"/>
  <c r="G14" i="6"/>
  <c r="F14" i="6"/>
  <c r="F86" i="6" s="1"/>
  <c r="E14" i="6"/>
  <c r="E86" i="6" s="1"/>
  <c r="Q13" i="6"/>
  <c r="Q12" i="6"/>
  <c r="Q11" i="6"/>
  <c r="K11" i="6"/>
  <c r="K9" i="6" s="1"/>
  <c r="K26" i="6" s="1"/>
  <c r="K42" i="6" s="1"/>
  <c r="J11" i="6"/>
  <c r="Q10" i="6"/>
  <c r="U9" i="6"/>
  <c r="T9" i="6"/>
  <c r="T26" i="6" s="1"/>
  <c r="T42" i="6" s="1"/>
  <c r="S9" i="6"/>
  <c r="S21" i="6" s="1"/>
  <c r="S32" i="6" s="1"/>
  <c r="P9" i="6"/>
  <c r="P23" i="6" s="1"/>
  <c r="O9" i="6"/>
  <c r="O23" i="6" s="1"/>
  <c r="O49" i="6" s="1"/>
  <c r="N9" i="6"/>
  <c r="N26" i="6" s="1"/>
  <c r="J9" i="6"/>
  <c r="J26" i="6" s="1"/>
  <c r="J42" i="6" s="1"/>
  <c r="I9" i="6"/>
  <c r="I23" i="6" s="1"/>
  <c r="G9" i="6"/>
  <c r="G41" i="6" s="1"/>
  <c r="F9" i="6"/>
  <c r="F23" i="6" s="1"/>
  <c r="E9" i="6"/>
  <c r="V87" i="5"/>
  <c r="Q87" i="5"/>
  <c r="L87" i="5"/>
  <c r="M87" i="5" s="1"/>
  <c r="H87" i="5"/>
  <c r="P86" i="5"/>
  <c r="O86" i="5"/>
  <c r="N86" i="5"/>
  <c r="K86" i="5"/>
  <c r="J86" i="5"/>
  <c r="V83" i="5"/>
  <c r="Q83" i="5"/>
  <c r="L83" i="5"/>
  <c r="H83" i="5"/>
  <c r="M83" i="5" s="1"/>
  <c r="R83" i="5" s="1"/>
  <c r="W83" i="5" s="1"/>
  <c r="V82" i="5"/>
  <c r="Q82" i="5"/>
  <c r="L82" i="5"/>
  <c r="M82" i="5" s="1"/>
  <c r="H82" i="5"/>
  <c r="V81" i="5"/>
  <c r="Q81" i="5"/>
  <c r="L81" i="5"/>
  <c r="H81" i="5"/>
  <c r="V80" i="5"/>
  <c r="Q80" i="5"/>
  <c r="L80" i="5"/>
  <c r="H80" i="5"/>
  <c r="V79" i="5"/>
  <c r="Q79" i="5"/>
  <c r="L79" i="5"/>
  <c r="H79" i="5"/>
  <c r="M79" i="5" s="1"/>
  <c r="U78" i="5"/>
  <c r="T78" i="5"/>
  <c r="S78" i="5"/>
  <c r="P78" i="5"/>
  <c r="O78" i="5"/>
  <c r="N78" i="5"/>
  <c r="K78" i="5"/>
  <c r="J78" i="5"/>
  <c r="I78" i="5"/>
  <c r="G78" i="5"/>
  <c r="F78" i="5"/>
  <c r="E78" i="5"/>
  <c r="V77" i="5"/>
  <c r="Q77" i="5"/>
  <c r="L77" i="5"/>
  <c r="M77" i="5" s="1"/>
  <c r="R77" i="5" s="1"/>
  <c r="H77" i="5"/>
  <c r="V76" i="5"/>
  <c r="Q76" i="5"/>
  <c r="L76" i="5"/>
  <c r="H76" i="5"/>
  <c r="V75" i="5"/>
  <c r="Q75" i="5"/>
  <c r="L75" i="5"/>
  <c r="H75" i="5"/>
  <c r="M75" i="5" s="1"/>
  <c r="V74" i="5"/>
  <c r="Q74" i="5"/>
  <c r="L74" i="5"/>
  <c r="M74" i="5" s="1"/>
  <c r="H74" i="5"/>
  <c r="U73" i="5"/>
  <c r="T73" i="5"/>
  <c r="S73" i="5"/>
  <c r="V73" i="5" s="1"/>
  <c r="P73" i="5"/>
  <c r="O73" i="5"/>
  <c r="N73" i="5"/>
  <c r="Q73" i="5" s="1"/>
  <c r="K73" i="5"/>
  <c r="I73" i="5"/>
  <c r="G73" i="5"/>
  <c r="F73" i="5"/>
  <c r="E73" i="5"/>
  <c r="V72" i="5"/>
  <c r="Q72" i="5"/>
  <c r="L72" i="5"/>
  <c r="H72" i="5"/>
  <c r="M72" i="5" s="1"/>
  <c r="V71" i="5"/>
  <c r="Q71" i="5"/>
  <c r="L71" i="5"/>
  <c r="M71" i="5" s="1"/>
  <c r="H71" i="5"/>
  <c r="V70" i="5"/>
  <c r="Q70" i="5"/>
  <c r="L70" i="5"/>
  <c r="M70" i="5" s="1"/>
  <c r="R70" i="5" s="1"/>
  <c r="W70" i="5" s="1"/>
  <c r="H70" i="5"/>
  <c r="V69" i="5"/>
  <c r="Q69" i="5"/>
  <c r="L69" i="5"/>
  <c r="H69" i="5"/>
  <c r="V68" i="5"/>
  <c r="Q68" i="5"/>
  <c r="L68" i="5"/>
  <c r="H68" i="5"/>
  <c r="M68" i="5" s="1"/>
  <c r="R68" i="5" s="1"/>
  <c r="W68" i="5" s="1"/>
  <c r="V67" i="5"/>
  <c r="Q67" i="5"/>
  <c r="L67" i="5"/>
  <c r="M67" i="5" s="1"/>
  <c r="H67" i="5"/>
  <c r="V66" i="5"/>
  <c r="Q66" i="5"/>
  <c r="L66" i="5"/>
  <c r="H66" i="5"/>
  <c r="V65" i="5"/>
  <c r="Q65" i="5"/>
  <c r="L65" i="5"/>
  <c r="H65" i="5"/>
  <c r="V64" i="5"/>
  <c r="Q64" i="5"/>
  <c r="R64" i="5" s="1"/>
  <c r="W64" i="5" s="1"/>
  <c r="L64" i="5"/>
  <c r="H64" i="5"/>
  <c r="M64" i="5" s="1"/>
  <c r="V63" i="5"/>
  <c r="Q63" i="5"/>
  <c r="L63" i="5"/>
  <c r="M63" i="5" s="1"/>
  <c r="H63" i="5"/>
  <c r="U62" i="5"/>
  <c r="S62" i="5"/>
  <c r="J62" i="5"/>
  <c r="F62" i="5"/>
  <c r="V61" i="5"/>
  <c r="Q61" i="5"/>
  <c r="L61" i="5"/>
  <c r="H61" i="5"/>
  <c r="V60" i="5"/>
  <c r="Q60" i="5"/>
  <c r="L60" i="5"/>
  <c r="H60" i="5"/>
  <c r="M60" i="5" s="1"/>
  <c r="V59" i="5"/>
  <c r="Q59" i="5"/>
  <c r="L59" i="5"/>
  <c r="M59" i="5" s="1"/>
  <c r="H59" i="5"/>
  <c r="U58" i="5"/>
  <c r="T58" i="5"/>
  <c r="S58" i="5"/>
  <c r="V58" i="5" s="1"/>
  <c r="P58" i="5"/>
  <c r="N58" i="5"/>
  <c r="Q58" i="5" s="1"/>
  <c r="K58" i="5"/>
  <c r="J58" i="5"/>
  <c r="I58" i="5"/>
  <c r="L58" i="5" s="1"/>
  <c r="G58" i="5"/>
  <c r="F58" i="5"/>
  <c r="E58" i="5"/>
  <c r="V57" i="5"/>
  <c r="Q57" i="5"/>
  <c r="R57" i="5" s="1"/>
  <c r="W57" i="5" s="1"/>
  <c r="L57" i="5"/>
  <c r="H57" i="5"/>
  <c r="M57" i="5" s="1"/>
  <c r="V56" i="5"/>
  <c r="Q56" i="5"/>
  <c r="L56" i="5"/>
  <c r="M56" i="5" s="1"/>
  <c r="H56" i="5"/>
  <c r="U55" i="5"/>
  <c r="T55" i="5"/>
  <c r="S55" i="5"/>
  <c r="V55" i="5" s="1"/>
  <c r="P55" i="5"/>
  <c r="O55" i="5"/>
  <c r="N55" i="5"/>
  <c r="K55" i="5"/>
  <c r="J55" i="5"/>
  <c r="I55" i="5"/>
  <c r="G55" i="5"/>
  <c r="F55" i="5"/>
  <c r="E55" i="5"/>
  <c r="H55" i="5" s="1"/>
  <c r="U54" i="5"/>
  <c r="V45" i="2" s="1"/>
  <c r="V41" i="2" s="1"/>
  <c r="T54" i="5"/>
  <c r="U45" i="2" s="1"/>
  <c r="U41" i="2" s="1"/>
  <c r="S54" i="5"/>
  <c r="T45" i="2" s="1"/>
  <c r="T41" i="2" s="1"/>
  <c r="Q54" i="5"/>
  <c r="I54" i="5"/>
  <c r="J45" i="2" s="1"/>
  <c r="J41" i="2" s="1"/>
  <c r="G54" i="5"/>
  <c r="H45" i="2" s="1"/>
  <c r="H41" i="2" s="1"/>
  <c r="F54" i="5"/>
  <c r="G45" i="2" s="1"/>
  <c r="G41" i="2" s="1"/>
  <c r="E54" i="5"/>
  <c r="V53" i="5"/>
  <c r="Q53" i="5"/>
  <c r="L53" i="5"/>
  <c r="M53" i="5" s="1"/>
  <c r="H53" i="5"/>
  <c r="V52" i="5"/>
  <c r="Q52" i="5"/>
  <c r="L52" i="5"/>
  <c r="M52" i="5" s="1"/>
  <c r="R52" i="5" s="1"/>
  <c r="H52" i="5"/>
  <c r="V51" i="5"/>
  <c r="Q51" i="5"/>
  <c r="L51" i="5"/>
  <c r="H51" i="5"/>
  <c r="U50" i="5"/>
  <c r="T50" i="5"/>
  <c r="S50" i="5"/>
  <c r="V50" i="5" s="1"/>
  <c r="O50" i="5"/>
  <c r="O43" i="5" s="1"/>
  <c r="N50" i="5"/>
  <c r="Q50" i="5" s="1"/>
  <c r="K50" i="5"/>
  <c r="J50" i="5"/>
  <c r="G50" i="5"/>
  <c r="F50" i="5"/>
  <c r="V48" i="5"/>
  <c r="Q48" i="5"/>
  <c r="L48" i="5"/>
  <c r="H48" i="5"/>
  <c r="V47" i="5"/>
  <c r="Q47" i="5"/>
  <c r="L47" i="5"/>
  <c r="H47" i="5"/>
  <c r="M47" i="5" s="1"/>
  <c r="R47" i="5" s="1"/>
  <c r="W47" i="5" s="1"/>
  <c r="V46" i="5"/>
  <c r="Q46" i="5"/>
  <c r="L46" i="5"/>
  <c r="M46" i="5" s="1"/>
  <c r="H46" i="5"/>
  <c r="V45" i="5"/>
  <c r="Q45" i="5"/>
  <c r="L45" i="5"/>
  <c r="H45" i="5"/>
  <c r="V44" i="5"/>
  <c r="Q44" i="5"/>
  <c r="L44" i="5"/>
  <c r="H44" i="5"/>
  <c r="P43" i="5"/>
  <c r="Q41" i="5"/>
  <c r="U40" i="5"/>
  <c r="T40" i="5"/>
  <c r="S40" i="5"/>
  <c r="P40" i="5"/>
  <c r="O40" i="5"/>
  <c r="N40" i="5"/>
  <c r="K40" i="5"/>
  <c r="J40" i="5"/>
  <c r="I40" i="5"/>
  <c r="L40" i="5" s="1"/>
  <c r="G40" i="5"/>
  <c r="F40" i="5"/>
  <c r="E40" i="5"/>
  <c r="H40" i="5" s="1"/>
  <c r="U39" i="5"/>
  <c r="T39" i="5"/>
  <c r="T38" i="5" s="1"/>
  <c r="S39" i="5"/>
  <c r="P39" i="5"/>
  <c r="P38" i="5" s="1"/>
  <c r="O39" i="5"/>
  <c r="N39" i="5"/>
  <c r="K39" i="5"/>
  <c r="K38" i="5" s="1"/>
  <c r="J39" i="5"/>
  <c r="G39" i="5"/>
  <c r="F39" i="5"/>
  <c r="F38" i="5" s="1"/>
  <c r="E39" i="5"/>
  <c r="H39" i="5" s="1"/>
  <c r="S38" i="5"/>
  <c r="O38" i="5"/>
  <c r="N38" i="5"/>
  <c r="J38" i="5"/>
  <c r="G38" i="5"/>
  <c r="E38" i="5"/>
  <c r="V37" i="5"/>
  <c r="Q37" i="5"/>
  <c r="L37" i="5"/>
  <c r="H37" i="5"/>
  <c r="V36" i="5"/>
  <c r="Q36" i="5"/>
  <c r="I36" i="5"/>
  <c r="J85" i="2" s="1"/>
  <c r="H36" i="5"/>
  <c r="U35" i="5"/>
  <c r="T35" i="5"/>
  <c r="S35" i="5"/>
  <c r="Q35" i="5"/>
  <c r="P35" i="5"/>
  <c r="O35" i="5"/>
  <c r="N35" i="5"/>
  <c r="K35" i="5"/>
  <c r="J35" i="5"/>
  <c r="I35" i="5"/>
  <c r="G35" i="5"/>
  <c r="F35" i="5"/>
  <c r="E35" i="5"/>
  <c r="V34" i="5"/>
  <c r="Q34" i="5"/>
  <c r="L34" i="5"/>
  <c r="H34" i="5"/>
  <c r="V33" i="5"/>
  <c r="Q33" i="5"/>
  <c r="L33" i="5"/>
  <c r="M33" i="5" s="1"/>
  <c r="H33" i="5"/>
  <c r="Q32" i="5"/>
  <c r="Q31" i="5"/>
  <c r="V29" i="5"/>
  <c r="Q29" i="5"/>
  <c r="L29" i="5"/>
  <c r="H29" i="5"/>
  <c r="Q27" i="5"/>
  <c r="L27" i="5"/>
  <c r="H27" i="5"/>
  <c r="V25" i="5"/>
  <c r="Q25" i="5"/>
  <c r="L25" i="5"/>
  <c r="M25" i="5" s="1"/>
  <c r="H25" i="5"/>
  <c r="Q22" i="5"/>
  <c r="Q21" i="5"/>
  <c r="V20" i="5"/>
  <c r="O20" i="5"/>
  <c r="N20" i="5"/>
  <c r="K20" i="5"/>
  <c r="L20" i="5" s="1"/>
  <c r="H20" i="5"/>
  <c r="V19" i="5"/>
  <c r="Q19" i="5"/>
  <c r="L19" i="5"/>
  <c r="M19" i="5" s="1"/>
  <c r="H19" i="5"/>
  <c r="V18" i="5"/>
  <c r="Q18" i="5"/>
  <c r="L18" i="5"/>
  <c r="H18" i="5"/>
  <c r="U17" i="5"/>
  <c r="T17" i="5"/>
  <c r="T16" i="5" s="1"/>
  <c r="S17" i="5"/>
  <c r="Q17" i="5"/>
  <c r="I17" i="5"/>
  <c r="L17" i="5" s="1"/>
  <c r="G17" i="5"/>
  <c r="F17" i="5"/>
  <c r="E17" i="5"/>
  <c r="H17" i="5" s="1"/>
  <c r="M17" i="5" s="1"/>
  <c r="U16" i="5"/>
  <c r="U14" i="5" s="1"/>
  <c r="U86" i="5" s="1"/>
  <c r="S16" i="5"/>
  <c r="P16" i="5"/>
  <c r="P20" i="5" s="1"/>
  <c r="J16" i="5"/>
  <c r="I16" i="5"/>
  <c r="I14" i="5" s="1"/>
  <c r="G16" i="5"/>
  <c r="F16" i="5"/>
  <c r="F14" i="5" s="1"/>
  <c r="F86" i="5" s="1"/>
  <c r="G16" i="2" s="1"/>
  <c r="E16" i="5"/>
  <c r="H16" i="5" s="1"/>
  <c r="V15" i="5"/>
  <c r="Q15" i="5"/>
  <c r="L15" i="5"/>
  <c r="H15" i="5"/>
  <c r="S14" i="5"/>
  <c r="S86" i="5" s="1"/>
  <c r="Q14" i="5"/>
  <c r="Q86" i="5" s="1"/>
  <c r="G14" i="5"/>
  <c r="G86" i="5" s="1"/>
  <c r="S13" i="5"/>
  <c r="Q13" i="5"/>
  <c r="R13" i="5" s="1"/>
  <c r="W13" i="5" s="1"/>
  <c r="Q12" i="5"/>
  <c r="Q11" i="5"/>
  <c r="K11" i="5"/>
  <c r="K9" i="5" s="1"/>
  <c r="J11" i="5"/>
  <c r="Q10" i="5"/>
  <c r="U9" i="5"/>
  <c r="U41" i="5" s="1"/>
  <c r="T9" i="5"/>
  <c r="T10" i="5" s="1"/>
  <c r="T11" i="5" s="1"/>
  <c r="S9" i="5"/>
  <c r="S41" i="5" s="1"/>
  <c r="P9" i="5"/>
  <c r="P23" i="5" s="1"/>
  <c r="P49" i="5" s="1"/>
  <c r="O9" i="5"/>
  <c r="O26" i="5" s="1"/>
  <c r="O42" i="5" s="1"/>
  <c r="N9" i="5"/>
  <c r="N26" i="5" s="1"/>
  <c r="N42" i="5" s="1"/>
  <c r="J9" i="5"/>
  <c r="J26" i="5" s="1"/>
  <c r="J42" i="5" s="1"/>
  <c r="I9" i="5"/>
  <c r="I41" i="5" s="1"/>
  <c r="G9" i="5"/>
  <c r="G26" i="5" s="1"/>
  <c r="G42" i="5" s="1"/>
  <c r="F9" i="5"/>
  <c r="F26" i="5" s="1"/>
  <c r="F42" i="5" s="1"/>
  <c r="E9" i="5"/>
  <c r="E23" i="5" s="1"/>
  <c r="M40" i="5" l="1"/>
  <c r="F49" i="6"/>
  <c r="F43" i="6" s="1"/>
  <c r="F30" i="6"/>
  <c r="L41" i="5"/>
  <c r="Q9" i="5"/>
  <c r="F10" i="5"/>
  <c r="G10" i="5"/>
  <c r="G11" i="5" s="1"/>
  <c r="S10" i="5"/>
  <c r="M15" i="5"/>
  <c r="R15" i="5" s="1"/>
  <c r="L16" i="5"/>
  <c r="Q16" i="5"/>
  <c r="M18" i="5"/>
  <c r="R18" i="5" s="1"/>
  <c r="M20" i="5"/>
  <c r="F21" i="5"/>
  <c r="F32" i="5" s="1"/>
  <c r="F23" i="5"/>
  <c r="F49" i="5" s="1"/>
  <c r="G23" i="5"/>
  <c r="G49" i="5" s="1"/>
  <c r="O23" i="5"/>
  <c r="P26" i="5"/>
  <c r="P42" i="5" s="1"/>
  <c r="M27" i="5"/>
  <c r="R27" i="5"/>
  <c r="U27" i="5" s="1"/>
  <c r="V27" i="5" s="1"/>
  <c r="M29" i="5"/>
  <c r="R29" i="5" s="1"/>
  <c r="R33" i="5"/>
  <c r="W33" i="5" s="1"/>
  <c r="Q40" i="5"/>
  <c r="R40" i="5" s="1"/>
  <c r="U38" i="5"/>
  <c r="M44" i="5"/>
  <c r="R44" i="5" s="1"/>
  <c r="W44" i="5"/>
  <c r="M45" i="5"/>
  <c r="R45" i="5" s="1"/>
  <c r="W45" i="5"/>
  <c r="W52" i="5"/>
  <c r="E50" i="5"/>
  <c r="H50" i="5" s="1"/>
  <c r="F45" i="2"/>
  <c r="F41" i="2" s="1"/>
  <c r="V54" i="5"/>
  <c r="R59" i="5"/>
  <c r="W59" i="5" s="1"/>
  <c r="R60" i="5"/>
  <c r="W60" i="5" s="1"/>
  <c r="R63" i="5"/>
  <c r="W63" i="5" s="1"/>
  <c r="M65" i="5"/>
  <c r="R65" i="5" s="1"/>
  <c r="M66" i="5"/>
  <c r="R66" i="5" s="1"/>
  <c r="W66" i="5"/>
  <c r="R71" i="5"/>
  <c r="W71" i="5" s="1"/>
  <c r="R72" i="5"/>
  <c r="W72" i="5" s="1"/>
  <c r="R74" i="5"/>
  <c r="W74" i="5" s="1"/>
  <c r="R75" i="5"/>
  <c r="W75" i="5" s="1"/>
  <c r="W77" i="5"/>
  <c r="L78" i="5"/>
  <c r="P62" i="5"/>
  <c r="T62" i="5"/>
  <c r="V62" i="5" s="1"/>
  <c r="R79" i="5"/>
  <c r="W79" i="5" s="1"/>
  <c r="M80" i="5"/>
  <c r="R80" i="5" s="1"/>
  <c r="M81" i="5"/>
  <c r="R81" i="5" s="1"/>
  <c r="W81" i="5" s="1"/>
  <c r="R82" i="5"/>
  <c r="W82" i="5" s="1"/>
  <c r="Q9" i="6"/>
  <c r="F10" i="6"/>
  <c r="G10" i="6"/>
  <c r="G11" i="6" s="1"/>
  <c r="S10" i="6"/>
  <c r="S11" i="6"/>
  <c r="V14" i="6"/>
  <c r="R17" i="6"/>
  <c r="W17" i="6" s="1"/>
  <c r="M18" i="6"/>
  <c r="R18" i="6"/>
  <c r="M19" i="6"/>
  <c r="R19" i="6" s="1"/>
  <c r="M20" i="6"/>
  <c r="P20" i="6"/>
  <c r="Q20" i="6" s="1"/>
  <c r="R20" i="6" s="1"/>
  <c r="W20" i="6" s="1"/>
  <c r="G21" i="6"/>
  <c r="G32" i="6" s="1"/>
  <c r="T21" i="6"/>
  <c r="T32" i="6" s="1"/>
  <c r="J23" i="6"/>
  <c r="M25" i="6"/>
  <c r="G26" i="6"/>
  <c r="G42" i="6" s="1"/>
  <c r="H29" i="2" s="1"/>
  <c r="O26" i="6"/>
  <c r="O42" i="6" s="1"/>
  <c r="P29" i="2" s="1"/>
  <c r="S26" i="6"/>
  <c r="M27" i="6"/>
  <c r="M29" i="6"/>
  <c r="R29" i="6" s="1"/>
  <c r="O30" i="6"/>
  <c r="L36" i="6"/>
  <c r="M37" i="6"/>
  <c r="J38" i="6"/>
  <c r="L38" i="6" s="1"/>
  <c r="K85" i="2"/>
  <c r="S38" i="6"/>
  <c r="V40" i="6"/>
  <c r="J41" i="6"/>
  <c r="M44" i="6"/>
  <c r="R44" i="6" s="1"/>
  <c r="M45" i="6"/>
  <c r="R45" i="6" s="1"/>
  <c r="W45" i="6"/>
  <c r="R47" i="6"/>
  <c r="W47" i="6" s="1"/>
  <c r="M51" i="6"/>
  <c r="R51" i="6" s="1"/>
  <c r="W51" i="6"/>
  <c r="M52" i="6"/>
  <c r="R52" i="6" s="1"/>
  <c r="W52" i="6"/>
  <c r="H50" i="6"/>
  <c r="V54" i="6"/>
  <c r="R59" i="6"/>
  <c r="W59" i="6" s="1"/>
  <c r="R60" i="6"/>
  <c r="W60" i="6" s="1"/>
  <c r="M65" i="6"/>
  <c r="R65" i="6" s="1"/>
  <c r="M66" i="6"/>
  <c r="R66" i="6" s="1"/>
  <c r="W66" i="6"/>
  <c r="R68" i="6"/>
  <c r="W68" i="6" s="1"/>
  <c r="W70" i="6"/>
  <c r="R72" i="6"/>
  <c r="W72" i="6" s="1"/>
  <c r="R74" i="6"/>
  <c r="W74" i="6" s="1"/>
  <c r="R75" i="6"/>
  <c r="W75" i="6" s="1"/>
  <c r="M77" i="6"/>
  <c r="R77" i="6" s="1"/>
  <c r="W77" i="6"/>
  <c r="L78" i="6"/>
  <c r="P62" i="6"/>
  <c r="T62" i="6"/>
  <c r="V62" i="6" s="1"/>
  <c r="R79" i="6"/>
  <c r="W79" i="6" s="1"/>
  <c r="M80" i="6"/>
  <c r="R80" i="6" s="1"/>
  <c r="M81" i="6"/>
  <c r="R81" i="6" s="1"/>
  <c r="W81" i="6" s="1"/>
  <c r="R82" i="6"/>
  <c r="W82" i="6" s="1"/>
  <c r="E10" i="7"/>
  <c r="E11" i="7" s="1"/>
  <c r="I10" i="7"/>
  <c r="I11" i="7" s="1"/>
  <c r="U10" i="7"/>
  <c r="U11" i="7"/>
  <c r="U12" i="7" s="1"/>
  <c r="L16" i="7"/>
  <c r="M16" i="7" s="1"/>
  <c r="Q16" i="7"/>
  <c r="M18" i="7"/>
  <c r="E21" i="7"/>
  <c r="F21" i="7"/>
  <c r="F32" i="7" s="1"/>
  <c r="R25" i="7"/>
  <c r="W25" i="7" s="1"/>
  <c r="F26" i="7"/>
  <c r="F42" i="7" s="1"/>
  <c r="N26" i="7"/>
  <c r="M31" i="7"/>
  <c r="R31" i="7" s="1"/>
  <c r="W31" i="7" s="1"/>
  <c r="R33" i="7"/>
  <c r="W33" i="7" s="1"/>
  <c r="L36" i="7"/>
  <c r="M37" i="7"/>
  <c r="G38" i="7"/>
  <c r="H38" i="7" s="1"/>
  <c r="M40" i="7"/>
  <c r="S38" i="7"/>
  <c r="M44" i="7"/>
  <c r="R44" i="7" s="1"/>
  <c r="W44" i="7" s="1"/>
  <c r="R46" i="7"/>
  <c r="W46" i="7" s="1"/>
  <c r="R47" i="7"/>
  <c r="W47" i="7" s="1"/>
  <c r="M51" i="7"/>
  <c r="R51" i="7" s="1"/>
  <c r="M52" i="7"/>
  <c r="R52" i="7" s="1"/>
  <c r="W52" i="7"/>
  <c r="R59" i="7"/>
  <c r="W59" i="7" s="1"/>
  <c r="M61" i="7"/>
  <c r="R61" i="7" s="1"/>
  <c r="M65" i="7"/>
  <c r="R65" i="7" s="1"/>
  <c r="W65" i="7" s="1"/>
  <c r="M66" i="7"/>
  <c r="R66" i="7" s="1"/>
  <c r="W66" i="7" s="1"/>
  <c r="R67" i="7"/>
  <c r="W67" i="7" s="1"/>
  <c r="R68" i="7"/>
  <c r="W68" i="7" s="1"/>
  <c r="M69" i="7"/>
  <c r="R69" i="7" s="1"/>
  <c r="W70" i="7"/>
  <c r="R74" i="7"/>
  <c r="W74" i="7" s="1"/>
  <c r="M76" i="7"/>
  <c r="R76" i="7" s="1"/>
  <c r="M77" i="7"/>
  <c r="R77" i="7" s="1"/>
  <c r="W77" i="7"/>
  <c r="G62" i="7"/>
  <c r="K62" i="7"/>
  <c r="P62" i="7"/>
  <c r="Q62" i="7" s="1"/>
  <c r="T62" i="7"/>
  <c r="M80" i="7"/>
  <c r="R80" i="7" s="1"/>
  <c r="W80" i="7" s="1"/>
  <c r="M81" i="7"/>
  <c r="R81" i="7" s="1"/>
  <c r="W81" i="7" s="1"/>
  <c r="R82" i="7"/>
  <c r="W82" i="7" s="1"/>
  <c r="R83" i="7"/>
  <c r="W83" i="7" s="1"/>
  <c r="E23" i="8"/>
  <c r="E26" i="8"/>
  <c r="E42" i="8" s="1"/>
  <c r="H42" i="8" s="1"/>
  <c r="E21" i="8"/>
  <c r="O26" i="8"/>
  <c r="O42" i="8" s="1"/>
  <c r="O23" i="8"/>
  <c r="O49" i="8" s="1"/>
  <c r="P23" i="8"/>
  <c r="P26" i="8"/>
  <c r="P42" i="8" s="1"/>
  <c r="E10" i="8"/>
  <c r="H10" i="8" s="1"/>
  <c r="L10" i="8"/>
  <c r="M15" i="8"/>
  <c r="M40" i="8"/>
  <c r="L39" i="9"/>
  <c r="I38" i="9"/>
  <c r="L38" i="9" s="1"/>
  <c r="M50" i="9"/>
  <c r="R15" i="8"/>
  <c r="R19" i="8"/>
  <c r="W19" i="8" s="1"/>
  <c r="Q20" i="8"/>
  <c r="R20" i="8" s="1"/>
  <c r="R29" i="8"/>
  <c r="W29" i="8"/>
  <c r="I30" i="8"/>
  <c r="T30" i="8"/>
  <c r="M37" i="8"/>
  <c r="R37" i="8" s="1"/>
  <c r="W37" i="8" s="1"/>
  <c r="I39" i="8"/>
  <c r="V40" i="8"/>
  <c r="M44" i="8"/>
  <c r="R44" i="8" s="1"/>
  <c r="M45" i="8"/>
  <c r="R45" i="8" s="1"/>
  <c r="W45" i="8"/>
  <c r="R47" i="8"/>
  <c r="W47" i="8" s="1"/>
  <c r="S49" i="8"/>
  <c r="M51" i="8"/>
  <c r="R51" i="8" s="1"/>
  <c r="W51" i="8"/>
  <c r="M52" i="8"/>
  <c r="R52" i="8" s="1"/>
  <c r="W52" i="8"/>
  <c r="H50" i="8"/>
  <c r="V54" i="8"/>
  <c r="R59" i="8"/>
  <c r="W59" i="8" s="1"/>
  <c r="R60" i="8"/>
  <c r="W60" i="8" s="1"/>
  <c r="M65" i="8"/>
  <c r="R65" i="8" s="1"/>
  <c r="M66" i="8"/>
  <c r="R66" i="8" s="1"/>
  <c r="W66" i="8"/>
  <c r="R68" i="8"/>
  <c r="W68" i="8" s="1"/>
  <c r="W70" i="8"/>
  <c r="R72" i="8"/>
  <c r="W72" i="8" s="1"/>
  <c r="R74" i="8"/>
  <c r="W74" i="8" s="1"/>
  <c r="R75" i="8"/>
  <c r="W75" i="8" s="1"/>
  <c r="M77" i="8"/>
  <c r="R77" i="8" s="1"/>
  <c r="W77" i="8"/>
  <c r="L78" i="8"/>
  <c r="P62" i="8"/>
  <c r="T62" i="8"/>
  <c r="V62" i="8" s="1"/>
  <c r="R79" i="8"/>
  <c r="W79" i="8" s="1"/>
  <c r="M80" i="8"/>
  <c r="R80" i="8" s="1"/>
  <c r="M81" i="8"/>
  <c r="R81" i="8" s="1"/>
  <c r="W81" i="8" s="1"/>
  <c r="R82" i="8"/>
  <c r="W82" i="8" s="1"/>
  <c r="Q9" i="9"/>
  <c r="T10" i="9"/>
  <c r="V10" i="9" s="1"/>
  <c r="U10" i="9"/>
  <c r="T11" i="9"/>
  <c r="T12" i="9" s="1"/>
  <c r="M15" i="9"/>
  <c r="M16" i="9"/>
  <c r="M18" i="9"/>
  <c r="R18" i="9"/>
  <c r="M19" i="9"/>
  <c r="R19" i="9" s="1"/>
  <c r="M20" i="9"/>
  <c r="T21" i="9"/>
  <c r="T32" i="9" s="1"/>
  <c r="J23" i="9"/>
  <c r="J49" i="9" s="1"/>
  <c r="J43" i="9" s="1"/>
  <c r="N23" i="9"/>
  <c r="O23" i="9"/>
  <c r="P23" i="9"/>
  <c r="S23" i="9"/>
  <c r="S30" i="9" s="1"/>
  <c r="T23" i="9"/>
  <c r="T49" i="9" s="1"/>
  <c r="T43" i="9" s="1"/>
  <c r="W31" i="9"/>
  <c r="M33" i="9"/>
  <c r="M34" i="9"/>
  <c r="R34" i="9" s="1"/>
  <c r="L36" i="9"/>
  <c r="V38" i="9"/>
  <c r="P38" i="9"/>
  <c r="Q38" i="9" s="1"/>
  <c r="M44" i="9"/>
  <c r="M48" i="9"/>
  <c r="V50" i="9"/>
  <c r="M51" i="9"/>
  <c r="M53" i="9"/>
  <c r="R53" i="9"/>
  <c r="M54" i="9"/>
  <c r="R54" i="9" s="1"/>
  <c r="W54" i="9" s="1"/>
  <c r="Q55" i="9"/>
  <c r="M56" i="9"/>
  <c r="R57" i="9"/>
  <c r="W57" i="9" s="1"/>
  <c r="V58" i="9"/>
  <c r="M59" i="9"/>
  <c r="R60" i="9"/>
  <c r="W60" i="9" s="1"/>
  <c r="M63" i="9"/>
  <c r="R63" i="9"/>
  <c r="W63" i="9"/>
  <c r="R64" i="9"/>
  <c r="W64" i="9" s="1"/>
  <c r="M66" i="9"/>
  <c r="R66" i="9" s="1"/>
  <c r="M69" i="9"/>
  <c r="R72" i="9"/>
  <c r="W72" i="9" s="1"/>
  <c r="M74" i="9"/>
  <c r="R75" i="9"/>
  <c r="W75" i="9" s="1"/>
  <c r="M77" i="9"/>
  <c r="R77" i="9" s="1"/>
  <c r="W77" i="9" s="1"/>
  <c r="P62" i="9"/>
  <c r="T62" i="9"/>
  <c r="R79" i="9"/>
  <c r="W79" i="9" s="1"/>
  <c r="M81" i="9"/>
  <c r="R81" i="9" s="1"/>
  <c r="W81" i="9"/>
  <c r="M87" i="9"/>
  <c r="R87" i="9"/>
  <c r="W87" i="9"/>
  <c r="T73" i="2"/>
  <c r="H88" i="2"/>
  <c r="H73" i="2"/>
  <c r="H58" i="2"/>
  <c r="N42" i="1"/>
  <c r="G84" i="2"/>
  <c r="G73" i="2"/>
  <c r="G58" i="2"/>
  <c r="H83" i="2"/>
  <c r="T82" i="1"/>
  <c r="F82" i="1" s="1"/>
  <c r="G89" i="2"/>
  <c r="G88" i="2" s="1"/>
  <c r="G83" i="2" s="1"/>
  <c r="N42" i="9"/>
  <c r="Q42" i="9" s="1"/>
  <c r="Q26" i="9"/>
  <c r="W19" i="9"/>
  <c r="R50" i="9"/>
  <c r="W50" i="9" s="1"/>
  <c r="W66" i="9"/>
  <c r="R16" i="9"/>
  <c r="W16" i="9" s="1"/>
  <c r="I32" i="9"/>
  <c r="L32" i="9" s="1"/>
  <c r="L21" i="9"/>
  <c r="N49" i="9"/>
  <c r="Q23" i="9"/>
  <c r="F26" i="9"/>
  <c r="F42" i="9" s="1"/>
  <c r="M40" i="9"/>
  <c r="R40" i="9" s="1"/>
  <c r="W40" i="9" s="1"/>
  <c r="S49" i="9"/>
  <c r="V49" i="9" s="1"/>
  <c r="H73" i="9"/>
  <c r="E62" i="9"/>
  <c r="H62" i="9" s="1"/>
  <c r="M78" i="9"/>
  <c r="G26" i="9"/>
  <c r="G42" i="9" s="1"/>
  <c r="G10" i="9"/>
  <c r="G11" i="9" s="1"/>
  <c r="U11" i="9"/>
  <c r="T13" i="9"/>
  <c r="V14" i="9"/>
  <c r="P20" i="9"/>
  <c r="Q20" i="9" s="1"/>
  <c r="R20" i="9" s="1"/>
  <c r="W20" i="9" s="1"/>
  <c r="U21" i="9"/>
  <c r="U32" i="9" s="1"/>
  <c r="O30" i="9"/>
  <c r="O49" i="9"/>
  <c r="J30" i="9"/>
  <c r="J84" i="9" s="1"/>
  <c r="R33" i="9"/>
  <c r="W33" i="9" s="1"/>
  <c r="R41" i="9"/>
  <c r="W41" i="9" s="1"/>
  <c r="R45" i="9"/>
  <c r="W45" i="9" s="1"/>
  <c r="R48" i="9"/>
  <c r="W48" i="9" s="1"/>
  <c r="M58" i="9"/>
  <c r="R58" i="9" s="1"/>
  <c r="W58" i="9" s="1"/>
  <c r="L62" i="9"/>
  <c r="M62" i="9" s="1"/>
  <c r="R67" i="9"/>
  <c r="M70" i="9"/>
  <c r="R70" i="9" s="1"/>
  <c r="W70" i="9" s="1"/>
  <c r="R82" i="9"/>
  <c r="J89" i="9"/>
  <c r="I23" i="9"/>
  <c r="I10" i="9"/>
  <c r="L9" i="9"/>
  <c r="V9" i="9"/>
  <c r="H14" i="9"/>
  <c r="H86" i="9" s="1"/>
  <c r="R15" i="9"/>
  <c r="W15" i="9" s="1"/>
  <c r="G21" i="9"/>
  <c r="G32" i="9" s="1"/>
  <c r="H32" i="9" s="1"/>
  <c r="F23" i="9"/>
  <c r="K23" i="9"/>
  <c r="V23" i="9"/>
  <c r="I26" i="9"/>
  <c r="T30" i="9"/>
  <c r="T84" i="9" s="1"/>
  <c r="T89" i="9" s="1"/>
  <c r="H35" i="9"/>
  <c r="Q35" i="9"/>
  <c r="H39" i="9"/>
  <c r="M39" i="9" s="1"/>
  <c r="R39" i="9" s="1"/>
  <c r="E38" i="9"/>
  <c r="R56" i="9"/>
  <c r="W56" i="9" s="1"/>
  <c r="S62" i="9"/>
  <c r="V62" i="9" s="1"/>
  <c r="W67" i="9"/>
  <c r="R69" i="9"/>
  <c r="Q73" i="9"/>
  <c r="O62" i="9"/>
  <c r="Q62" i="9" s="1"/>
  <c r="R62" i="9" s="1"/>
  <c r="R74" i="9"/>
  <c r="W74" i="9" s="1"/>
  <c r="W82" i="9"/>
  <c r="F10" i="9"/>
  <c r="W53" i="9"/>
  <c r="E23" i="9"/>
  <c r="E10" i="9"/>
  <c r="H10" i="9" s="1"/>
  <c r="H9" i="9"/>
  <c r="S26" i="9"/>
  <c r="S21" i="9"/>
  <c r="F11" i="9"/>
  <c r="S11" i="9"/>
  <c r="I14" i="9"/>
  <c r="W18" i="9"/>
  <c r="G23" i="9"/>
  <c r="E26" i="9"/>
  <c r="U26" i="9"/>
  <c r="U42" i="9" s="1"/>
  <c r="N30" i="9"/>
  <c r="U30" i="9"/>
  <c r="W34" i="9"/>
  <c r="V35" i="9"/>
  <c r="V39" i="9"/>
  <c r="S43" i="9"/>
  <c r="V43" i="9" s="1"/>
  <c r="H55" i="9"/>
  <c r="L73" i="9"/>
  <c r="M73" i="9" s="1"/>
  <c r="M46" i="9"/>
  <c r="R46" i="9" s="1"/>
  <c r="W46" i="9" s="1"/>
  <c r="R51" i="9"/>
  <c r="W51" i="9" s="1"/>
  <c r="M61" i="9"/>
  <c r="R61" i="9" s="1"/>
  <c r="W61" i="9" s="1"/>
  <c r="R71" i="9"/>
  <c r="W71" i="9" s="1"/>
  <c r="Q78" i="9"/>
  <c r="R27" i="9"/>
  <c r="U27" i="9" s="1"/>
  <c r="V27" i="9" s="1"/>
  <c r="G38" i="9"/>
  <c r="R44" i="9"/>
  <c r="W44" i="9" s="1"/>
  <c r="L55" i="9"/>
  <c r="R59" i="9"/>
  <c r="W59" i="9" s="1"/>
  <c r="M65" i="9"/>
  <c r="R65" i="9" s="1"/>
  <c r="W65" i="9" s="1"/>
  <c r="W69" i="9"/>
  <c r="M76" i="9"/>
  <c r="R76" i="9" s="1"/>
  <c r="W76" i="9" s="1"/>
  <c r="M80" i="9"/>
  <c r="R80" i="9" s="1"/>
  <c r="W80" i="9" s="1"/>
  <c r="F12" i="8"/>
  <c r="F13" i="8" s="1"/>
  <c r="J30" i="8"/>
  <c r="J49" i="8"/>
  <c r="J43" i="8" s="1"/>
  <c r="Q16" i="8"/>
  <c r="R25" i="8"/>
  <c r="W25" i="8" s="1"/>
  <c r="M27" i="8"/>
  <c r="R27" i="8" s="1"/>
  <c r="U27" i="8" s="1"/>
  <c r="V27" i="8" s="1"/>
  <c r="M61" i="8"/>
  <c r="R61" i="8" s="1"/>
  <c r="W61" i="8" s="1"/>
  <c r="W15" i="8"/>
  <c r="I14" i="8"/>
  <c r="L16" i="8"/>
  <c r="M17" i="8"/>
  <c r="R17" i="8" s="1"/>
  <c r="W17" i="8" s="1"/>
  <c r="E32" i="8"/>
  <c r="H32" i="8" s="1"/>
  <c r="M32" i="8" s="1"/>
  <c r="R32" i="8" s="1"/>
  <c r="H21" i="8"/>
  <c r="L21" i="8"/>
  <c r="F30" i="8"/>
  <c r="F49" i="8"/>
  <c r="F43" i="8" s="1"/>
  <c r="K23" i="8"/>
  <c r="R33" i="8"/>
  <c r="E38" i="8"/>
  <c r="H38" i="8" s="1"/>
  <c r="H39" i="8"/>
  <c r="T42" i="8"/>
  <c r="V42" i="8" s="1"/>
  <c r="O62" i="8"/>
  <c r="M76" i="8"/>
  <c r="R76" i="8" s="1"/>
  <c r="W76" i="8" s="1"/>
  <c r="Q42" i="8"/>
  <c r="M10" i="8"/>
  <c r="R10" i="8" s="1"/>
  <c r="G12" i="8"/>
  <c r="G13" i="8" s="1"/>
  <c r="Q26" i="8"/>
  <c r="O30" i="8"/>
  <c r="L54" i="8"/>
  <c r="I50" i="8"/>
  <c r="L9" i="8"/>
  <c r="J26" i="8"/>
  <c r="J42" i="8" s="1"/>
  <c r="L42" i="8" s="1"/>
  <c r="M42" i="8" s="1"/>
  <c r="U23" i="8"/>
  <c r="U21" i="8"/>
  <c r="U32" i="8" s="1"/>
  <c r="V32" i="8" s="1"/>
  <c r="V9" i="8"/>
  <c r="U10" i="8"/>
  <c r="U11" i="8" s="1"/>
  <c r="T12" i="8"/>
  <c r="T13" i="8" s="1"/>
  <c r="R18" i="8"/>
  <c r="W18" i="8" s="1"/>
  <c r="W20" i="8"/>
  <c r="I38" i="8"/>
  <c r="L38" i="8" s="1"/>
  <c r="L39" i="8"/>
  <c r="R40" i="8"/>
  <c r="W40" i="8" s="1"/>
  <c r="R46" i="8"/>
  <c r="W46" i="8" s="1"/>
  <c r="R58" i="8"/>
  <c r="W58" i="8" s="1"/>
  <c r="R67" i="8"/>
  <c r="W67" i="8" s="1"/>
  <c r="R87" i="8"/>
  <c r="W87" i="8" s="1"/>
  <c r="E49" i="8"/>
  <c r="E30" i="8"/>
  <c r="H23" i="8"/>
  <c r="Q9" i="8"/>
  <c r="I12" i="8"/>
  <c r="L11" i="8"/>
  <c r="S13" i="8"/>
  <c r="S86" i="8"/>
  <c r="T16" i="2" s="1"/>
  <c r="V14" i="8"/>
  <c r="H16" i="8"/>
  <c r="E14" i="8"/>
  <c r="V16" i="8"/>
  <c r="V21" i="8"/>
  <c r="G43" i="8"/>
  <c r="N23" i="8"/>
  <c r="H26" i="8"/>
  <c r="U26" i="8"/>
  <c r="U42" i="8" s="1"/>
  <c r="G30" i="8"/>
  <c r="T84" i="8"/>
  <c r="T89" i="8" s="1"/>
  <c r="W33" i="8"/>
  <c r="M36" i="8"/>
  <c r="M35" i="8" s="1"/>
  <c r="L35" i="8"/>
  <c r="H54" i="8"/>
  <c r="N62" i="8"/>
  <c r="H78" i="8"/>
  <c r="M78" i="8" s="1"/>
  <c r="G62" i="8"/>
  <c r="R83" i="8"/>
  <c r="W83" i="8" s="1"/>
  <c r="M48" i="8"/>
  <c r="R48" i="8" s="1"/>
  <c r="W48" i="8" s="1"/>
  <c r="R53" i="8"/>
  <c r="W53" i="8" s="1"/>
  <c r="S43" i="8"/>
  <c r="S84" i="8" s="1"/>
  <c r="R56" i="8"/>
  <c r="W56" i="8" s="1"/>
  <c r="M69" i="8"/>
  <c r="R69" i="8" s="1"/>
  <c r="W69" i="8" s="1"/>
  <c r="I62" i="8"/>
  <c r="L62" i="8" s="1"/>
  <c r="L73" i="8"/>
  <c r="E11" i="8"/>
  <c r="I35" i="8"/>
  <c r="U38" i="8"/>
  <c r="V38" i="8" s="1"/>
  <c r="W44" i="8"/>
  <c r="U50" i="8"/>
  <c r="L55" i="8"/>
  <c r="M55" i="8" s="1"/>
  <c r="R55" i="8" s="1"/>
  <c r="W55" i="8" s="1"/>
  <c r="R63" i="8"/>
  <c r="W63" i="8" s="1"/>
  <c r="W65" i="8"/>
  <c r="R71" i="8"/>
  <c r="W71" i="8" s="1"/>
  <c r="H73" i="8"/>
  <c r="E62" i="8"/>
  <c r="H62" i="8" s="1"/>
  <c r="Q78" i="8"/>
  <c r="W80" i="8"/>
  <c r="N42" i="7"/>
  <c r="G41" i="7"/>
  <c r="G26" i="7"/>
  <c r="G42" i="7" s="1"/>
  <c r="G21" i="7"/>
  <c r="G32" i="7" s="1"/>
  <c r="G10" i="7"/>
  <c r="H10" i="7" s="1"/>
  <c r="G11" i="7"/>
  <c r="G12" i="7" s="1"/>
  <c r="G23" i="7"/>
  <c r="O26" i="7"/>
  <c r="O42" i="7" s="1"/>
  <c r="O23" i="7"/>
  <c r="I12" i="7"/>
  <c r="L12" i="7" s="1"/>
  <c r="I13" i="7"/>
  <c r="L13" i="7" s="1"/>
  <c r="M13" i="7" s="1"/>
  <c r="R13" i="7" s="1"/>
  <c r="L11" i="7"/>
  <c r="J23" i="7"/>
  <c r="J41" i="7"/>
  <c r="J26" i="7"/>
  <c r="J42" i="7" s="1"/>
  <c r="K29" i="2" s="1"/>
  <c r="L9" i="7"/>
  <c r="U14" i="7"/>
  <c r="U86" i="7" s="1"/>
  <c r="V16" i="2" s="1"/>
  <c r="V16" i="7"/>
  <c r="R16" i="7"/>
  <c r="M20" i="7"/>
  <c r="R20" i="7" s="1"/>
  <c r="W20" i="7" s="1"/>
  <c r="T43" i="7"/>
  <c r="K41" i="7"/>
  <c r="K26" i="7"/>
  <c r="K42" i="7" s="1"/>
  <c r="K23" i="7"/>
  <c r="S41" i="7"/>
  <c r="S26" i="7"/>
  <c r="S23" i="7"/>
  <c r="S21" i="7"/>
  <c r="S10" i="7"/>
  <c r="S11" i="7" s="1"/>
  <c r="E12" i="7"/>
  <c r="H11" i="7"/>
  <c r="I86" i="7"/>
  <c r="L14" i="7"/>
  <c r="E32" i="7"/>
  <c r="H32" i="7" s="1"/>
  <c r="T30" i="7"/>
  <c r="T41" i="7"/>
  <c r="T26" i="7"/>
  <c r="T42" i="7" s="1"/>
  <c r="T21" i="7"/>
  <c r="T32" i="7" s="1"/>
  <c r="R17" i="7"/>
  <c r="M34" i="7"/>
  <c r="R34" i="7" s="1"/>
  <c r="N38" i="7"/>
  <c r="Q38" i="7" s="1"/>
  <c r="Q39" i="7"/>
  <c r="R53" i="7"/>
  <c r="W53" i="7" s="1"/>
  <c r="H78" i="7"/>
  <c r="L78" i="7"/>
  <c r="V78" i="7"/>
  <c r="S62" i="7"/>
  <c r="V62" i="7" s="1"/>
  <c r="E41" i="7"/>
  <c r="E23" i="7"/>
  <c r="I41" i="7"/>
  <c r="I23" i="7"/>
  <c r="Q9" i="7"/>
  <c r="U41" i="7"/>
  <c r="U21" i="7"/>
  <c r="U32" i="7" s="1"/>
  <c r="U23" i="7"/>
  <c r="L10" i="7"/>
  <c r="I21" i="7"/>
  <c r="P23" i="7"/>
  <c r="R29" i="7"/>
  <c r="W29" i="7" s="1"/>
  <c r="L39" i="7"/>
  <c r="M39" i="7" s="1"/>
  <c r="I38" i="7"/>
  <c r="V40" i="7"/>
  <c r="M48" i="7"/>
  <c r="R48" i="7" s="1"/>
  <c r="L54" i="7"/>
  <c r="I50" i="7"/>
  <c r="L50" i="7" s="1"/>
  <c r="V54" i="7"/>
  <c r="U50" i="7"/>
  <c r="L58" i="7"/>
  <c r="M58" i="7" s="1"/>
  <c r="R58" i="7" s="1"/>
  <c r="W58" i="7" s="1"/>
  <c r="W69" i="7"/>
  <c r="I62" i="7"/>
  <c r="L62" i="7" s="1"/>
  <c r="L73" i="7"/>
  <c r="W48" i="7"/>
  <c r="M15" i="7"/>
  <c r="R15" i="7" s="1"/>
  <c r="W15" i="7" s="1"/>
  <c r="R19" i="7"/>
  <c r="W19" i="7" s="1"/>
  <c r="I42" i="7"/>
  <c r="L42" i="7" s="1"/>
  <c r="R56" i="7"/>
  <c r="W56" i="7" s="1"/>
  <c r="R87" i="7"/>
  <c r="W87" i="7" s="1"/>
  <c r="F23" i="7"/>
  <c r="F41" i="7"/>
  <c r="N30" i="7"/>
  <c r="Q23" i="7"/>
  <c r="V9" i="7"/>
  <c r="T10" i="7"/>
  <c r="T11" i="7" s="1"/>
  <c r="W17" i="7"/>
  <c r="R18" i="7"/>
  <c r="W18" i="7" s="1"/>
  <c r="E42" i="7"/>
  <c r="W34" i="7"/>
  <c r="L35" i="7"/>
  <c r="M36" i="7"/>
  <c r="J38" i="7"/>
  <c r="Q40" i="7"/>
  <c r="R40" i="7" s="1"/>
  <c r="V38" i="7"/>
  <c r="N49" i="7"/>
  <c r="V50" i="7"/>
  <c r="E50" i="7"/>
  <c r="H50" i="7" s="1"/>
  <c r="H54" i="7"/>
  <c r="V14" i="7"/>
  <c r="R37" i="7"/>
  <c r="W37" i="7" s="1"/>
  <c r="L55" i="7"/>
  <c r="R63" i="7"/>
  <c r="W63" i="7" s="1"/>
  <c r="R71" i="7"/>
  <c r="W71" i="7" s="1"/>
  <c r="H73" i="7"/>
  <c r="E62" i="7"/>
  <c r="H62" i="7" s="1"/>
  <c r="Q78" i="7"/>
  <c r="W51" i="7"/>
  <c r="H55" i="7"/>
  <c r="W61" i="7"/>
  <c r="Q73" i="7"/>
  <c r="W76" i="7"/>
  <c r="S42" i="6"/>
  <c r="R27" i="6"/>
  <c r="U27" i="6" s="1"/>
  <c r="V27" i="6" s="1"/>
  <c r="V86" i="6"/>
  <c r="F31" i="6"/>
  <c r="U41" i="6"/>
  <c r="V30" i="2" s="1"/>
  <c r="U10" i="6"/>
  <c r="U11" i="6" s="1"/>
  <c r="U26" i="6"/>
  <c r="U42" i="6" s="1"/>
  <c r="U21" i="6"/>
  <c r="U32" i="6" s="1"/>
  <c r="V9" i="6"/>
  <c r="U23" i="6"/>
  <c r="L35" i="6"/>
  <c r="M36" i="6"/>
  <c r="G86" i="6"/>
  <c r="H16" i="2" s="1"/>
  <c r="H14" i="6"/>
  <c r="H86" i="6" s="1"/>
  <c r="S12" i="6"/>
  <c r="S13" i="6"/>
  <c r="Q86" i="6"/>
  <c r="R16" i="6"/>
  <c r="I49" i="6"/>
  <c r="I30" i="6"/>
  <c r="E41" i="6"/>
  <c r="E26" i="6"/>
  <c r="E21" i="6"/>
  <c r="I41" i="6"/>
  <c r="J30" i="2" s="1"/>
  <c r="I26" i="6"/>
  <c r="I21" i="6"/>
  <c r="I10" i="6"/>
  <c r="L10" i="6" s="1"/>
  <c r="V32" i="6"/>
  <c r="V38" i="6"/>
  <c r="R46" i="6"/>
  <c r="W46" i="6" s="1"/>
  <c r="R58" i="6"/>
  <c r="W58" i="6" s="1"/>
  <c r="F26" i="6"/>
  <c r="F42" i="6" s="1"/>
  <c r="G29" i="2" s="1"/>
  <c r="F21" i="6"/>
  <c r="F32" i="6" s="1"/>
  <c r="F11" i="6"/>
  <c r="F41" i="6"/>
  <c r="V21" i="6"/>
  <c r="E10" i="6"/>
  <c r="H10" i="6" s="1"/>
  <c r="E11" i="6"/>
  <c r="I86" i="6"/>
  <c r="L14" i="6"/>
  <c r="M15" i="6"/>
  <c r="R15" i="6" s="1"/>
  <c r="V16" i="6"/>
  <c r="W16" i="6" s="1"/>
  <c r="W18" i="6"/>
  <c r="E23" i="6"/>
  <c r="M34" i="6"/>
  <c r="E38" i="6"/>
  <c r="L40" i="6"/>
  <c r="M40" i="6" s="1"/>
  <c r="R40" i="6" s="1"/>
  <c r="W40" i="6" s="1"/>
  <c r="O62" i="6"/>
  <c r="O84" i="6" s="1"/>
  <c r="O89" i="6" s="1"/>
  <c r="M76" i="6"/>
  <c r="R76" i="6" s="1"/>
  <c r="W76" i="6" s="1"/>
  <c r="L54" i="6"/>
  <c r="I50" i="6"/>
  <c r="L50" i="6" s="1"/>
  <c r="M50" i="6" s="1"/>
  <c r="N42" i="6"/>
  <c r="I11" i="6"/>
  <c r="W15" i="6"/>
  <c r="M33" i="6"/>
  <c r="R33" i="6" s="1"/>
  <c r="W33" i="6" s="1"/>
  <c r="M61" i="6"/>
  <c r="R61" i="6" s="1"/>
  <c r="R67" i="6"/>
  <c r="W67" i="6" s="1"/>
  <c r="R87" i="6"/>
  <c r="W87" i="6" s="1"/>
  <c r="L9" i="6"/>
  <c r="P49" i="6"/>
  <c r="P30" i="6"/>
  <c r="T41" i="6"/>
  <c r="T23" i="6"/>
  <c r="T10" i="6"/>
  <c r="K41" i="6"/>
  <c r="L30" i="2" s="1"/>
  <c r="K23" i="6"/>
  <c r="W19" i="6"/>
  <c r="N23" i="6"/>
  <c r="R25" i="6"/>
  <c r="W25" i="6" s="1"/>
  <c r="P26" i="6"/>
  <c r="P42" i="6" s="1"/>
  <c r="W29" i="6"/>
  <c r="R34" i="6"/>
  <c r="W34" i="6" s="1"/>
  <c r="L39" i="6"/>
  <c r="F38" i="6"/>
  <c r="H39" i="6"/>
  <c r="N38" i="6"/>
  <c r="Q38" i="6" s="1"/>
  <c r="Q39" i="6"/>
  <c r="R50" i="6"/>
  <c r="H54" i="6"/>
  <c r="W61" i="6"/>
  <c r="N62" i="6"/>
  <c r="H78" i="6"/>
  <c r="M78" i="6" s="1"/>
  <c r="G62" i="6"/>
  <c r="R83" i="6"/>
  <c r="W83" i="6" s="1"/>
  <c r="G23" i="6"/>
  <c r="S23" i="6"/>
  <c r="R37" i="6"/>
  <c r="W37" i="6" s="1"/>
  <c r="S41" i="6"/>
  <c r="V41" i="6" s="1"/>
  <c r="M48" i="6"/>
  <c r="R48" i="6" s="1"/>
  <c r="W48" i="6" s="1"/>
  <c r="R53" i="6"/>
  <c r="W53" i="6" s="1"/>
  <c r="R56" i="6"/>
  <c r="W56" i="6" s="1"/>
  <c r="M69" i="6"/>
  <c r="R69" i="6" s="1"/>
  <c r="W69" i="6" s="1"/>
  <c r="I62" i="6"/>
  <c r="L62" i="6" s="1"/>
  <c r="L73" i="6"/>
  <c r="W44" i="6"/>
  <c r="U50" i="6"/>
  <c r="V50" i="6" s="1"/>
  <c r="L55" i="6"/>
  <c r="M55" i="6" s="1"/>
  <c r="R55" i="6" s="1"/>
  <c r="W55" i="6" s="1"/>
  <c r="R63" i="6"/>
  <c r="W63" i="6" s="1"/>
  <c r="W65" i="6"/>
  <c r="R71" i="6"/>
  <c r="W71" i="6" s="1"/>
  <c r="H73" i="6"/>
  <c r="E62" i="6"/>
  <c r="H62" i="6" s="1"/>
  <c r="Q78" i="6"/>
  <c r="W80" i="6"/>
  <c r="R17" i="5"/>
  <c r="E49" i="5"/>
  <c r="E30" i="5"/>
  <c r="H23" i="5"/>
  <c r="T12" i="5"/>
  <c r="T13" i="5" s="1"/>
  <c r="G12" i="5"/>
  <c r="G13" i="5"/>
  <c r="W15" i="5"/>
  <c r="I86" i="5"/>
  <c r="L14" i="5"/>
  <c r="V16" i="5"/>
  <c r="T14" i="5"/>
  <c r="T86" i="5" s="1"/>
  <c r="U16" i="2" s="1"/>
  <c r="Q20" i="5"/>
  <c r="R20" i="5" s="1"/>
  <c r="W20" i="5" s="1"/>
  <c r="K26" i="5"/>
  <c r="K42" i="5" s="1"/>
  <c r="L29" i="2" s="1"/>
  <c r="K23" i="5"/>
  <c r="M16" i="5"/>
  <c r="R16" i="5" s="1"/>
  <c r="W18" i="5"/>
  <c r="W29" i="5"/>
  <c r="Q42" i="5"/>
  <c r="V9" i="5"/>
  <c r="Q26" i="5"/>
  <c r="V35" i="5"/>
  <c r="G41" i="5"/>
  <c r="H30" i="2" s="1"/>
  <c r="G21" i="5"/>
  <c r="G32" i="5" s="1"/>
  <c r="H26" i="2" s="1"/>
  <c r="U10" i="5"/>
  <c r="V10" i="5" s="1"/>
  <c r="F11" i="5"/>
  <c r="E14" i="5"/>
  <c r="V17" i="5"/>
  <c r="I21" i="5"/>
  <c r="S21" i="5"/>
  <c r="I23" i="5"/>
  <c r="N23" i="5"/>
  <c r="S23" i="5"/>
  <c r="S26" i="5"/>
  <c r="F30" i="5"/>
  <c r="P30" i="5"/>
  <c r="M34" i="5"/>
  <c r="R34" i="5" s="1"/>
  <c r="H35" i="5"/>
  <c r="M37" i="5"/>
  <c r="R37" i="5" s="1"/>
  <c r="W37" i="5" s="1"/>
  <c r="H38" i="5"/>
  <c r="V38" i="5"/>
  <c r="V39" i="5"/>
  <c r="E41" i="5"/>
  <c r="F30" i="2" s="1"/>
  <c r="R46" i="5"/>
  <c r="W46" i="5" s="1"/>
  <c r="H54" i="5"/>
  <c r="K62" i="5"/>
  <c r="O62" i="5"/>
  <c r="M76" i="5"/>
  <c r="R76" i="5" s="1"/>
  <c r="W76" i="5" s="1"/>
  <c r="R87" i="5"/>
  <c r="W87" i="5" s="1"/>
  <c r="S11" i="5"/>
  <c r="E26" i="5"/>
  <c r="U26" i="5"/>
  <c r="U42" i="5" s="1"/>
  <c r="V29" i="2" s="1"/>
  <c r="H78" i="5"/>
  <c r="G62" i="5"/>
  <c r="R19" i="5"/>
  <c r="W19" i="5" s="1"/>
  <c r="R25" i="5"/>
  <c r="W25" i="5" s="1"/>
  <c r="W34" i="5"/>
  <c r="M51" i="5"/>
  <c r="R51" i="5" s="1"/>
  <c r="M61" i="5"/>
  <c r="R61" i="5" s="1"/>
  <c r="R67" i="5"/>
  <c r="W67" i="5" s="1"/>
  <c r="L9" i="5"/>
  <c r="T41" i="5"/>
  <c r="T23" i="5"/>
  <c r="T21" i="5"/>
  <c r="T32" i="5" s="1"/>
  <c r="U26" i="2" s="1"/>
  <c r="E10" i="5"/>
  <c r="H10" i="5" s="1"/>
  <c r="I10" i="5"/>
  <c r="L10" i="5" s="1"/>
  <c r="E21" i="5"/>
  <c r="U21" i="5"/>
  <c r="U32" i="5" s="1"/>
  <c r="V26" i="2" s="1"/>
  <c r="J23" i="5"/>
  <c r="U23" i="5"/>
  <c r="I26" i="5"/>
  <c r="T26" i="5"/>
  <c r="T42" i="5" s="1"/>
  <c r="U29" i="2" s="1"/>
  <c r="G30" i="5"/>
  <c r="Q38" i="5"/>
  <c r="Q39" i="5"/>
  <c r="V40" i="5"/>
  <c r="W40" i="5" s="1"/>
  <c r="F41" i="5"/>
  <c r="G30" i="2" s="1"/>
  <c r="W51" i="5"/>
  <c r="L54" i="5"/>
  <c r="M54" i="5" s="1"/>
  <c r="R54" i="5" s="1"/>
  <c r="I50" i="5"/>
  <c r="L50" i="5" s="1"/>
  <c r="M50" i="5" s="1"/>
  <c r="R50" i="5" s="1"/>
  <c r="W50" i="5" s="1"/>
  <c r="W61" i="5"/>
  <c r="N62" i="5"/>
  <c r="Q62" i="5" s="1"/>
  <c r="M78" i="5"/>
  <c r="I39" i="5"/>
  <c r="L36" i="5"/>
  <c r="M48" i="5"/>
  <c r="R48" i="5" s="1"/>
  <c r="W48" i="5" s="1"/>
  <c r="R53" i="5"/>
  <c r="W53" i="5" s="1"/>
  <c r="Q55" i="5"/>
  <c r="R56" i="5"/>
  <c r="W56" i="5" s="1"/>
  <c r="H58" i="5"/>
  <c r="M58" i="5" s="1"/>
  <c r="R58" i="5" s="1"/>
  <c r="W58" i="5" s="1"/>
  <c r="M69" i="5"/>
  <c r="R69" i="5" s="1"/>
  <c r="W69" i="5" s="1"/>
  <c r="I62" i="5"/>
  <c r="L62" i="5" s="1"/>
  <c r="L73" i="5"/>
  <c r="V78" i="5"/>
  <c r="W54" i="5"/>
  <c r="L55" i="5"/>
  <c r="M55" i="5" s="1"/>
  <c r="W65" i="5"/>
  <c r="H73" i="5"/>
  <c r="E62" i="5"/>
  <c r="H62" i="5" s="1"/>
  <c r="Q78" i="5"/>
  <c r="R78" i="5" s="1"/>
  <c r="W80" i="5"/>
  <c r="M73" i="5" l="1"/>
  <c r="R73" i="5" s="1"/>
  <c r="W73" i="5" s="1"/>
  <c r="V41" i="5"/>
  <c r="U30" i="2"/>
  <c r="P84" i="5"/>
  <c r="P89" i="5" s="1"/>
  <c r="R78" i="6"/>
  <c r="W78" i="6" s="1"/>
  <c r="Q42" i="6"/>
  <c r="H38" i="6"/>
  <c r="M38" i="6" s="1"/>
  <c r="F84" i="6"/>
  <c r="F89" i="6" s="1"/>
  <c r="M62" i="7"/>
  <c r="R62" i="7" s="1"/>
  <c r="W62" i="7" s="1"/>
  <c r="M54" i="7"/>
  <c r="R54" i="7" s="1"/>
  <c r="L38" i="7"/>
  <c r="M38" i="7" s="1"/>
  <c r="M10" i="7"/>
  <c r="R10" i="7" s="1"/>
  <c r="H41" i="7"/>
  <c r="R39" i="7"/>
  <c r="W39" i="7" s="1"/>
  <c r="H9" i="7"/>
  <c r="V41" i="7"/>
  <c r="W16" i="7"/>
  <c r="Q26" i="7"/>
  <c r="Q42" i="7"/>
  <c r="G84" i="8"/>
  <c r="G89" i="8" s="1"/>
  <c r="H38" i="9"/>
  <c r="M38" i="9" s="1"/>
  <c r="R38" i="9" s="1"/>
  <c r="W38" i="9" s="1"/>
  <c r="O84" i="9"/>
  <c r="O89" i="9" s="1"/>
  <c r="M36" i="9"/>
  <c r="L35" i="9"/>
  <c r="P49" i="9"/>
  <c r="P30" i="9"/>
  <c r="P84" i="9" s="1"/>
  <c r="P89" i="9" s="1"/>
  <c r="P49" i="8"/>
  <c r="P30" i="8"/>
  <c r="P84" i="8" s="1"/>
  <c r="P89" i="8" s="1"/>
  <c r="K30" i="2"/>
  <c r="J30" i="6"/>
  <c r="J49" i="6"/>
  <c r="J43" i="6" s="1"/>
  <c r="G12" i="6"/>
  <c r="G13" i="6"/>
  <c r="Q29" i="2"/>
  <c r="O49" i="5"/>
  <c r="O30" i="5"/>
  <c r="G43" i="5"/>
  <c r="F43" i="5"/>
  <c r="G26" i="2"/>
  <c r="T30" i="2"/>
  <c r="O29" i="2"/>
  <c r="G12" i="9"/>
  <c r="G13" i="9" s="1"/>
  <c r="F49" i="9"/>
  <c r="F43" i="9" s="1"/>
  <c r="F30" i="9"/>
  <c r="F84" i="9" s="1"/>
  <c r="F89" i="9" s="1"/>
  <c r="L14" i="9"/>
  <c r="I86" i="9"/>
  <c r="V21" i="9"/>
  <c r="S32" i="9"/>
  <c r="W39" i="9"/>
  <c r="U84" i="9"/>
  <c r="U89" i="9" s="1"/>
  <c r="G30" i="9"/>
  <c r="G49" i="9"/>
  <c r="G43" i="9" s="1"/>
  <c r="S42" i="9"/>
  <c r="V42" i="9" s="1"/>
  <c r="V26" i="9"/>
  <c r="R73" i="9"/>
  <c r="W73" i="9" s="1"/>
  <c r="U12" i="9"/>
  <c r="U13" i="9"/>
  <c r="E11" i="9"/>
  <c r="F12" i="9"/>
  <c r="F13" i="9" s="1"/>
  <c r="L10" i="9"/>
  <c r="M10" i="9" s="1"/>
  <c r="R10" i="9" s="1"/>
  <c r="W10" i="9" s="1"/>
  <c r="I11" i="9"/>
  <c r="M55" i="9"/>
  <c r="R55" i="9" s="1"/>
  <c r="W55" i="9" s="1"/>
  <c r="H26" i="9"/>
  <c r="E42" i="9"/>
  <c r="H42" i="9" s="1"/>
  <c r="E49" i="9"/>
  <c r="E30" i="9"/>
  <c r="H23" i="9"/>
  <c r="W62" i="9"/>
  <c r="I42" i="9"/>
  <c r="L42" i="9" s="1"/>
  <c r="M42" i="9" s="1"/>
  <c r="R42" i="9" s="1"/>
  <c r="L26" i="9"/>
  <c r="M26" i="9" s="1"/>
  <c r="R26" i="9" s="1"/>
  <c r="I49" i="9"/>
  <c r="L23" i="9"/>
  <c r="M23" i="9" s="1"/>
  <c r="R23" i="9" s="1"/>
  <c r="W23" i="9" s="1"/>
  <c r="I30" i="9"/>
  <c r="N43" i="9"/>
  <c r="Q43" i="9" s="1"/>
  <c r="Q49" i="9"/>
  <c r="R78" i="9"/>
  <c r="W78" i="9" s="1"/>
  <c r="N84" i="9"/>
  <c r="Q30" i="9"/>
  <c r="H21" i="9"/>
  <c r="M21" i="9" s="1"/>
  <c r="R21" i="9" s="1"/>
  <c r="V11" i="9"/>
  <c r="S12" i="9"/>
  <c r="V12" i="9" s="1"/>
  <c r="K30" i="9"/>
  <c r="K49" i="9"/>
  <c r="K43" i="9" s="1"/>
  <c r="M9" i="9"/>
  <c r="R9" i="9" s="1"/>
  <c r="W9" i="9" s="1"/>
  <c r="V86" i="9"/>
  <c r="M32" i="9"/>
  <c r="R32" i="9" s="1"/>
  <c r="V30" i="9"/>
  <c r="U12" i="8"/>
  <c r="V12" i="8" s="1"/>
  <c r="U13" i="8"/>
  <c r="V13" i="8" s="1"/>
  <c r="V11" i="8"/>
  <c r="K30" i="8"/>
  <c r="K49" i="8"/>
  <c r="I86" i="8"/>
  <c r="J16" i="2" s="1"/>
  <c r="L14" i="8"/>
  <c r="L23" i="8"/>
  <c r="M23" i="8" s="1"/>
  <c r="M73" i="8"/>
  <c r="R73" i="8" s="1"/>
  <c r="W73" i="8" s="1"/>
  <c r="V86" i="8"/>
  <c r="H30" i="8"/>
  <c r="M39" i="8"/>
  <c r="R39" i="8" s="1"/>
  <c r="W39" i="8" s="1"/>
  <c r="R42" i="8"/>
  <c r="W42" i="8" s="1"/>
  <c r="L26" i="8"/>
  <c r="M26" i="8" s="1"/>
  <c r="R26" i="8" s="1"/>
  <c r="V50" i="8"/>
  <c r="W32" i="8"/>
  <c r="J84" i="8"/>
  <c r="J89" i="8" s="1"/>
  <c r="R78" i="8"/>
  <c r="W78" i="8" s="1"/>
  <c r="M62" i="8"/>
  <c r="Q62" i="8"/>
  <c r="R62" i="8" s="1"/>
  <c r="W62" i="8" s="1"/>
  <c r="S89" i="8"/>
  <c r="I13" i="8"/>
  <c r="L13" i="8" s="1"/>
  <c r="L12" i="8"/>
  <c r="H49" i="8"/>
  <c r="E43" i="8"/>
  <c r="H43" i="8" s="1"/>
  <c r="M38" i="8"/>
  <c r="R38" i="8" s="1"/>
  <c r="W38" i="8" s="1"/>
  <c r="I43" i="8"/>
  <c r="L50" i="8"/>
  <c r="M50" i="8" s="1"/>
  <c r="R50" i="8" s="1"/>
  <c r="F84" i="8"/>
  <c r="F89" i="8" s="1"/>
  <c r="V10" i="8"/>
  <c r="W10" i="8" s="1"/>
  <c r="E12" i="8"/>
  <c r="H12" i="8" s="1"/>
  <c r="H11" i="8"/>
  <c r="H9" i="8" s="1"/>
  <c r="M9" i="8" s="1"/>
  <c r="R9" i="8" s="1"/>
  <c r="W9" i="8" s="1"/>
  <c r="N30" i="8"/>
  <c r="Q23" i="8"/>
  <c r="R23" i="8" s="1"/>
  <c r="N49" i="8"/>
  <c r="E86" i="8"/>
  <c r="H14" i="8"/>
  <c r="H86" i="8" s="1"/>
  <c r="R36" i="8"/>
  <c r="U49" i="8"/>
  <c r="V49" i="8" s="1"/>
  <c r="U30" i="8"/>
  <c r="V23" i="8"/>
  <c r="W23" i="8" s="1"/>
  <c r="M54" i="8"/>
  <c r="R54" i="8" s="1"/>
  <c r="W54" i="8" s="1"/>
  <c r="O84" i="8"/>
  <c r="O89" i="8" s="1"/>
  <c r="V26" i="8"/>
  <c r="M21" i="8"/>
  <c r="R21" i="8" s="1"/>
  <c r="W21" i="8" s="1"/>
  <c r="M16" i="8"/>
  <c r="R16" i="8" s="1"/>
  <c r="W16" i="8" s="1"/>
  <c r="T12" i="7"/>
  <c r="T13" i="7" s="1"/>
  <c r="F30" i="7"/>
  <c r="F49" i="7"/>
  <c r="F43" i="7" s="1"/>
  <c r="V11" i="7"/>
  <c r="S12" i="7"/>
  <c r="V12" i="7" s="1"/>
  <c r="G30" i="7"/>
  <c r="G49" i="7"/>
  <c r="G43" i="7" s="1"/>
  <c r="H26" i="7"/>
  <c r="P49" i="7"/>
  <c r="Q55" i="2" s="1"/>
  <c r="P30" i="7"/>
  <c r="P84" i="7" s="1"/>
  <c r="P89" i="7" s="1"/>
  <c r="U49" i="7"/>
  <c r="U30" i="7"/>
  <c r="I49" i="7"/>
  <c r="I30" i="7"/>
  <c r="L23" i="7"/>
  <c r="R38" i="7"/>
  <c r="T84" i="7"/>
  <c r="T89" i="7" s="1"/>
  <c r="V21" i="7"/>
  <c r="S32" i="7"/>
  <c r="V32" i="7" s="1"/>
  <c r="K30" i="7"/>
  <c r="K49" i="7"/>
  <c r="K43" i="7" s="1"/>
  <c r="V86" i="7"/>
  <c r="N43" i="7"/>
  <c r="Q43" i="7" s="1"/>
  <c r="M35" i="7"/>
  <c r="R36" i="7"/>
  <c r="H42" i="7"/>
  <c r="M73" i="7"/>
  <c r="R73" i="7" s="1"/>
  <c r="W73" i="7" s="1"/>
  <c r="U43" i="7"/>
  <c r="I32" i="7"/>
  <c r="L32" i="7" s="1"/>
  <c r="M32" i="7" s="1"/>
  <c r="R32" i="7" s="1"/>
  <c r="L21" i="7"/>
  <c r="L41" i="7"/>
  <c r="M41" i="7" s="1"/>
  <c r="R41" i="7" s="1"/>
  <c r="W41" i="7" s="1"/>
  <c r="H21" i="7"/>
  <c r="L86" i="7"/>
  <c r="M14" i="7"/>
  <c r="H12" i="7"/>
  <c r="M12" i="7" s="1"/>
  <c r="R12" i="7" s="1"/>
  <c r="S30" i="7"/>
  <c r="V23" i="7"/>
  <c r="S49" i="7"/>
  <c r="J49" i="7"/>
  <c r="J43" i="7" s="1"/>
  <c r="J30" i="7"/>
  <c r="O30" i="7"/>
  <c r="O84" i="7" s="1"/>
  <c r="O89" i="7" s="1"/>
  <c r="O49" i="7"/>
  <c r="Q49" i="7" s="1"/>
  <c r="M42" i="7"/>
  <c r="R42" i="7" s="1"/>
  <c r="M50" i="7"/>
  <c r="R50" i="7" s="1"/>
  <c r="W50" i="7" s="1"/>
  <c r="M55" i="7"/>
  <c r="R55" i="7" s="1"/>
  <c r="W55" i="7" s="1"/>
  <c r="W38" i="7"/>
  <c r="L26" i="7"/>
  <c r="M26" i="7" s="1"/>
  <c r="R26" i="7" s="1"/>
  <c r="W54" i="7"/>
  <c r="W40" i="7"/>
  <c r="E49" i="7"/>
  <c r="H23" i="7"/>
  <c r="E30" i="7"/>
  <c r="M78" i="7"/>
  <c r="R78" i="7" s="1"/>
  <c r="W78" i="7" s="1"/>
  <c r="V10" i="7"/>
  <c r="W10" i="7" s="1"/>
  <c r="S42" i="7"/>
  <c r="V42" i="7" s="1"/>
  <c r="V26" i="7"/>
  <c r="M9" i="7"/>
  <c r="R9" i="7" s="1"/>
  <c r="W9" i="7" s="1"/>
  <c r="M11" i="7"/>
  <c r="R11" i="7" s="1"/>
  <c r="U12" i="6"/>
  <c r="U13" i="6" s="1"/>
  <c r="T49" i="6"/>
  <c r="T43" i="6" s="1"/>
  <c r="T30" i="6"/>
  <c r="I32" i="6"/>
  <c r="L32" i="6" s="1"/>
  <c r="L21" i="6"/>
  <c r="M73" i="6"/>
  <c r="R73" i="6" s="1"/>
  <c r="W73" i="6" s="1"/>
  <c r="K30" i="6"/>
  <c r="K49" i="6"/>
  <c r="K43" i="6" s="1"/>
  <c r="F12" i="6"/>
  <c r="F13" i="6"/>
  <c r="H41" i="6"/>
  <c r="U49" i="6"/>
  <c r="U30" i="6"/>
  <c r="U43" i="6"/>
  <c r="P84" i="6"/>
  <c r="P89" i="6" s="1"/>
  <c r="I12" i="6"/>
  <c r="L12" i="6" s="1"/>
  <c r="I13" i="6"/>
  <c r="L13" i="6" s="1"/>
  <c r="L11" i="6"/>
  <c r="E49" i="6"/>
  <c r="F55" i="2" s="1"/>
  <c r="F36" i="2" s="1"/>
  <c r="E30" i="6"/>
  <c r="F25" i="2" s="1"/>
  <c r="H23" i="6"/>
  <c r="L41" i="6"/>
  <c r="I31" i="6"/>
  <c r="L31" i="6" s="1"/>
  <c r="M31" i="6" s="1"/>
  <c r="R31" i="6" s="1"/>
  <c r="R36" i="6"/>
  <c r="M35" i="6"/>
  <c r="V26" i="6"/>
  <c r="N49" i="6"/>
  <c r="N30" i="6"/>
  <c r="Q23" i="6"/>
  <c r="W50" i="6"/>
  <c r="E42" i="6"/>
  <c r="H42" i="6" s="1"/>
  <c r="H26" i="6"/>
  <c r="Q62" i="6"/>
  <c r="H11" i="6"/>
  <c r="H9" i="6" s="1"/>
  <c r="M9" i="6" s="1"/>
  <c r="R9" i="6" s="1"/>
  <c r="W9" i="6" s="1"/>
  <c r="E12" i="6"/>
  <c r="H12" i="6" s="1"/>
  <c r="I42" i="6"/>
  <c r="L42" i="6" s="1"/>
  <c r="L26" i="6"/>
  <c r="L23" i="6"/>
  <c r="M23" i="6" s="1"/>
  <c r="M62" i="6"/>
  <c r="S49" i="6"/>
  <c r="S30" i="6"/>
  <c r="V23" i="6"/>
  <c r="G49" i="6"/>
  <c r="G43" i="6" s="1"/>
  <c r="G30" i="6"/>
  <c r="H25" i="2" s="1"/>
  <c r="R38" i="6"/>
  <c r="W38" i="6" s="1"/>
  <c r="M39" i="6"/>
  <c r="R39" i="6" s="1"/>
  <c r="W39" i="6" s="1"/>
  <c r="T11" i="6"/>
  <c r="V10" i="6"/>
  <c r="Q26" i="6"/>
  <c r="M54" i="6"/>
  <c r="R54" i="6" s="1"/>
  <c r="W54" i="6" s="1"/>
  <c r="L86" i="6"/>
  <c r="M14" i="6"/>
  <c r="M10" i="6"/>
  <c r="R10" i="6" s="1"/>
  <c r="E32" i="6"/>
  <c r="H32" i="6" s="1"/>
  <c r="H21" i="6"/>
  <c r="L49" i="6"/>
  <c r="I43" i="6"/>
  <c r="L43" i="6" s="1"/>
  <c r="V42" i="6"/>
  <c r="M62" i="5"/>
  <c r="L35" i="5"/>
  <c r="M36" i="5"/>
  <c r="V26" i="5"/>
  <c r="S42" i="5"/>
  <c r="V21" i="5"/>
  <c r="S32" i="5"/>
  <c r="K49" i="5"/>
  <c r="K30" i="5"/>
  <c r="H30" i="5"/>
  <c r="E31" i="5"/>
  <c r="R55" i="5"/>
  <c r="W55" i="5" s="1"/>
  <c r="L39" i="5"/>
  <c r="M39" i="5" s="1"/>
  <c r="I38" i="5"/>
  <c r="L38" i="5" s="1"/>
  <c r="M38" i="5" s="1"/>
  <c r="R62" i="5"/>
  <c r="W62" i="5" s="1"/>
  <c r="R39" i="5"/>
  <c r="W39" i="5" s="1"/>
  <c r="I42" i="5"/>
  <c r="L26" i="5"/>
  <c r="H21" i="5"/>
  <c r="E32" i="5"/>
  <c r="S30" i="5"/>
  <c r="T25" i="2" s="1"/>
  <c r="V23" i="5"/>
  <c r="S49" i="5"/>
  <c r="T55" i="2" s="1"/>
  <c r="L21" i="5"/>
  <c r="M21" i="5" s="1"/>
  <c r="R21" i="5" s="1"/>
  <c r="I32" i="5"/>
  <c r="E86" i="5"/>
  <c r="F16" i="2" s="1"/>
  <c r="H14" i="5"/>
  <c r="H86" i="5" s="1"/>
  <c r="I11" i="5"/>
  <c r="W16" i="5"/>
  <c r="H49" i="5"/>
  <c r="E43" i="5"/>
  <c r="H43" i="5" s="1"/>
  <c r="W78" i="5"/>
  <c r="R38" i="5"/>
  <c r="W38" i="5" s="1"/>
  <c r="U49" i="5"/>
  <c r="U30" i="5"/>
  <c r="V25" i="2" s="1"/>
  <c r="T49" i="5"/>
  <c r="T30" i="5"/>
  <c r="U25" i="2" s="1"/>
  <c r="E42" i="5"/>
  <c r="H26" i="5"/>
  <c r="N49" i="5"/>
  <c r="O55" i="2" s="1"/>
  <c r="N30" i="5"/>
  <c r="O25" i="2" s="1"/>
  <c r="Q23" i="5"/>
  <c r="W17" i="5"/>
  <c r="U11" i="5"/>
  <c r="L86" i="5"/>
  <c r="M14" i="5"/>
  <c r="E11" i="5"/>
  <c r="G84" i="5"/>
  <c r="G89" i="5" s="1"/>
  <c r="G31" i="5"/>
  <c r="J49" i="5"/>
  <c r="J30" i="5"/>
  <c r="M10" i="5"/>
  <c r="R10" i="5" s="1"/>
  <c r="W10" i="5" s="1"/>
  <c r="V11" i="5"/>
  <c r="S12" i="5"/>
  <c r="H41" i="5"/>
  <c r="M41" i="5" s="1"/>
  <c r="R41" i="5" s="1"/>
  <c r="W41" i="5" s="1"/>
  <c r="F84" i="5"/>
  <c r="F89" i="5" s="1"/>
  <c r="F31" i="5"/>
  <c r="I49" i="5"/>
  <c r="J55" i="2" s="1"/>
  <c r="I30" i="5"/>
  <c r="J25" i="2" s="1"/>
  <c r="L23" i="5"/>
  <c r="M23" i="5" s="1"/>
  <c r="V14" i="5"/>
  <c r="F12" i="5"/>
  <c r="F13" i="5" s="1"/>
  <c r="K25" i="2" l="1"/>
  <c r="J43" i="5"/>
  <c r="J84" i="5" s="1"/>
  <c r="J89" i="5" s="1"/>
  <c r="K55" i="2"/>
  <c r="H42" i="5"/>
  <c r="F29" i="2"/>
  <c r="T43" i="5"/>
  <c r="U55" i="2"/>
  <c r="U43" i="5"/>
  <c r="V55" i="2"/>
  <c r="L32" i="5"/>
  <c r="J26" i="2"/>
  <c r="H32" i="5"/>
  <c r="F26" i="2"/>
  <c r="L42" i="5"/>
  <c r="M42" i="5" s="1"/>
  <c r="R42" i="5" s="1"/>
  <c r="J29" i="2"/>
  <c r="L25" i="2"/>
  <c r="K43" i="5"/>
  <c r="K84" i="5" s="1"/>
  <c r="K89" i="5" s="1"/>
  <c r="L55" i="2"/>
  <c r="V32" i="5"/>
  <c r="T26" i="2"/>
  <c r="W21" i="5"/>
  <c r="V42" i="5"/>
  <c r="T29" i="2"/>
  <c r="K84" i="6"/>
  <c r="K89" i="6" s="1"/>
  <c r="W26" i="7"/>
  <c r="Q30" i="7"/>
  <c r="K84" i="7"/>
  <c r="K89" i="7" s="1"/>
  <c r="W11" i="7"/>
  <c r="F84" i="7"/>
  <c r="F89" i="7" s="1"/>
  <c r="E84" i="8"/>
  <c r="H84" i="8" s="1"/>
  <c r="M11" i="8"/>
  <c r="R11" i="8" s="1"/>
  <c r="S13" i="9"/>
  <c r="V13" i="9" s="1"/>
  <c r="G55" i="2"/>
  <c r="G36" i="2" s="1"/>
  <c r="H55" i="2"/>
  <c r="H36" i="2" s="1"/>
  <c r="H24" i="2" s="1"/>
  <c r="P25" i="2"/>
  <c r="O84" i="5"/>
  <c r="O89" i="5" s="1"/>
  <c r="P55" i="2"/>
  <c r="J84" i="6"/>
  <c r="J89" i="6" s="1"/>
  <c r="M35" i="9"/>
  <c r="R36" i="9"/>
  <c r="G25" i="2"/>
  <c r="G24" i="2" s="1"/>
  <c r="Q25" i="2"/>
  <c r="Q84" i="9"/>
  <c r="N89" i="9"/>
  <c r="Q89" i="9" s="1"/>
  <c r="E43" i="9"/>
  <c r="H43" i="9" s="1"/>
  <c r="H49" i="9"/>
  <c r="V32" i="9"/>
  <c r="W32" i="9" s="1"/>
  <c r="S84" i="9"/>
  <c r="G84" i="9"/>
  <c r="G89" i="9" s="1"/>
  <c r="W21" i="9"/>
  <c r="K84" i="9"/>
  <c r="K89" i="9" s="1"/>
  <c r="I43" i="9"/>
  <c r="L43" i="9" s="1"/>
  <c r="M43" i="9" s="1"/>
  <c r="L49" i="9"/>
  <c r="M49" i="9" s="1"/>
  <c r="R49" i="9" s="1"/>
  <c r="W49" i="9" s="1"/>
  <c r="W26" i="9"/>
  <c r="I84" i="9"/>
  <c r="L84" i="9" s="1"/>
  <c r="L30" i="9"/>
  <c r="R43" i="9"/>
  <c r="W43" i="9" s="1"/>
  <c r="E84" i="9"/>
  <c r="H30" i="9"/>
  <c r="L11" i="9"/>
  <c r="I12" i="9"/>
  <c r="L12" i="9" s="1"/>
  <c r="E12" i="9"/>
  <c r="H12" i="9" s="1"/>
  <c r="H11" i="9"/>
  <c r="W42" i="9"/>
  <c r="L86" i="9"/>
  <c r="M14" i="9"/>
  <c r="W11" i="8"/>
  <c r="V30" i="8"/>
  <c r="Q30" i="8"/>
  <c r="M12" i="8"/>
  <c r="R12" i="8" s="1"/>
  <c r="W12" i="8" s="1"/>
  <c r="L30" i="8"/>
  <c r="M30" i="8" s="1"/>
  <c r="E13" i="8"/>
  <c r="H13" i="8" s="1"/>
  <c r="M13" i="8"/>
  <c r="R13" i="8" s="1"/>
  <c r="W13" i="8" s="1"/>
  <c r="U43" i="8"/>
  <c r="V43" i="8" s="1"/>
  <c r="W26" i="8"/>
  <c r="L86" i="8"/>
  <c r="M14" i="8"/>
  <c r="R35" i="8"/>
  <c r="W36" i="8"/>
  <c r="W35" i="8" s="1"/>
  <c r="Q49" i="8"/>
  <c r="N43" i="8"/>
  <c r="Q43" i="8" s="1"/>
  <c r="W50" i="8"/>
  <c r="K43" i="8"/>
  <c r="K84" i="8" s="1"/>
  <c r="K89" i="8" s="1"/>
  <c r="L49" i="8"/>
  <c r="M49" i="8" s="1"/>
  <c r="I84" i="8"/>
  <c r="V30" i="7"/>
  <c r="L49" i="7"/>
  <c r="I43" i="7"/>
  <c r="L43" i="7" s="1"/>
  <c r="W12" i="7"/>
  <c r="W42" i="7"/>
  <c r="H30" i="7"/>
  <c r="W32" i="7"/>
  <c r="U84" i="7"/>
  <c r="U89" i="7" s="1"/>
  <c r="V49" i="7"/>
  <c r="S43" i="7"/>
  <c r="V43" i="7" s="1"/>
  <c r="M86" i="7"/>
  <c r="R14" i="7"/>
  <c r="R35" i="7"/>
  <c r="W36" i="7"/>
  <c r="W35" i="7" s="1"/>
  <c r="M23" i="7"/>
  <c r="R23" i="7" s="1"/>
  <c r="W23" i="7" s="1"/>
  <c r="G84" i="7"/>
  <c r="G89" i="7" s="1"/>
  <c r="S13" i="7"/>
  <c r="V13" i="7" s="1"/>
  <c r="W13" i="7" s="1"/>
  <c r="H49" i="7"/>
  <c r="E43" i="7"/>
  <c r="H43" i="7" s="1"/>
  <c r="J84" i="7"/>
  <c r="J89" i="7" s="1"/>
  <c r="M21" i="7"/>
  <c r="R21" i="7" s="1"/>
  <c r="W21" i="7" s="1"/>
  <c r="N84" i="7"/>
  <c r="L30" i="7"/>
  <c r="M30" i="7" s="1"/>
  <c r="R30" i="7" s="1"/>
  <c r="T84" i="6"/>
  <c r="T89" i="6" s="1"/>
  <c r="T31" i="6"/>
  <c r="S31" i="6"/>
  <c r="V30" i="6"/>
  <c r="R35" i="6"/>
  <c r="W36" i="6"/>
  <c r="W35" i="6" s="1"/>
  <c r="E31" i="6"/>
  <c r="H30" i="6"/>
  <c r="M86" i="6"/>
  <c r="R14" i="6"/>
  <c r="M42" i="6"/>
  <c r="R42" i="6" s="1"/>
  <c r="I84" i="6"/>
  <c r="H49" i="6"/>
  <c r="E43" i="6"/>
  <c r="H43" i="6" s="1"/>
  <c r="M21" i="6"/>
  <c r="R21" i="6" s="1"/>
  <c r="W21" i="6" s="1"/>
  <c r="M43" i="6"/>
  <c r="Q30" i="6"/>
  <c r="M49" i="6"/>
  <c r="M26" i="6"/>
  <c r="R26" i="6" s="1"/>
  <c r="W26" i="6" s="1"/>
  <c r="Q49" i="6"/>
  <c r="N43" i="6"/>
  <c r="Q43" i="6" s="1"/>
  <c r="L30" i="6"/>
  <c r="M30" i="6" s="1"/>
  <c r="M12" i="6"/>
  <c r="R12" i="6" s="1"/>
  <c r="U31" i="6"/>
  <c r="U84" i="6"/>
  <c r="U89" i="6" s="1"/>
  <c r="W10" i="6"/>
  <c r="G84" i="6"/>
  <c r="G89" i="6" s="1"/>
  <c r="G31" i="6"/>
  <c r="V49" i="6"/>
  <c r="S43" i="6"/>
  <c r="V43" i="6" s="1"/>
  <c r="E13" i="6"/>
  <c r="H13" i="6" s="1"/>
  <c r="M13" i="6" s="1"/>
  <c r="R13" i="6" s="1"/>
  <c r="W42" i="6"/>
  <c r="T12" i="6"/>
  <c r="V12" i="6" s="1"/>
  <c r="W12" i="6" s="1"/>
  <c r="V11" i="6"/>
  <c r="R62" i="6"/>
  <c r="W62" i="6" s="1"/>
  <c r="R23" i="6"/>
  <c r="W23" i="6" s="1"/>
  <c r="M41" i="6"/>
  <c r="R41" i="6" s="1"/>
  <c r="W41" i="6" s="1"/>
  <c r="M11" i="6"/>
  <c r="R11" i="6" s="1"/>
  <c r="M32" i="6"/>
  <c r="R32" i="6" s="1"/>
  <c r="W32" i="6" s="1"/>
  <c r="M86" i="5"/>
  <c r="R14" i="5"/>
  <c r="R86" i="5" s="1"/>
  <c r="V49" i="5"/>
  <c r="S43" i="5"/>
  <c r="V43" i="5" s="1"/>
  <c r="M35" i="5"/>
  <c r="R36" i="5"/>
  <c r="I31" i="5"/>
  <c r="L31" i="5" s="1"/>
  <c r="L30" i="5"/>
  <c r="M30" i="5" s="1"/>
  <c r="R23" i="5"/>
  <c r="W23" i="5" s="1"/>
  <c r="H31" i="5"/>
  <c r="W42" i="5"/>
  <c r="L49" i="5"/>
  <c r="M49" i="5" s="1"/>
  <c r="I43" i="5"/>
  <c r="L43" i="5" s="1"/>
  <c r="M43" i="5" s="1"/>
  <c r="Q30" i="5"/>
  <c r="T84" i="5"/>
  <c r="T89" i="5" s="1"/>
  <c r="T31" i="5"/>
  <c r="M32" i="5"/>
  <c r="R32" i="5" s="1"/>
  <c r="W32" i="5" s="1"/>
  <c r="S31" i="5"/>
  <c r="V30" i="5"/>
  <c r="M26" i="5"/>
  <c r="R26" i="5" s="1"/>
  <c r="W26" i="5" s="1"/>
  <c r="E84" i="5"/>
  <c r="H84" i="5" s="1"/>
  <c r="U84" i="5"/>
  <c r="U89" i="5" s="1"/>
  <c r="U31" i="5"/>
  <c r="V86" i="5"/>
  <c r="E12" i="5"/>
  <c r="H12" i="5" s="1"/>
  <c r="H11" i="5"/>
  <c r="H9" i="5" s="1"/>
  <c r="M9" i="5" s="1"/>
  <c r="R9" i="5" s="1"/>
  <c r="W9" i="5" s="1"/>
  <c r="U12" i="5"/>
  <c r="U13" i="5" s="1"/>
  <c r="Q49" i="5"/>
  <c r="R49" i="5" s="1"/>
  <c r="N43" i="5"/>
  <c r="Q43" i="5" s="1"/>
  <c r="R43" i="5" s="1"/>
  <c r="I12" i="5"/>
  <c r="L12" i="5" s="1"/>
  <c r="M12" i="5" s="1"/>
  <c r="R12" i="5" s="1"/>
  <c r="L11" i="5"/>
  <c r="I108" i="4"/>
  <c r="O108" i="1"/>
  <c r="E13" i="5" l="1"/>
  <c r="N84" i="5"/>
  <c r="E84" i="6"/>
  <c r="L43" i="8"/>
  <c r="M43" i="8" s="1"/>
  <c r="R43" i="8" s="1"/>
  <c r="W43" i="8" s="1"/>
  <c r="R30" i="8"/>
  <c r="U84" i="8"/>
  <c r="I13" i="9"/>
  <c r="L13" i="9" s="1"/>
  <c r="M30" i="9"/>
  <c r="R30" i="9" s="1"/>
  <c r="W30" i="9" s="1"/>
  <c r="R35" i="9"/>
  <c r="W36" i="9"/>
  <c r="W35" i="9" s="1"/>
  <c r="E89" i="8"/>
  <c r="H89" i="8" s="1"/>
  <c r="E108" i="4"/>
  <c r="T108" i="1"/>
  <c r="F108" i="1" s="1"/>
  <c r="M86" i="9"/>
  <c r="R14" i="9"/>
  <c r="E13" i="9"/>
  <c r="H13" i="9" s="1"/>
  <c r="M13" i="9" s="1"/>
  <c r="R13" i="9" s="1"/>
  <c r="W13" i="9" s="1"/>
  <c r="M12" i="9"/>
  <c r="R12" i="9" s="1"/>
  <c r="W12" i="9" s="1"/>
  <c r="H84" i="9"/>
  <c r="M84" i="9" s="1"/>
  <c r="R84" i="9" s="1"/>
  <c r="E89" i="9"/>
  <c r="H89" i="9" s="1"/>
  <c r="I89" i="9"/>
  <c r="L89" i="9" s="1"/>
  <c r="M11" i="9"/>
  <c r="R11" i="9" s="1"/>
  <c r="W11" i="9" s="1"/>
  <c r="V84" i="9"/>
  <c r="S89" i="9"/>
  <c r="V89" i="9" s="1"/>
  <c r="L84" i="8"/>
  <c r="M84" i="8" s="1"/>
  <c r="U89" i="8"/>
  <c r="V89" i="8" s="1"/>
  <c r="V84" i="8"/>
  <c r="M86" i="8"/>
  <c r="R14" i="8"/>
  <c r="R49" i="8"/>
  <c r="W49" i="8" s="1"/>
  <c r="I89" i="8"/>
  <c r="L89" i="8" s="1"/>
  <c r="M89" i="8" s="1"/>
  <c r="N84" i="8"/>
  <c r="W30" i="8"/>
  <c r="Q84" i="7"/>
  <c r="N89" i="7"/>
  <c r="Q89" i="7" s="1"/>
  <c r="R86" i="7"/>
  <c r="W14" i="7"/>
  <c r="W86" i="7" s="1"/>
  <c r="M43" i="7"/>
  <c r="R43" i="7" s="1"/>
  <c r="W43" i="7" s="1"/>
  <c r="W30" i="7"/>
  <c r="I84" i="7"/>
  <c r="E84" i="7"/>
  <c r="M49" i="7"/>
  <c r="R49" i="7" s="1"/>
  <c r="W49" i="7" s="1"/>
  <c r="S84" i="7"/>
  <c r="L84" i="6"/>
  <c r="I89" i="6"/>
  <c r="L89" i="6" s="1"/>
  <c r="T13" i="6"/>
  <c r="V13" i="6" s="1"/>
  <c r="W13" i="6" s="1"/>
  <c r="R43" i="6"/>
  <c r="W43" i="6" s="1"/>
  <c r="N84" i="6"/>
  <c r="H84" i="6"/>
  <c r="E89" i="6"/>
  <c r="H89" i="6" s="1"/>
  <c r="R49" i="6"/>
  <c r="W49" i="6" s="1"/>
  <c r="R30" i="6"/>
  <c r="W30" i="6"/>
  <c r="W11" i="6"/>
  <c r="R86" i="6"/>
  <c r="W14" i="6"/>
  <c r="W86" i="6" s="1"/>
  <c r="V31" i="6"/>
  <c r="W31" i="6" s="1"/>
  <c r="S84" i="6"/>
  <c r="I13" i="5"/>
  <c r="L13" i="5" s="1"/>
  <c r="V12" i="5"/>
  <c r="W12" i="5" s="1"/>
  <c r="V31" i="5"/>
  <c r="M31" i="5"/>
  <c r="R31" i="5" s="1"/>
  <c r="W43" i="5"/>
  <c r="M11" i="5"/>
  <c r="R11" i="5" s="1"/>
  <c r="W11" i="5" s="1"/>
  <c r="W14" i="5"/>
  <c r="W86" i="5" s="1"/>
  <c r="S84" i="5"/>
  <c r="R30" i="5"/>
  <c r="W30" i="5" s="1"/>
  <c r="E89" i="5"/>
  <c r="H89" i="5" s="1"/>
  <c r="I84" i="5"/>
  <c r="W49" i="5"/>
  <c r="Q84" i="5"/>
  <c r="N89" i="5"/>
  <c r="Q89" i="5" s="1"/>
  <c r="W36" i="5"/>
  <c r="W35" i="5" s="1"/>
  <c r="R35" i="5"/>
  <c r="I13" i="1"/>
  <c r="I12" i="1" s="1"/>
  <c r="H13" i="1"/>
  <c r="H12" i="1" s="1"/>
  <c r="G13" i="1"/>
  <c r="N26" i="1"/>
  <c r="J25" i="1"/>
  <c r="M13" i="1"/>
  <c r="M12" i="1" s="1"/>
  <c r="L13" i="1"/>
  <c r="L12" i="1" s="1"/>
  <c r="K13" i="1"/>
  <c r="P13" i="1"/>
  <c r="P12" i="1" s="1"/>
  <c r="J13" i="1" l="1"/>
  <c r="W84" i="9"/>
  <c r="M89" i="9"/>
  <c r="R89" i="9" s="1"/>
  <c r="R86" i="9"/>
  <c r="W14" i="9"/>
  <c r="W86" i="9" s="1"/>
  <c r="W89" i="9"/>
  <c r="R86" i="8"/>
  <c r="W14" i="8"/>
  <c r="W86" i="8" s="1"/>
  <c r="Q84" i="8"/>
  <c r="R84" i="8" s="1"/>
  <c r="N89" i="8"/>
  <c r="Q89" i="8" s="1"/>
  <c r="R89" i="8" s="1"/>
  <c r="W84" i="8"/>
  <c r="W89" i="8"/>
  <c r="V84" i="7"/>
  <c r="S89" i="7"/>
  <c r="V89" i="7" s="1"/>
  <c r="L84" i="7"/>
  <c r="I89" i="7"/>
  <c r="L89" i="7" s="1"/>
  <c r="H84" i="7"/>
  <c r="E89" i="7"/>
  <c r="H89" i="7" s="1"/>
  <c r="Q84" i="6"/>
  <c r="N89" i="6"/>
  <c r="Q89" i="6" s="1"/>
  <c r="M89" i="6"/>
  <c r="M84" i="6"/>
  <c r="V84" i="6"/>
  <c r="S89" i="6"/>
  <c r="V89" i="6" s="1"/>
  <c r="V84" i="5"/>
  <c r="S89" i="5"/>
  <c r="V89" i="5" s="1"/>
  <c r="L84" i="5"/>
  <c r="M84" i="5" s="1"/>
  <c r="R84" i="5" s="1"/>
  <c r="I89" i="5"/>
  <c r="L89" i="5" s="1"/>
  <c r="M89" i="5" s="1"/>
  <c r="R89" i="5" s="1"/>
  <c r="W31" i="5"/>
  <c r="N13" i="1"/>
  <c r="K12" i="1"/>
  <c r="N12" i="1" s="1"/>
  <c r="R84" i="6" l="1"/>
  <c r="W84" i="6" s="1"/>
  <c r="M89" i="7"/>
  <c r="R89" i="7" s="1"/>
  <c r="M84" i="7"/>
  <c r="R84" i="7" s="1"/>
  <c r="W84" i="7" s="1"/>
  <c r="W89" i="7"/>
  <c r="R89" i="6"/>
  <c r="W89" i="6" s="1"/>
  <c r="W89" i="5"/>
  <c r="W84" i="5"/>
  <c r="V11" i="2" l="1"/>
  <c r="U11" i="2"/>
  <c r="T11" i="2"/>
  <c r="J11" i="2"/>
  <c r="H11" i="2"/>
  <c r="G11" i="2"/>
  <c r="F11" i="2"/>
  <c r="L84" i="4" l="1"/>
  <c r="K84" i="4"/>
  <c r="C60" i="2"/>
  <c r="C16" i="2"/>
  <c r="C91" i="2"/>
  <c r="C82" i="2"/>
  <c r="C100" i="2"/>
  <c r="V112" i="4"/>
  <c r="U112" i="4"/>
  <c r="T112" i="4"/>
  <c r="Q112" i="4"/>
  <c r="P112" i="4"/>
  <c r="O112" i="4"/>
  <c r="L112" i="4"/>
  <c r="H112" i="4"/>
  <c r="G112" i="4"/>
  <c r="F112" i="4"/>
  <c r="V111" i="4"/>
  <c r="U111" i="4"/>
  <c r="T111" i="4"/>
  <c r="Q111" i="4"/>
  <c r="P111" i="4"/>
  <c r="O111" i="4"/>
  <c r="L111" i="4"/>
  <c r="K111" i="4"/>
  <c r="H111" i="4"/>
  <c r="G111" i="4"/>
  <c r="F111" i="4"/>
  <c r="V109" i="4"/>
  <c r="U109" i="4"/>
  <c r="T109" i="4"/>
  <c r="Q109" i="4"/>
  <c r="P109" i="4"/>
  <c r="O109" i="4"/>
  <c r="L109" i="4"/>
  <c r="K109" i="4"/>
  <c r="J109" i="4"/>
  <c r="H109" i="4"/>
  <c r="G109" i="4"/>
  <c r="F109" i="4"/>
  <c r="V107" i="4"/>
  <c r="U107" i="4"/>
  <c r="T107" i="4"/>
  <c r="Q107" i="4"/>
  <c r="P107" i="4"/>
  <c r="O107" i="4"/>
  <c r="L107" i="4"/>
  <c r="K107" i="4"/>
  <c r="J107" i="4"/>
  <c r="H107" i="4"/>
  <c r="G107" i="4"/>
  <c r="F107" i="4"/>
  <c r="V106" i="4"/>
  <c r="U106" i="4"/>
  <c r="T106" i="4"/>
  <c r="Q106" i="4"/>
  <c r="P106" i="4"/>
  <c r="O106" i="4"/>
  <c r="L106" i="4"/>
  <c r="K106" i="4"/>
  <c r="J106" i="4"/>
  <c r="H106" i="4"/>
  <c r="G106" i="4"/>
  <c r="F106" i="4"/>
  <c r="V105" i="4"/>
  <c r="U105" i="4"/>
  <c r="T105" i="4"/>
  <c r="Q105" i="4"/>
  <c r="P105" i="4"/>
  <c r="O105" i="4"/>
  <c r="L105" i="4"/>
  <c r="K105" i="4"/>
  <c r="J105" i="4"/>
  <c r="H105" i="4"/>
  <c r="G105" i="4"/>
  <c r="F105" i="4"/>
  <c r="F100" i="4"/>
  <c r="V91" i="4"/>
  <c r="U91" i="4"/>
  <c r="T91" i="4"/>
  <c r="Q91" i="4"/>
  <c r="P91" i="4"/>
  <c r="O91" i="4"/>
  <c r="L91" i="4"/>
  <c r="K91" i="4"/>
  <c r="J91" i="4"/>
  <c r="H91" i="4"/>
  <c r="G91" i="4"/>
  <c r="F91" i="4"/>
  <c r="V89" i="4"/>
  <c r="U89" i="4"/>
  <c r="Q89" i="4"/>
  <c r="P89" i="4"/>
  <c r="O89" i="4"/>
  <c r="L89" i="4"/>
  <c r="K89" i="4"/>
  <c r="J89" i="4"/>
  <c r="H89" i="4"/>
  <c r="G89" i="4"/>
  <c r="F89" i="4"/>
  <c r="V86" i="4"/>
  <c r="U86" i="4"/>
  <c r="T86" i="4"/>
  <c r="Q86" i="4"/>
  <c r="P86" i="4"/>
  <c r="O86" i="4"/>
  <c r="L86" i="4"/>
  <c r="K86" i="4"/>
  <c r="H86" i="4"/>
  <c r="G86" i="4"/>
  <c r="F86" i="4"/>
  <c r="V85" i="4"/>
  <c r="U85" i="4"/>
  <c r="T85" i="4"/>
  <c r="Q85" i="4"/>
  <c r="P85" i="4"/>
  <c r="O85" i="4"/>
  <c r="L85" i="4"/>
  <c r="K85" i="4"/>
  <c r="H85" i="4"/>
  <c r="G85" i="4"/>
  <c r="F85" i="4"/>
  <c r="V84" i="4"/>
  <c r="U84" i="4"/>
  <c r="T84" i="4"/>
  <c r="Q84" i="4"/>
  <c r="P84" i="4"/>
  <c r="O84" i="4"/>
  <c r="H84" i="4"/>
  <c r="G84" i="4"/>
  <c r="F84" i="4"/>
  <c r="V81" i="4"/>
  <c r="U81" i="4"/>
  <c r="T81" i="4"/>
  <c r="Q81" i="4"/>
  <c r="P81" i="4"/>
  <c r="O81" i="4"/>
  <c r="H81" i="4"/>
  <c r="G81" i="4"/>
  <c r="F81" i="4"/>
  <c r="V80" i="4"/>
  <c r="U80" i="4"/>
  <c r="T80" i="4"/>
  <c r="Q80" i="4"/>
  <c r="P80" i="4"/>
  <c r="O80" i="4"/>
  <c r="H80" i="4"/>
  <c r="G80" i="4"/>
  <c r="F80" i="4"/>
  <c r="V79" i="4"/>
  <c r="U79" i="4"/>
  <c r="T79" i="4"/>
  <c r="Q79" i="4"/>
  <c r="P79" i="4"/>
  <c r="O79" i="4"/>
  <c r="H79" i="4"/>
  <c r="G79" i="4"/>
  <c r="F79" i="4"/>
  <c r="V78" i="4"/>
  <c r="U78" i="4"/>
  <c r="T78" i="4"/>
  <c r="Q78" i="4"/>
  <c r="P78" i="4"/>
  <c r="O78" i="4"/>
  <c r="H78" i="4"/>
  <c r="G78" i="4"/>
  <c r="F78" i="4"/>
  <c r="V76" i="4"/>
  <c r="U76" i="4"/>
  <c r="T76" i="4"/>
  <c r="Q76" i="4"/>
  <c r="P76" i="4"/>
  <c r="O76" i="4"/>
  <c r="L76" i="4"/>
  <c r="K76" i="4"/>
  <c r="J76" i="4"/>
  <c r="H76" i="4"/>
  <c r="G76" i="4"/>
  <c r="F76" i="4"/>
  <c r="V75" i="4"/>
  <c r="U75" i="4"/>
  <c r="T75" i="4"/>
  <c r="Q75" i="4"/>
  <c r="P75" i="4"/>
  <c r="O75" i="4"/>
  <c r="L75" i="4"/>
  <c r="K75" i="4"/>
  <c r="J75" i="4"/>
  <c r="H75" i="4"/>
  <c r="G75" i="4"/>
  <c r="F75" i="4"/>
  <c r="V74" i="4"/>
  <c r="U74" i="4"/>
  <c r="T74" i="4"/>
  <c r="Q74" i="4"/>
  <c r="P74" i="4"/>
  <c r="O74" i="4"/>
  <c r="L74" i="4"/>
  <c r="K74" i="4"/>
  <c r="J74" i="4"/>
  <c r="H74" i="4"/>
  <c r="G74" i="4"/>
  <c r="F74" i="4"/>
  <c r="V73" i="4"/>
  <c r="U73" i="4"/>
  <c r="T73" i="4"/>
  <c r="Q73" i="4"/>
  <c r="P73" i="4"/>
  <c r="O73" i="4"/>
  <c r="L73" i="4"/>
  <c r="K73" i="4"/>
  <c r="J73" i="4"/>
  <c r="H73" i="4"/>
  <c r="G73" i="4"/>
  <c r="F73" i="4"/>
  <c r="V72" i="4"/>
  <c r="U72" i="4"/>
  <c r="T72" i="4"/>
  <c r="Q72" i="4"/>
  <c r="P72" i="4"/>
  <c r="O72" i="4"/>
  <c r="L72" i="4"/>
  <c r="K72" i="4"/>
  <c r="J72" i="4"/>
  <c r="H72" i="4"/>
  <c r="G72" i="4"/>
  <c r="F72" i="4"/>
  <c r="V71" i="4"/>
  <c r="U71" i="4"/>
  <c r="T71" i="4"/>
  <c r="Q71" i="4"/>
  <c r="P71" i="4"/>
  <c r="O71" i="4"/>
  <c r="L71" i="4"/>
  <c r="K71" i="4"/>
  <c r="J71" i="4"/>
  <c r="H71" i="4"/>
  <c r="G71" i="4"/>
  <c r="F71" i="4"/>
  <c r="V69" i="4"/>
  <c r="U69" i="4"/>
  <c r="T69" i="4"/>
  <c r="Q69" i="4"/>
  <c r="P69" i="4"/>
  <c r="O69" i="4"/>
  <c r="L69" i="4"/>
  <c r="K69" i="4"/>
  <c r="J69" i="4"/>
  <c r="H69" i="4"/>
  <c r="G69" i="4"/>
  <c r="F69" i="4"/>
  <c r="V68" i="4"/>
  <c r="U68" i="4"/>
  <c r="T68" i="4"/>
  <c r="Q68" i="4"/>
  <c r="P68" i="4"/>
  <c r="O68" i="4"/>
  <c r="L68" i="4"/>
  <c r="K68" i="4"/>
  <c r="J68" i="4"/>
  <c r="H68" i="4"/>
  <c r="G68" i="4"/>
  <c r="F68" i="4"/>
  <c r="V67" i="4"/>
  <c r="U67" i="4"/>
  <c r="T67" i="4"/>
  <c r="Q67" i="4"/>
  <c r="P67" i="4"/>
  <c r="O67" i="4"/>
  <c r="L67" i="4"/>
  <c r="K67" i="4"/>
  <c r="J67" i="4"/>
  <c r="H67" i="4"/>
  <c r="G67" i="4"/>
  <c r="F67" i="4"/>
  <c r="V66" i="4"/>
  <c r="U66" i="4"/>
  <c r="T66" i="4"/>
  <c r="Q66" i="4"/>
  <c r="P66" i="4"/>
  <c r="O66" i="4"/>
  <c r="L66" i="4"/>
  <c r="K66" i="4"/>
  <c r="J66" i="4"/>
  <c r="H66" i="4"/>
  <c r="G66" i="4"/>
  <c r="F66" i="4"/>
  <c r="V65" i="4"/>
  <c r="U65" i="4"/>
  <c r="T65" i="4"/>
  <c r="Q65" i="4"/>
  <c r="P65" i="4"/>
  <c r="O65" i="4"/>
  <c r="L65" i="4"/>
  <c r="K65" i="4"/>
  <c r="J65" i="4"/>
  <c r="H65" i="4"/>
  <c r="G65" i="4"/>
  <c r="F65" i="4"/>
  <c r="V64" i="4"/>
  <c r="U64" i="4"/>
  <c r="T64" i="4"/>
  <c r="Q64" i="4"/>
  <c r="P64" i="4"/>
  <c r="O64" i="4"/>
  <c r="L64" i="4"/>
  <c r="K64" i="4"/>
  <c r="J64" i="4"/>
  <c r="H64" i="4"/>
  <c r="G64" i="4"/>
  <c r="F64" i="4"/>
  <c r="V63" i="4"/>
  <c r="U63" i="4"/>
  <c r="T63" i="4"/>
  <c r="Q63" i="4"/>
  <c r="P63" i="4"/>
  <c r="O63" i="4"/>
  <c r="L63" i="4"/>
  <c r="K63" i="4"/>
  <c r="J63" i="4"/>
  <c r="H63" i="4"/>
  <c r="G63" i="4"/>
  <c r="F63" i="4"/>
  <c r="V59" i="4"/>
  <c r="U59" i="4"/>
  <c r="T59" i="4"/>
  <c r="Q59" i="4"/>
  <c r="P59" i="4"/>
  <c r="O59" i="4"/>
  <c r="L59" i="4"/>
  <c r="K59" i="4"/>
  <c r="J59" i="4"/>
  <c r="H59" i="4"/>
  <c r="G59" i="4"/>
  <c r="F59" i="4"/>
  <c r="V58" i="4"/>
  <c r="U58" i="4"/>
  <c r="T58" i="4"/>
  <c r="Q58" i="4"/>
  <c r="P58" i="4"/>
  <c r="O58" i="4"/>
  <c r="L58" i="4"/>
  <c r="K58" i="4"/>
  <c r="J58" i="4"/>
  <c r="H58" i="4"/>
  <c r="G58" i="4"/>
  <c r="F58" i="4"/>
  <c r="V57" i="4"/>
  <c r="U57" i="4"/>
  <c r="T57" i="4"/>
  <c r="Q57" i="4"/>
  <c r="P57" i="4"/>
  <c r="O57" i="4"/>
  <c r="L57" i="4"/>
  <c r="K57" i="4"/>
  <c r="J57" i="4"/>
  <c r="H57" i="4"/>
  <c r="G57" i="4"/>
  <c r="F57" i="4"/>
  <c r="V56" i="4"/>
  <c r="U56" i="4"/>
  <c r="T56" i="4"/>
  <c r="Q56" i="4"/>
  <c r="P56" i="4"/>
  <c r="O56" i="4"/>
  <c r="L56" i="4"/>
  <c r="K56" i="4"/>
  <c r="J56" i="4"/>
  <c r="H56" i="4"/>
  <c r="G56" i="4"/>
  <c r="F56" i="4"/>
  <c r="V55" i="4"/>
  <c r="U55" i="4"/>
  <c r="T55" i="4"/>
  <c r="Q55" i="4"/>
  <c r="P55" i="4"/>
  <c r="O55" i="4"/>
  <c r="L55" i="4"/>
  <c r="K55" i="4"/>
  <c r="J55" i="4"/>
  <c r="H55" i="4"/>
  <c r="G55" i="4"/>
  <c r="F55" i="4"/>
  <c r="V54" i="4"/>
  <c r="U54" i="4"/>
  <c r="T54" i="4"/>
  <c r="Q54" i="4"/>
  <c r="P54" i="4"/>
  <c r="O54" i="4"/>
  <c r="L54" i="4"/>
  <c r="K54" i="4"/>
  <c r="J54" i="4"/>
  <c r="H54" i="4"/>
  <c r="G54" i="4"/>
  <c r="F54" i="4"/>
  <c r="V52" i="4"/>
  <c r="U52" i="4"/>
  <c r="T52" i="4"/>
  <c r="Q52" i="4"/>
  <c r="P52" i="4"/>
  <c r="O52" i="4"/>
  <c r="L52" i="4"/>
  <c r="K52" i="4"/>
  <c r="J52" i="4"/>
  <c r="H52" i="4"/>
  <c r="G52" i="4"/>
  <c r="F52" i="4"/>
  <c r="V51" i="4"/>
  <c r="U51" i="4"/>
  <c r="T51" i="4"/>
  <c r="Q51" i="4"/>
  <c r="P51" i="4"/>
  <c r="O51" i="4"/>
  <c r="L51" i="4"/>
  <c r="K51" i="4"/>
  <c r="J51" i="4"/>
  <c r="H51" i="4"/>
  <c r="G51" i="4"/>
  <c r="F51" i="4"/>
  <c r="V50" i="4"/>
  <c r="U50" i="4"/>
  <c r="T50" i="4"/>
  <c r="Q50" i="4"/>
  <c r="P50" i="4"/>
  <c r="O50" i="4"/>
  <c r="L50" i="4"/>
  <c r="K50" i="4"/>
  <c r="J50" i="4"/>
  <c r="H50" i="4"/>
  <c r="G50" i="4"/>
  <c r="F50" i="4"/>
  <c r="V49" i="4"/>
  <c r="U49" i="4"/>
  <c r="Q49" i="4"/>
  <c r="P49" i="4"/>
  <c r="O49" i="4"/>
  <c r="L49" i="4"/>
  <c r="K49" i="4"/>
  <c r="J49" i="4"/>
  <c r="H49" i="4"/>
  <c r="G49" i="4"/>
  <c r="F49" i="4"/>
  <c r="V48" i="4"/>
  <c r="U48" i="4"/>
  <c r="T48" i="4"/>
  <c r="Q48" i="4"/>
  <c r="P48" i="4"/>
  <c r="O48" i="4"/>
  <c r="L48" i="4"/>
  <c r="K48" i="4"/>
  <c r="J48" i="4"/>
  <c r="H48" i="4"/>
  <c r="G48" i="4"/>
  <c r="F48" i="4"/>
  <c r="V47" i="4"/>
  <c r="U47" i="4"/>
  <c r="T47" i="4"/>
  <c r="Q47" i="4"/>
  <c r="P47" i="4"/>
  <c r="O47" i="4"/>
  <c r="L47" i="4"/>
  <c r="K47" i="4"/>
  <c r="J47" i="4"/>
  <c r="H47" i="4"/>
  <c r="G47" i="4"/>
  <c r="F47" i="4"/>
  <c r="V46" i="4"/>
  <c r="U46" i="4"/>
  <c r="T46" i="4"/>
  <c r="Q46" i="4"/>
  <c r="P46" i="4"/>
  <c r="O46" i="4"/>
  <c r="L46" i="4"/>
  <c r="K46" i="4"/>
  <c r="J46" i="4"/>
  <c r="H46" i="4"/>
  <c r="G46" i="4"/>
  <c r="F46" i="4"/>
  <c r="V44" i="4"/>
  <c r="U44" i="4"/>
  <c r="T44" i="4"/>
  <c r="Q44" i="4"/>
  <c r="P44" i="4"/>
  <c r="O44" i="4"/>
  <c r="L44" i="4"/>
  <c r="K44" i="4"/>
  <c r="J44" i="4"/>
  <c r="H44" i="4"/>
  <c r="G44" i="4"/>
  <c r="F44" i="4"/>
  <c r="V43" i="4"/>
  <c r="U43" i="4"/>
  <c r="T43" i="4"/>
  <c r="Q43" i="4"/>
  <c r="P43" i="4"/>
  <c r="O43" i="4"/>
  <c r="L43" i="4"/>
  <c r="K43" i="4"/>
  <c r="J43" i="4"/>
  <c r="H43" i="4"/>
  <c r="G43" i="4"/>
  <c r="F43" i="4"/>
  <c r="F41" i="4"/>
  <c r="V41" i="4"/>
  <c r="U41" i="4"/>
  <c r="T41" i="4"/>
  <c r="Q41" i="4"/>
  <c r="P41" i="4"/>
  <c r="O41" i="4"/>
  <c r="L41" i="4"/>
  <c r="K41" i="4"/>
  <c r="J41" i="4"/>
  <c r="H41" i="4"/>
  <c r="G41" i="4"/>
  <c r="V39" i="4"/>
  <c r="U39" i="4"/>
  <c r="T39" i="4"/>
  <c r="Q39" i="4"/>
  <c r="P39" i="4"/>
  <c r="O39" i="4"/>
  <c r="L39" i="4"/>
  <c r="K39" i="4"/>
  <c r="J39" i="4"/>
  <c r="H39" i="4"/>
  <c r="G39" i="4"/>
  <c r="F39" i="4"/>
  <c r="V38" i="4"/>
  <c r="U38" i="4"/>
  <c r="T38" i="4"/>
  <c r="Q38" i="4"/>
  <c r="P38" i="4"/>
  <c r="O38" i="4"/>
  <c r="L38" i="4"/>
  <c r="K38" i="4"/>
  <c r="J38" i="4"/>
  <c r="H38" i="4"/>
  <c r="G38" i="4"/>
  <c r="F38" i="4"/>
  <c r="V37" i="4"/>
  <c r="U37" i="4"/>
  <c r="T37" i="4"/>
  <c r="Q37" i="4"/>
  <c r="P37" i="4"/>
  <c r="O37" i="4"/>
  <c r="L37" i="4"/>
  <c r="K37" i="4"/>
  <c r="J37" i="4"/>
  <c r="H37" i="4"/>
  <c r="G37" i="4"/>
  <c r="F37" i="4"/>
  <c r="V36" i="4"/>
  <c r="U36" i="4"/>
  <c r="T36" i="4"/>
  <c r="Q36" i="4"/>
  <c r="P36" i="4"/>
  <c r="O36" i="4"/>
  <c r="L36" i="4"/>
  <c r="K36" i="4"/>
  <c r="J36" i="4"/>
  <c r="H36" i="4"/>
  <c r="G36" i="4"/>
  <c r="F36" i="4"/>
  <c r="F30" i="4"/>
  <c r="V31" i="4"/>
  <c r="U31" i="4"/>
  <c r="T31" i="4"/>
  <c r="Q31" i="4"/>
  <c r="P31" i="4"/>
  <c r="O31" i="4"/>
  <c r="L31" i="4"/>
  <c r="K31" i="4"/>
  <c r="J31" i="4"/>
  <c r="H31" i="4"/>
  <c r="G31" i="4"/>
  <c r="V32" i="4"/>
  <c r="U32" i="4"/>
  <c r="T32" i="4"/>
  <c r="Q32" i="4"/>
  <c r="P32" i="4"/>
  <c r="O32" i="4"/>
  <c r="L32" i="4"/>
  <c r="K32" i="4"/>
  <c r="J32" i="4"/>
  <c r="H32" i="4"/>
  <c r="G32" i="4"/>
  <c r="F32" i="4"/>
  <c r="G20" i="4"/>
  <c r="F15" i="4"/>
  <c r="D103" i="1"/>
  <c r="D100" i="1"/>
  <c r="D99" i="1"/>
  <c r="D86" i="1"/>
  <c r="D85" i="1"/>
  <c r="D84" i="1"/>
  <c r="D81" i="1"/>
  <c r="D80" i="1"/>
  <c r="D79" i="1"/>
  <c r="D78" i="1"/>
  <c r="D75" i="1"/>
  <c r="D74" i="1"/>
  <c r="D73" i="1"/>
  <c r="D72" i="1"/>
  <c r="D71" i="1"/>
  <c r="D69" i="1"/>
  <c r="D68" i="1"/>
  <c r="D67" i="1"/>
  <c r="D66" i="1"/>
  <c r="D55" i="1"/>
  <c r="D54" i="1"/>
  <c r="D52" i="1"/>
  <c r="D51" i="1"/>
  <c r="D44" i="1"/>
  <c r="D43" i="1"/>
  <c r="D41" i="1"/>
  <c r="D64" i="1"/>
  <c r="D63" i="1"/>
  <c r="D61" i="1"/>
  <c r="D60" i="1"/>
  <c r="D59" i="1"/>
  <c r="D58" i="1"/>
  <c r="D57" i="1"/>
  <c r="D56" i="1"/>
  <c r="D50" i="1"/>
  <c r="D49" i="1"/>
  <c r="D47" i="1"/>
  <c r="D48" i="1"/>
  <c r="D46" i="1"/>
  <c r="G45" i="1"/>
  <c r="D39" i="1"/>
  <c r="D34" i="1"/>
  <c r="D33" i="1"/>
  <c r="D25" i="1"/>
  <c r="D21" i="1"/>
  <c r="D17" i="1"/>
  <c r="D16" i="1"/>
  <c r="D15" i="1"/>
  <c r="D14" i="1"/>
  <c r="X112" i="1"/>
  <c r="S112" i="1"/>
  <c r="J112" i="1"/>
  <c r="B88" i="2" l="1"/>
  <c r="B90" i="4" s="1"/>
  <c r="C90" i="4" s="1"/>
  <c r="C90" i="2"/>
  <c r="B84" i="2"/>
  <c r="C11" i="2"/>
  <c r="J84" i="4"/>
  <c r="J85" i="4"/>
  <c r="J86" i="4"/>
  <c r="M101" i="2"/>
  <c r="W101" i="2"/>
  <c r="W98" i="1"/>
  <c r="V98" i="1"/>
  <c r="U98" i="1"/>
  <c r="P98" i="1"/>
  <c r="R98" i="1"/>
  <c r="Q98" i="1"/>
  <c r="M98" i="1"/>
  <c r="L98" i="1"/>
  <c r="K98" i="1"/>
  <c r="N98" i="1" s="1"/>
  <c r="I98" i="1"/>
  <c r="H98" i="1"/>
  <c r="G98" i="1"/>
  <c r="M103" i="1"/>
  <c r="L103" i="1"/>
  <c r="K103" i="1"/>
  <c r="I103" i="1"/>
  <c r="H103" i="4" s="1"/>
  <c r="H101" i="4" s="1"/>
  <c r="H97" i="4" s="1"/>
  <c r="H103" i="1"/>
  <c r="G103" i="1"/>
  <c r="M102" i="1"/>
  <c r="L102" i="1"/>
  <c r="K102" i="1"/>
  <c r="N102" i="1" s="1"/>
  <c r="I102" i="1"/>
  <c r="H102" i="1"/>
  <c r="G102" i="1"/>
  <c r="I100" i="4"/>
  <c r="I99" i="4"/>
  <c r="V90" i="4"/>
  <c r="U90" i="4"/>
  <c r="T90" i="4"/>
  <c r="Q90" i="4"/>
  <c r="P90" i="4"/>
  <c r="O90" i="4"/>
  <c r="L90" i="4"/>
  <c r="K90" i="4"/>
  <c r="J90" i="4"/>
  <c r="H90" i="4"/>
  <c r="G90" i="4"/>
  <c r="F103" i="4" l="1"/>
  <c r="J103" i="1"/>
  <c r="N103" i="1"/>
  <c r="X98" i="1"/>
  <c r="S98" i="1"/>
  <c r="J102" i="1"/>
  <c r="J98" i="1"/>
  <c r="I98" i="4"/>
  <c r="I102" i="4"/>
  <c r="I103" i="4"/>
  <c r="O99" i="1"/>
  <c r="O100" i="1"/>
  <c r="T99" i="1"/>
  <c r="T100" i="1"/>
  <c r="G101" i="1"/>
  <c r="H101" i="1"/>
  <c r="I101" i="1"/>
  <c r="K101" i="1"/>
  <c r="L101" i="1"/>
  <c r="M101" i="1"/>
  <c r="P101" i="1"/>
  <c r="Q101" i="1"/>
  <c r="R101" i="1"/>
  <c r="U101" i="1"/>
  <c r="V101" i="1"/>
  <c r="W101" i="1"/>
  <c r="G97" i="1"/>
  <c r="H97" i="1"/>
  <c r="I97" i="1"/>
  <c r="K97" i="1"/>
  <c r="L97" i="1"/>
  <c r="M97" i="1"/>
  <c r="P97" i="1"/>
  <c r="Q97" i="1"/>
  <c r="R97" i="1"/>
  <c r="V97" i="1"/>
  <c r="W97" i="1"/>
  <c r="K112" i="4"/>
  <c r="N112" i="1"/>
  <c r="O112" i="1" s="1"/>
  <c r="T112" i="1" s="1"/>
  <c r="F112" i="1" s="1"/>
  <c r="N101" i="2"/>
  <c r="S101" i="2" s="1"/>
  <c r="E101" i="2" s="1"/>
  <c r="B102" i="2"/>
  <c r="F90" i="4"/>
  <c r="T89" i="4"/>
  <c r="X26" i="1"/>
  <c r="S26" i="1"/>
  <c r="S97" i="1" l="1"/>
  <c r="S101" i="1"/>
  <c r="U97" i="1"/>
  <c r="X101" i="1"/>
  <c r="X97" i="1"/>
  <c r="N97" i="1"/>
  <c r="N101" i="1"/>
  <c r="J97" i="1"/>
  <c r="J101" i="1"/>
  <c r="F99" i="1"/>
  <c r="F100" i="1"/>
  <c r="O98" i="1"/>
  <c r="O103" i="1"/>
  <c r="O102" i="1"/>
  <c r="T103" i="1"/>
  <c r="N112" i="4"/>
  <c r="S112" i="4"/>
  <c r="X25" i="1"/>
  <c r="S25" i="1"/>
  <c r="R25" i="4" s="1"/>
  <c r="N25" i="1"/>
  <c r="C95" i="2"/>
  <c r="C76" i="2"/>
  <c r="C75" i="2"/>
  <c r="C72" i="2"/>
  <c r="C65" i="2"/>
  <c r="C64" i="2"/>
  <c r="C63" i="2"/>
  <c r="C62" i="2"/>
  <c r="C61" i="2"/>
  <c r="C59" i="2"/>
  <c r="C55" i="2"/>
  <c r="C54" i="2"/>
  <c r="C45" i="2"/>
  <c r="C43" i="2"/>
  <c r="C42" i="2"/>
  <c r="C40" i="2"/>
  <c r="C39" i="2"/>
  <c r="C30" i="2"/>
  <c r="C29" i="2"/>
  <c r="C28" i="2"/>
  <c r="C27" i="2"/>
  <c r="C26" i="2"/>
  <c r="V30" i="4"/>
  <c r="U30" i="4"/>
  <c r="T30" i="4"/>
  <c r="Q30" i="4"/>
  <c r="P30" i="4"/>
  <c r="O30" i="4"/>
  <c r="L30" i="4"/>
  <c r="K30" i="4"/>
  <c r="J30" i="4"/>
  <c r="H30" i="4"/>
  <c r="G30" i="4"/>
  <c r="V29" i="4"/>
  <c r="U29" i="4"/>
  <c r="T29" i="4"/>
  <c r="Q29" i="4"/>
  <c r="P29" i="4"/>
  <c r="O29" i="4"/>
  <c r="L29" i="4"/>
  <c r="K29" i="4"/>
  <c r="J29" i="4"/>
  <c r="H29" i="4"/>
  <c r="G29" i="4"/>
  <c r="F29" i="4"/>
  <c r="W26" i="4"/>
  <c r="V26" i="4"/>
  <c r="U26" i="4"/>
  <c r="T26" i="4"/>
  <c r="R26" i="4"/>
  <c r="Q26" i="4"/>
  <c r="P26" i="4"/>
  <c r="O26" i="4"/>
  <c r="M26" i="4"/>
  <c r="L26" i="4"/>
  <c r="K26" i="4"/>
  <c r="H26" i="4"/>
  <c r="G26" i="4"/>
  <c r="W25" i="4"/>
  <c r="V25" i="4"/>
  <c r="U25" i="4"/>
  <c r="T25" i="4"/>
  <c r="Q25" i="4"/>
  <c r="P25" i="4"/>
  <c r="O25" i="4"/>
  <c r="M25" i="4"/>
  <c r="L25" i="4"/>
  <c r="K25" i="4"/>
  <c r="J25" i="4"/>
  <c r="I25" i="4"/>
  <c r="H25" i="4"/>
  <c r="G25" i="4"/>
  <c r="F25" i="4"/>
  <c r="V24" i="4"/>
  <c r="U24" i="4"/>
  <c r="T24" i="4"/>
  <c r="Q24" i="4"/>
  <c r="P24" i="4"/>
  <c r="O24" i="4"/>
  <c r="L24" i="4"/>
  <c r="K24" i="4"/>
  <c r="J24" i="4"/>
  <c r="H24" i="4"/>
  <c r="G24" i="4"/>
  <c r="F24" i="4"/>
  <c r="V23" i="4"/>
  <c r="U23" i="4"/>
  <c r="T23" i="4"/>
  <c r="Q23" i="4"/>
  <c r="P23" i="4"/>
  <c r="O23" i="4"/>
  <c r="L23" i="4"/>
  <c r="K23" i="4"/>
  <c r="J23" i="4"/>
  <c r="H23" i="4"/>
  <c r="G23" i="4"/>
  <c r="F23" i="4"/>
  <c r="V22" i="4"/>
  <c r="U22" i="4"/>
  <c r="T22" i="4"/>
  <c r="Q22" i="4"/>
  <c r="P22" i="4"/>
  <c r="O22" i="4"/>
  <c r="L22" i="4"/>
  <c r="K22" i="4"/>
  <c r="J22" i="4"/>
  <c r="H22" i="4"/>
  <c r="G22" i="4"/>
  <c r="F22" i="4"/>
  <c r="V21" i="4"/>
  <c r="U21" i="4"/>
  <c r="T21" i="4"/>
  <c r="Q21" i="4"/>
  <c r="P21" i="4"/>
  <c r="O21" i="4"/>
  <c r="L21" i="4"/>
  <c r="K21" i="4"/>
  <c r="J21" i="4"/>
  <c r="H21" i="4"/>
  <c r="G21" i="4"/>
  <c r="F21" i="4"/>
  <c r="V20" i="4"/>
  <c r="U20" i="4"/>
  <c r="T20" i="4"/>
  <c r="Q20" i="4"/>
  <c r="P20" i="4"/>
  <c r="O20" i="4"/>
  <c r="L20" i="4"/>
  <c r="K20" i="4"/>
  <c r="J20" i="4"/>
  <c r="H20" i="4"/>
  <c r="F20" i="4"/>
  <c r="V19" i="4"/>
  <c r="U19" i="4"/>
  <c r="T19" i="4"/>
  <c r="Q19" i="4"/>
  <c r="P19" i="4"/>
  <c r="O19" i="4"/>
  <c r="L19" i="4"/>
  <c r="K19" i="4"/>
  <c r="J19" i="4"/>
  <c r="H19" i="4"/>
  <c r="G19" i="4"/>
  <c r="F19" i="4"/>
  <c r="V18" i="4"/>
  <c r="U18" i="4"/>
  <c r="T18" i="4"/>
  <c r="Q18" i="4"/>
  <c r="P18" i="4"/>
  <c r="O18" i="4"/>
  <c r="L18" i="4"/>
  <c r="K18" i="4"/>
  <c r="J18" i="4"/>
  <c r="H18" i="4"/>
  <c r="G18" i="4"/>
  <c r="F18" i="4"/>
  <c r="V17" i="4"/>
  <c r="U17" i="4"/>
  <c r="T17" i="4"/>
  <c r="Q17" i="4"/>
  <c r="P17" i="4"/>
  <c r="O17" i="4"/>
  <c r="L17" i="4"/>
  <c r="K17" i="4"/>
  <c r="J17" i="4"/>
  <c r="H17" i="4"/>
  <c r="G17" i="4"/>
  <c r="F17" i="4"/>
  <c r="V16" i="4"/>
  <c r="U16" i="4"/>
  <c r="T16" i="4"/>
  <c r="Q16" i="4"/>
  <c r="P16" i="4"/>
  <c r="O16" i="4"/>
  <c r="L16" i="4"/>
  <c r="K16" i="4"/>
  <c r="J16" i="4"/>
  <c r="H16" i="4"/>
  <c r="G16" i="4"/>
  <c r="F16" i="4"/>
  <c r="V15" i="4"/>
  <c r="U15" i="4"/>
  <c r="T15" i="4"/>
  <c r="Q15" i="4"/>
  <c r="P15" i="4"/>
  <c r="O15" i="4"/>
  <c r="L15" i="4"/>
  <c r="K15" i="4"/>
  <c r="J15" i="4"/>
  <c r="H15" i="4"/>
  <c r="G15" i="4"/>
  <c r="V14" i="4"/>
  <c r="U14" i="4"/>
  <c r="T14" i="4"/>
  <c r="Q14" i="4"/>
  <c r="P14" i="4"/>
  <c r="O14" i="4"/>
  <c r="L14" i="4"/>
  <c r="K14" i="4"/>
  <c r="J14" i="4"/>
  <c r="H14" i="4"/>
  <c r="G14" i="4"/>
  <c r="F14" i="4"/>
  <c r="W64" i="4"/>
  <c r="R64" i="4"/>
  <c r="M64" i="4"/>
  <c r="I64" i="4"/>
  <c r="V35" i="4"/>
  <c r="U35" i="4"/>
  <c r="T35" i="4"/>
  <c r="Q35" i="4"/>
  <c r="P35" i="4"/>
  <c r="O35" i="4"/>
  <c r="L35" i="4"/>
  <c r="K35" i="4"/>
  <c r="J35" i="4"/>
  <c r="H35" i="4"/>
  <c r="G35" i="4"/>
  <c r="F35" i="4"/>
  <c r="F103" i="1" l="1"/>
  <c r="T98" i="1"/>
  <c r="T102" i="1"/>
  <c r="F25" i="1"/>
  <c r="E25" i="4" s="1"/>
  <c r="O25" i="1"/>
  <c r="N25" i="4" s="1"/>
  <c r="I101" i="4"/>
  <c r="O101" i="1"/>
  <c r="N64" i="4"/>
  <c r="S64" i="4" s="1"/>
  <c r="M35" i="4"/>
  <c r="W35" i="4"/>
  <c r="I35" i="4"/>
  <c r="R35" i="4"/>
  <c r="D38" i="1"/>
  <c r="D37" i="1"/>
  <c r="D36" i="1"/>
  <c r="D32" i="1"/>
  <c r="D31" i="1"/>
  <c r="D30" i="1"/>
  <c r="D29" i="1"/>
  <c r="D26" i="1"/>
  <c r="D23" i="1"/>
  <c r="C53" i="1"/>
  <c r="C40" i="1" s="1"/>
  <c r="D42" i="1"/>
  <c r="C92" i="1"/>
  <c r="F102" i="1" l="1"/>
  <c r="F98" i="1"/>
  <c r="T25" i="1"/>
  <c r="S25" i="4" s="1"/>
  <c r="D65" i="1"/>
  <c r="D76" i="1"/>
  <c r="D89" i="1"/>
  <c r="D90" i="1"/>
  <c r="D98" i="1"/>
  <c r="D102" i="1"/>
  <c r="T101" i="1"/>
  <c r="N35" i="4"/>
  <c r="S35" i="4" s="1"/>
  <c r="F101" i="1" l="1"/>
  <c r="D101" i="1"/>
  <c r="D97" i="1" l="1"/>
  <c r="C88" i="2" l="1"/>
  <c r="C84" i="2"/>
  <c r="T89" i="2"/>
  <c r="C102" i="2" l="1"/>
  <c r="D24" i="1"/>
  <c r="C25" i="2" l="1"/>
  <c r="M75" i="4" l="1"/>
  <c r="I97" i="4"/>
  <c r="W36" i="4"/>
  <c r="W37" i="4"/>
  <c r="W38" i="4"/>
  <c r="W39" i="4"/>
  <c r="W41" i="4"/>
  <c r="W75" i="4"/>
  <c r="R36" i="4"/>
  <c r="R37" i="4"/>
  <c r="R38" i="4"/>
  <c r="R39" i="4"/>
  <c r="R41" i="4"/>
  <c r="R75" i="4"/>
  <c r="O107" i="1"/>
  <c r="M36" i="4"/>
  <c r="M37" i="4"/>
  <c r="M38" i="4"/>
  <c r="M39" i="4"/>
  <c r="M41" i="4"/>
  <c r="I39" i="4"/>
  <c r="D53" i="1"/>
  <c r="M26" i="2"/>
  <c r="O67" i="1" l="1"/>
  <c r="T67" i="1" s="1"/>
  <c r="F67" i="1" s="1"/>
  <c r="O71" i="1"/>
  <c r="T71" i="1" s="1"/>
  <c r="F71" i="1" s="1"/>
  <c r="O66" i="1"/>
  <c r="T66" i="1" s="1"/>
  <c r="F66" i="1" s="1"/>
  <c r="O84" i="1"/>
  <c r="T84" i="1" s="1"/>
  <c r="F84" i="1" s="1"/>
  <c r="O106" i="1"/>
  <c r="T106" i="1" s="1"/>
  <c r="F106" i="1" s="1"/>
  <c r="O74" i="1"/>
  <c r="T74" i="1" s="1"/>
  <c r="F74" i="1" s="1"/>
  <c r="O69" i="1"/>
  <c r="T69" i="1" s="1"/>
  <c r="F69" i="1" s="1"/>
  <c r="O65" i="1"/>
  <c r="T65" i="1" s="1"/>
  <c r="F65" i="1" s="1"/>
  <c r="O89" i="1"/>
  <c r="T89" i="1" s="1"/>
  <c r="F89" i="1" s="1"/>
  <c r="O76" i="1"/>
  <c r="T76" i="1" s="1"/>
  <c r="F76" i="1" s="1"/>
  <c r="O105" i="1"/>
  <c r="T105" i="1" s="1"/>
  <c r="F105" i="1" s="1"/>
  <c r="O97" i="1"/>
  <c r="T97" i="1" s="1"/>
  <c r="O72" i="1"/>
  <c r="T72" i="1" s="1"/>
  <c r="F72" i="1" s="1"/>
  <c r="O90" i="1"/>
  <c r="T90" i="1" s="1"/>
  <c r="F90" i="1" s="1"/>
  <c r="O56" i="1"/>
  <c r="T56" i="1" s="1"/>
  <c r="F56" i="1" s="1"/>
  <c r="O96" i="1"/>
  <c r="T96" i="1" s="1"/>
  <c r="F96" i="1" s="1"/>
  <c r="O73" i="1"/>
  <c r="T73" i="1" s="1"/>
  <c r="F73" i="1" s="1"/>
  <c r="O68" i="1"/>
  <c r="T68" i="1" s="1"/>
  <c r="F68" i="1" s="1"/>
  <c r="O64" i="1"/>
  <c r="T64" i="1" s="1"/>
  <c r="F64" i="1" s="1"/>
  <c r="O50" i="1"/>
  <c r="T50" i="1" s="1"/>
  <c r="F50" i="1" s="1"/>
  <c r="O32" i="1"/>
  <c r="T32" i="1" s="1"/>
  <c r="F32" i="1" s="1"/>
  <c r="O78" i="1"/>
  <c r="T78" i="1" s="1"/>
  <c r="F78" i="1" s="1"/>
  <c r="O57" i="1"/>
  <c r="T57" i="1" s="1"/>
  <c r="F57" i="1" s="1"/>
  <c r="O52" i="1"/>
  <c r="T52" i="1" s="1"/>
  <c r="F52" i="1" s="1"/>
  <c r="O43" i="1"/>
  <c r="T43" i="1" s="1"/>
  <c r="F43" i="1" s="1"/>
  <c r="T107" i="1"/>
  <c r="F107" i="1" s="1"/>
  <c r="O44" i="1"/>
  <c r="T44" i="1" s="1"/>
  <c r="F44" i="1" s="1"/>
  <c r="O31" i="1"/>
  <c r="T31" i="1" s="1"/>
  <c r="F31" i="1" s="1"/>
  <c r="O38" i="1"/>
  <c r="I38" i="4"/>
  <c r="O37" i="1"/>
  <c r="I37" i="4"/>
  <c r="O36" i="1"/>
  <c r="I36" i="4"/>
  <c r="O75" i="1"/>
  <c r="I75" i="4"/>
  <c r="O86" i="1"/>
  <c r="T86" i="1" s="1"/>
  <c r="F86" i="1" s="1"/>
  <c r="O85" i="1"/>
  <c r="T85" i="1" s="1"/>
  <c r="F85" i="1" s="1"/>
  <c r="O81" i="1"/>
  <c r="T81" i="1" s="1"/>
  <c r="F81" i="1" s="1"/>
  <c r="O79" i="1"/>
  <c r="T79" i="1" s="1"/>
  <c r="F79" i="1" s="1"/>
  <c r="O91" i="1"/>
  <c r="T91" i="1" s="1"/>
  <c r="F91" i="1" s="1"/>
  <c r="O80" i="1"/>
  <c r="T80" i="1" s="1"/>
  <c r="F80" i="1" s="1"/>
  <c r="O55" i="1"/>
  <c r="T55" i="1" s="1"/>
  <c r="F55" i="1" s="1"/>
  <c r="O59" i="1"/>
  <c r="T59" i="1" s="1"/>
  <c r="F59" i="1" s="1"/>
  <c r="O61" i="1"/>
  <c r="T61" i="1" s="1"/>
  <c r="F61" i="1" s="1"/>
  <c r="O60" i="1"/>
  <c r="T60" i="1" s="1"/>
  <c r="F60" i="1" s="1"/>
  <c r="O58" i="1"/>
  <c r="T58" i="1" s="1"/>
  <c r="F58" i="1" s="1"/>
  <c r="O54" i="1"/>
  <c r="T54" i="1" s="1"/>
  <c r="F54" i="1" s="1"/>
  <c r="O49" i="1"/>
  <c r="T49" i="1" s="1"/>
  <c r="F49" i="1" s="1"/>
  <c r="O48" i="1"/>
  <c r="T48" i="1" s="1"/>
  <c r="F48" i="1" s="1"/>
  <c r="O47" i="1"/>
  <c r="T47" i="1" s="1"/>
  <c r="F47" i="1" s="1"/>
  <c r="O46" i="1"/>
  <c r="T46" i="1" s="1"/>
  <c r="F46" i="1" s="1"/>
  <c r="O39" i="1"/>
  <c r="O29" i="1"/>
  <c r="O51" i="1"/>
  <c r="T51" i="1" s="1"/>
  <c r="F51" i="1" s="1"/>
  <c r="O30" i="1"/>
  <c r="M30" i="4"/>
  <c r="O63" i="1"/>
  <c r="T63" i="1" s="1"/>
  <c r="F63" i="1" s="1"/>
  <c r="F97" i="1" l="1"/>
  <c r="T39" i="1"/>
  <c r="N39" i="4"/>
  <c r="T75" i="1"/>
  <c r="N75" i="4"/>
  <c r="T36" i="1"/>
  <c r="N36" i="4"/>
  <c r="T37" i="1"/>
  <c r="N37" i="4"/>
  <c r="T38" i="1"/>
  <c r="N38" i="4"/>
  <c r="T30" i="1"/>
  <c r="F30" i="1" s="1"/>
  <c r="T29" i="1"/>
  <c r="F29" i="1" s="1"/>
  <c r="B79" i="2"/>
  <c r="B73" i="2"/>
  <c r="B66" i="2"/>
  <c r="B49" i="2"/>
  <c r="B41" i="2"/>
  <c r="B31" i="2"/>
  <c r="B11" i="2"/>
  <c r="C10" i="2"/>
  <c r="C31" i="2" l="1"/>
  <c r="S37" i="4"/>
  <c r="F37" i="1"/>
  <c r="S75" i="4"/>
  <c r="F75" i="1"/>
  <c r="E75" i="4" s="1"/>
  <c r="S38" i="4"/>
  <c r="F38" i="1"/>
  <c r="S36" i="4"/>
  <c r="F36" i="1"/>
  <c r="A36" i="1" s="1"/>
  <c r="S39" i="4"/>
  <c r="F39" i="1"/>
  <c r="C38" i="2"/>
  <c r="B83" i="2"/>
  <c r="B10" i="2"/>
  <c r="B36" i="2"/>
  <c r="Q13" i="1"/>
  <c r="Q12" i="1" s="1"/>
  <c r="R13" i="1"/>
  <c r="R12" i="1" s="1"/>
  <c r="U13" i="1"/>
  <c r="U12" i="1" s="1"/>
  <c r="V13" i="1"/>
  <c r="V12" i="1" s="1"/>
  <c r="W13" i="1"/>
  <c r="W12" i="1" s="1"/>
  <c r="W103" i="2"/>
  <c r="R103" i="2"/>
  <c r="M103" i="2"/>
  <c r="I103" i="2"/>
  <c r="W100" i="2"/>
  <c r="R100" i="2"/>
  <c r="M100" i="2"/>
  <c r="I100" i="2"/>
  <c r="W98" i="2"/>
  <c r="R98" i="2"/>
  <c r="R109" i="4" s="1"/>
  <c r="M98" i="2"/>
  <c r="M109" i="4" s="1"/>
  <c r="I98" i="2"/>
  <c r="W97" i="2"/>
  <c r="R97" i="2"/>
  <c r="R107" i="4" s="1"/>
  <c r="M97" i="2"/>
  <c r="M107" i="4" s="1"/>
  <c r="I97" i="2"/>
  <c r="W96" i="2"/>
  <c r="R96" i="2"/>
  <c r="R106" i="4" s="1"/>
  <c r="M96" i="2"/>
  <c r="M106" i="4" s="1"/>
  <c r="I96" i="2"/>
  <c r="W95" i="2"/>
  <c r="R95" i="2"/>
  <c r="R105" i="4" s="1"/>
  <c r="M95" i="2"/>
  <c r="M105" i="4" s="1"/>
  <c r="I95" i="2"/>
  <c r="V94" i="2"/>
  <c r="U94" i="2"/>
  <c r="T94" i="2"/>
  <c r="Q94" i="2"/>
  <c r="P94" i="2"/>
  <c r="O94" i="2"/>
  <c r="L94" i="2"/>
  <c r="K94" i="2"/>
  <c r="J94" i="2"/>
  <c r="F94" i="2"/>
  <c r="V91" i="2"/>
  <c r="U91" i="2"/>
  <c r="T91" i="2"/>
  <c r="Q91" i="2"/>
  <c r="P91" i="2"/>
  <c r="O91" i="2"/>
  <c r="L91" i="2"/>
  <c r="K91" i="2"/>
  <c r="J91" i="2"/>
  <c r="F91" i="2"/>
  <c r="V89" i="2"/>
  <c r="U89" i="2"/>
  <c r="Q89" i="2"/>
  <c r="Q88" i="2" s="1"/>
  <c r="P89" i="2"/>
  <c r="O89" i="2"/>
  <c r="L89" i="2"/>
  <c r="L88" i="2" s="1"/>
  <c r="K89" i="2"/>
  <c r="K88" i="2" s="1"/>
  <c r="J89" i="2"/>
  <c r="F89" i="2"/>
  <c r="T88" i="2"/>
  <c r="W87" i="2"/>
  <c r="R87" i="2"/>
  <c r="R91" i="4" s="1"/>
  <c r="M87" i="2"/>
  <c r="M91" i="4" s="1"/>
  <c r="I87" i="2"/>
  <c r="W86" i="2"/>
  <c r="R86" i="2"/>
  <c r="R90" i="4" s="1"/>
  <c r="M86" i="2"/>
  <c r="M90" i="4" s="1"/>
  <c r="I86" i="2"/>
  <c r="W85" i="2"/>
  <c r="R85" i="2"/>
  <c r="R89" i="4" s="1"/>
  <c r="M85" i="2"/>
  <c r="M89" i="4" s="1"/>
  <c r="I85" i="2"/>
  <c r="V84" i="2"/>
  <c r="U84" i="2"/>
  <c r="T84" i="2"/>
  <c r="Q84" i="2"/>
  <c r="P84" i="2"/>
  <c r="O84" i="2"/>
  <c r="L84" i="2"/>
  <c r="K84" i="2"/>
  <c r="J84" i="2"/>
  <c r="F84" i="2"/>
  <c r="F102" i="2" s="1"/>
  <c r="W82" i="2"/>
  <c r="R82" i="2"/>
  <c r="R86" i="4" s="1"/>
  <c r="M82" i="2"/>
  <c r="M86" i="4" s="1"/>
  <c r="I82" i="2"/>
  <c r="W81" i="2"/>
  <c r="R81" i="2"/>
  <c r="R85" i="4" s="1"/>
  <c r="M81" i="2"/>
  <c r="M85" i="4" s="1"/>
  <c r="I81" i="2"/>
  <c r="W80" i="2"/>
  <c r="R80" i="2"/>
  <c r="R84" i="4" s="1"/>
  <c r="M80" i="2"/>
  <c r="M84" i="4" s="1"/>
  <c r="I80" i="2"/>
  <c r="V79" i="2"/>
  <c r="V82" i="4" s="1"/>
  <c r="U79" i="2"/>
  <c r="U82" i="4" s="1"/>
  <c r="T79" i="2"/>
  <c r="Q79" i="2"/>
  <c r="Q82" i="4" s="1"/>
  <c r="P79" i="2"/>
  <c r="P82" i="4" s="1"/>
  <c r="O79" i="2"/>
  <c r="O82" i="4" s="1"/>
  <c r="L79" i="2"/>
  <c r="L82" i="4" s="1"/>
  <c r="K79" i="2"/>
  <c r="K82" i="4" s="1"/>
  <c r="J79" i="2"/>
  <c r="J82" i="4" s="1"/>
  <c r="W77" i="2"/>
  <c r="R77" i="2"/>
  <c r="R81" i="4" s="1"/>
  <c r="I77" i="2"/>
  <c r="W76" i="2"/>
  <c r="R76" i="2"/>
  <c r="R80" i="4" s="1"/>
  <c r="I76" i="2"/>
  <c r="W75" i="2"/>
  <c r="R75" i="2"/>
  <c r="R79" i="4" s="1"/>
  <c r="I75" i="2"/>
  <c r="W74" i="2"/>
  <c r="R74" i="2"/>
  <c r="R78" i="4" s="1"/>
  <c r="I74" i="2"/>
  <c r="V73" i="2"/>
  <c r="U73" i="2"/>
  <c r="U58" i="2" s="1"/>
  <c r="Q73" i="2"/>
  <c r="P73" i="2"/>
  <c r="O73" i="2"/>
  <c r="W72" i="2"/>
  <c r="R72" i="2"/>
  <c r="R76" i="4" s="1"/>
  <c r="M72" i="2"/>
  <c r="M76" i="4" s="1"/>
  <c r="I72" i="2"/>
  <c r="W70" i="2"/>
  <c r="R70" i="2"/>
  <c r="R74" i="4" s="1"/>
  <c r="M70" i="2"/>
  <c r="M74" i="4" s="1"/>
  <c r="I70" i="2"/>
  <c r="W69" i="2"/>
  <c r="R69" i="2"/>
  <c r="R73" i="4" s="1"/>
  <c r="M69" i="2"/>
  <c r="M73" i="4" s="1"/>
  <c r="I69" i="2"/>
  <c r="W68" i="2"/>
  <c r="R68" i="2"/>
  <c r="R72" i="4" s="1"/>
  <c r="M68" i="2"/>
  <c r="M72" i="4" s="1"/>
  <c r="I68" i="2"/>
  <c r="W67" i="2"/>
  <c r="R67" i="2"/>
  <c r="R71" i="4" s="1"/>
  <c r="M67" i="2"/>
  <c r="M71" i="4" s="1"/>
  <c r="I67" i="2"/>
  <c r="W66" i="2"/>
  <c r="Q66" i="2"/>
  <c r="P66" i="2"/>
  <c r="O66" i="2"/>
  <c r="L66" i="2"/>
  <c r="K66" i="2"/>
  <c r="J66" i="2"/>
  <c r="F66" i="2"/>
  <c r="F58" i="2" s="1"/>
  <c r="W65" i="2"/>
  <c r="R65" i="2"/>
  <c r="R69" i="4" s="1"/>
  <c r="M65" i="2"/>
  <c r="M69" i="4" s="1"/>
  <c r="I65" i="2"/>
  <c r="W64" i="2"/>
  <c r="R64" i="2"/>
  <c r="R68" i="4" s="1"/>
  <c r="M64" i="2"/>
  <c r="M68" i="4" s="1"/>
  <c r="I64" i="2"/>
  <c r="W63" i="2"/>
  <c r="R63" i="2"/>
  <c r="R67" i="4" s="1"/>
  <c r="M63" i="2"/>
  <c r="M67" i="4" s="1"/>
  <c r="I63" i="2"/>
  <c r="W62" i="2"/>
  <c r="R62" i="2"/>
  <c r="R66" i="4" s="1"/>
  <c r="M62" i="2"/>
  <c r="M66" i="4" s="1"/>
  <c r="I62" i="2"/>
  <c r="W61" i="2"/>
  <c r="R61" i="2"/>
  <c r="R65" i="4" s="1"/>
  <c r="M61" i="2"/>
  <c r="M65" i="4" s="1"/>
  <c r="I61" i="2"/>
  <c r="W60" i="2"/>
  <c r="R60" i="2"/>
  <c r="M60" i="2"/>
  <c r="I60" i="2"/>
  <c r="W59" i="2"/>
  <c r="R59" i="2"/>
  <c r="R63" i="4" s="1"/>
  <c r="M59" i="2"/>
  <c r="M63" i="4" s="1"/>
  <c r="I59" i="2"/>
  <c r="W57" i="2"/>
  <c r="R57" i="2"/>
  <c r="M57" i="2"/>
  <c r="I57" i="2"/>
  <c r="W56" i="2"/>
  <c r="R56" i="2"/>
  <c r="M56" i="2"/>
  <c r="I56" i="2"/>
  <c r="W55" i="2"/>
  <c r="R55" i="2"/>
  <c r="R59" i="4" s="1"/>
  <c r="M55" i="2"/>
  <c r="M59" i="4" s="1"/>
  <c r="I55" i="2"/>
  <c r="I59" i="4" s="1"/>
  <c r="W54" i="2"/>
  <c r="R54" i="2"/>
  <c r="R58" i="4" s="1"/>
  <c r="M54" i="2"/>
  <c r="M58" i="4" s="1"/>
  <c r="I54" i="2"/>
  <c r="I58" i="4" s="1"/>
  <c r="W53" i="2"/>
  <c r="R53" i="2"/>
  <c r="R57" i="4" s="1"/>
  <c r="M53" i="2"/>
  <c r="M57" i="4" s="1"/>
  <c r="I53" i="2"/>
  <c r="W52" i="2"/>
  <c r="R52" i="2"/>
  <c r="R56" i="4" s="1"/>
  <c r="M52" i="2"/>
  <c r="M56" i="4" s="1"/>
  <c r="I52" i="2"/>
  <c r="W51" i="2"/>
  <c r="R51" i="2"/>
  <c r="R55" i="4" s="1"/>
  <c r="M51" i="2"/>
  <c r="M55" i="4" s="1"/>
  <c r="I51" i="2"/>
  <c r="W50" i="2"/>
  <c r="R50" i="2"/>
  <c r="R54" i="4" s="1"/>
  <c r="M50" i="2"/>
  <c r="M54" i="4" s="1"/>
  <c r="I50" i="2"/>
  <c r="V49" i="2"/>
  <c r="U49" i="2"/>
  <c r="T49" i="2"/>
  <c r="Q49" i="2"/>
  <c r="P49" i="2"/>
  <c r="O49" i="2"/>
  <c r="L49" i="2"/>
  <c r="K49" i="2"/>
  <c r="J49" i="2"/>
  <c r="W48" i="2"/>
  <c r="R48" i="2"/>
  <c r="R52" i="4" s="1"/>
  <c r="M48" i="2"/>
  <c r="M52" i="4" s="1"/>
  <c r="I48" i="2"/>
  <c r="W47" i="2"/>
  <c r="R47" i="2"/>
  <c r="R51" i="4" s="1"/>
  <c r="M47" i="2"/>
  <c r="M51" i="4" s="1"/>
  <c r="I47" i="2"/>
  <c r="W46" i="2"/>
  <c r="R46" i="2"/>
  <c r="R50" i="4" s="1"/>
  <c r="M46" i="2"/>
  <c r="M50" i="4" s="1"/>
  <c r="I46" i="2"/>
  <c r="T49" i="4"/>
  <c r="R45" i="2"/>
  <c r="R49" i="4" s="1"/>
  <c r="M45" i="2"/>
  <c r="M49" i="4" s="1"/>
  <c r="I45" i="2"/>
  <c r="W44" i="2"/>
  <c r="R44" i="2"/>
  <c r="R48" i="4" s="1"/>
  <c r="M44" i="2"/>
  <c r="M48" i="4" s="1"/>
  <c r="I44" i="2"/>
  <c r="W43" i="2"/>
  <c r="R43" i="2"/>
  <c r="R47" i="4" s="1"/>
  <c r="M43" i="2"/>
  <c r="M47" i="4" s="1"/>
  <c r="I43" i="2"/>
  <c r="W42" i="2"/>
  <c r="R42" i="2"/>
  <c r="R46" i="4" s="1"/>
  <c r="M42" i="2"/>
  <c r="M46" i="4" s="1"/>
  <c r="I42" i="2"/>
  <c r="Q41" i="2"/>
  <c r="P41" i="2"/>
  <c r="O41" i="2"/>
  <c r="L41" i="2"/>
  <c r="K41" i="2"/>
  <c r="W40" i="2"/>
  <c r="R40" i="2"/>
  <c r="R44" i="4" s="1"/>
  <c r="M40" i="2"/>
  <c r="M44" i="4" s="1"/>
  <c r="I40" i="2"/>
  <c r="W39" i="2"/>
  <c r="R39" i="2"/>
  <c r="R43" i="4" s="1"/>
  <c r="M39" i="2"/>
  <c r="M43" i="4" s="1"/>
  <c r="I39" i="2"/>
  <c r="V38" i="2"/>
  <c r="U38" i="2"/>
  <c r="T38" i="2"/>
  <c r="T36" i="2" s="1"/>
  <c r="Q38" i="2"/>
  <c r="Q36" i="2" s="1"/>
  <c r="P38" i="2"/>
  <c r="O38" i="2"/>
  <c r="L38" i="2"/>
  <c r="K38" i="2"/>
  <c r="K42" i="4" s="1"/>
  <c r="J38" i="2"/>
  <c r="L36" i="2"/>
  <c r="V31" i="2"/>
  <c r="U31" i="2"/>
  <c r="T31" i="2"/>
  <c r="Q31" i="2"/>
  <c r="P31" i="2"/>
  <c r="O31" i="2"/>
  <c r="L31" i="2"/>
  <c r="K31" i="2"/>
  <c r="J31" i="2"/>
  <c r="F31" i="2"/>
  <c r="W30" i="2"/>
  <c r="R30" i="2"/>
  <c r="M30" i="2"/>
  <c r="I30" i="2"/>
  <c r="W29" i="2"/>
  <c r="R29" i="2"/>
  <c r="M29" i="2"/>
  <c r="I29" i="2"/>
  <c r="W28" i="2"/>
  <c r="R28" i="2"/>
  <c r="R32" i="4" s="1"/>
  <c r="M28" i="2"/>
  <c r="M32" i="4" s="1"/>
  <c r="I28" i="2"/>
  <c r="W27" i="2"/>
  <c r="R27" i="2"/>
  <c r="R31" i="4" s="1"/>
  <c r="M27" i="2"/>
  <c r="M31" i="4" s="1"/>
  <c r="I27" i="2"/>
  <c r="W26" i="2"/>
  <c r="R26" i="2"/>
  <c r="R30" i="4" s="1"/>
  <c r="I26" i="2"/>
  <c r="W25" i="2"/>
  <c r="W29" i="4" s="1"/>
  <c r="R25" i="2"/>
  <c r="R29" i="4" s="1"/>
  <c r="M25" i="2"/>
  <c r="M29" i="4" s="1"/>
  <c r="I25" i="2"/>
  <c r="W18" i="2"/>
  <c r="W20" i="4" s="1"/>
  <c r="R18" i="2"/>
  <c r="R20" i="4" s="1"/>
  <c r="M18" i="2"/>
  <c r="M20" i="4" s="1"/>
  <c r="I18" i="2"/>
  <c r="I20" i="4" s="1"/>
  <c r="W17" i="2"/>
  <c r="W19" i="4" s="1"/>
  <c r="R17" i="2"/>
  <c r="R19" i="4" s="1"/>
  <c r="M17" i="2"/>
  <c r="M19" i="4" s="1"/>
  <c r="I17" i="2"/>
  <c r="I19" i="4" s="1"/>
  <c r="W16" i="2"/>
  <c r="W18" i="4" s="1"/>
  <c r="R16" i="2"/>
  <c r="R18" i="4" s="1"/>
  <c r="M16" i="2"/>
  <c r="M18" i="4" s="1"/>
  <c r="I16" i="2"/>
  <c r="I18" i="4" s="1"/>
  <c r="V10" i="2"/>
  <c r="U10" i="2"/>
  <c r="Q11" i="2"/>
  <c r="Q10" i="2" s="1"/>
  <c r="P11" i="2"/>
  <c r="P10" i="2" s="1"/>
  <c r="O11" i="2"/>
  <c r="L11" i="2"/>
  <c r="L10" i="2" s="1"/>
  <c r="K11" i="2"/>
  <c r="K10" i="2" s="1"/>
  <c r="H10" i="2"/>
  <c r="G10" i="2"/>
  <c r="K36" i="2" l="1"/>
  <c r="T58" i="2"/>
  <c r="T82" i="4"/>
  <c r="U88" i="2"/>
  <c r="U83" i="2" s="1"/>
  <c r="W47" i="4"/>
  <c r="W48" i="4"/>
  <c r="W52" i="4"/>
  <c r="W105" i="4"/>
  <c r="W109" i="4"/>
  <c r="W30" i="4"/>
  <c r="W32" i="4"/>
  <c r="W54" i="4"/>
  <c r="W57" i="4"/>
  <c r="W63" i="4"/>
  <c r="W65" i="4"/>
  <c r="W67" i="4"/>
  <c r="W72" i="4"/>
  <c r="W76" i="4"/>
  <c r="J36" i="2"/>
  <c r="M36" i="2" s="1"/>
  <c r="V36" i="2"/>
  <c r="W43" i="4"/>
  <c r="W44" i="4"/>
  <c r="W80" i="4"/>
  <c r="W84" i="4"/>
  <c r="W85" i="4"/>
  <c r="W86" i="4"/>
  <c r="W46" i="4"/>
  <c r="W50" i="4"/>
  <c r="W51" i="4"/>
  <c r="W106" i="4"/>
  <c r="W107" i="4"/>
  <c r="W31" i="4"/>
  <c r="W31" i="2"/>
  <c r="W55" i="4"/>
  <c r="W56" i="4"/>
  <c r="W58" i="4"/>
  <c r="W59" i="4"/>
  <c r="W66" i="4"/>
  <c r="W68" i="4"/>
  <c r="W69" i="4"/>
  <c r="W71" i="4"/>
  <c r="W73" i="4"/>
  <c r="W74" i="4"/>
  <c r="W78" i="4"/>
  <c r="W89" i="4"/>
  <c r="W90" i="4"/>
  <c r="W91" i="4"/>
  <c r="R31" i="2"/>
  <c r="U36" i="2"/>
  <c r="N57" i="2"/>
  <c r="V58" i="2"/>
  <c r="W81" i="4"/>
  <c r="O88" i="2"/>
  <c r="W79" i="4"/>
  <c r="N60" i="2"/>
  <c r="S60" i="2" s="1"/>
  <c r="E60" i="2" s="1"/>
  <c r="V88" i="2"/>
  <c r="V83" i="2" s="1"/>
  <c r="T83" i="2"/>
  <c r="T24" i="2" s="1"/>
  <c r="P88" i="2"/>
  <c r="L83" i="2"/>
  <c r="J88" i="2"/>
  <c r="J83" i="2" s="1"/>
  <c r="W89" i="2"/>
  <c r="X13" i="1"/>
  <c r="X12" i="1"/>
  <c r="S12" i="1"/>
  <c r="S13" i="1"/>
  <c r="N27" i="2"/>
  <c r="I31" i="4"/>
  <c r="N28" i="2"/>
  <c r="I32" i="4"/>
  <c r="N29" i="2"/>
  <c r="N30" i="2"/>
  <c r="N42" i="2"/>
  <c r="I46" i="4"/>
  <c r="N43" i="2"/>
  <c r="I47" i="4"/>
  <c r="N45" i="2"/>
  <c r="I49" i="4"/>
  <c r="N47" i="2"/>
  <c r="I51" i="4"/>
  <c r="N59" i="2"/>
  <c r="N63" i="4" s="1"/>
  <c r="I63" i="4"/>
  <c r="N62" i="2"/>
  <c r="I66" i="4"/>
  <c r="N63" i="2"/>
  <c r="I67" i="4"/>
  <c r="N64" i="2"/>
  <c r="I68" i="4"/>
  <c r="N65" i="2"/>
  <c r="I69" i="4"/>
  <c r="N72" i="2"/>
  <c r="I76" i="4"/>
  <c r="T102" i="2"/>
  <c r="U102" i="2"/>
  <c r="V102" i="2"/>
  <c r="N85" i="2"/>
  <c r="N89" i="4" s="1"/>
  <c r="I89" i="4"/>
  <c r="N86" i="2"/>
  <c r="N90" i="4" s="1"/>
  <c r="I90" i="4"/>
  <c r="N95" i="2"/>
  <c r="I105" i="4"/>
  <c r="N100" i="2"/>
  <c r="Q58" i="2"/>
  <c r="O58" i="2"/>
  <c r="K77" i="2"/>
  <c r="L77" i="2"/>
  <c r="M79" i="2"/>
  <c r="M82" i="4" s="1"/>
  <c r="J77" i="2"/>
  <c r="N82" i="2"/>
  <c r="I86" i="4"/>
  <c r="N81" i="2"/>
  <c r="I85" i="4"/>
  <c r="I79" i="2"/>
  <c r="I82" i="4" s="1"/>
  <c r="N80" i="2"/>
  <c r="I84" i="4"/>
  <c r="I81" i="4"/>
  <c r="I80" i="4"/>
  <c r="I79" i="4"/>
  <c r="I73" i="2"/>
  <c r="I78" i="4"/>
  <c r="Q83" i="2"/>
  <c r="Q102" i="2"/>
  <c r="P102" i="2"/>
  <c r="O83" i="2"/>
  <c r="K83" i="2"/>
  <c r="N87" i="2"/>
  <c r="N91" i="4" s="1"/>
  <c r="I91" i="4"/>
  <c r="F88" i="2"/>
  <c r="I88" i="2" s="1"/>
  <c r="W94" i="2"/>
  <c r="R94" i="2"/>
  <c r="M94" i="2"/>
  <c r="N97" i="2"/>
  <c r="I107" i="4"/>
  <c r="N98" i="2"/>
  <c r="I109" i="4"/>
  <c r="I94" i="2"/>
  <c r="N96" i="2"/>
  <c r="I106" i="4"/>
  <c r="P58" i="2"/>
  <c r="R66" i="2"/>
  <c r="M66" i="2"/>
  <c r="N70" i="2"/>
  <c r="I74" i="4"/>
  <c r="N68" i="2"/>
  <c r="I72" i="4"/>
  <c r="N69" i="2"/>
  <c r="I73" i="4"/>
  <c r="N67" i="2"/>
  <c r="I71" i="4"/>
  <c r="I66" i="2"/>
  <c r="N61" i="2"/>
  <c r="I65" i="4"/>
  <c r="N56" i="2"/>
  <c r="P36" i="2"/>
  <c r="M49" i="2"/>
  <c r="N51" i="2"/>
  <c r="I55" i="4"/>
  <c r="N52" i="2"/>
  <c r="I56" i="4"/>
  <c r="I49" i="2"/>
  <c r="N53" i="2"/>
  <c r="I57" i="4"/>
  <c r="N50" i="2"/>
  <c r="I54" i="4"/>
  <c r="N48" i="2"/>
  <c r="I52" i="4"/>
  <c r="N46" i="2"/>
  <c r="I50" i="4"/>
  <c r="N44" i="2"/>
  <c r="N48" i="4" s="1"/>
  <c r="I48" i="4"/>
  <c r="I41" i="2"/>
  <c r="F45" i="4"/>
  <c r="M41" i="2"/>
  <c r="S44" i="2"/>
  <c r="S48" i="4" s="1"/>
  <c r="O36" i="2"/>
  <c r="W38" i="2"/>
  <c r="M38" i="2"/>
  <c r="N39" i="2"/>
  <c r="I43" i="4"/>
  <c r="N40" i="2"/>
  <c r="I44" i="4"/>
  <c r="I38" i="2"/>
  <c r="M31" i="2"/>
  <c r="I31" i="2"/>
  <c r="C83" i="2"/>
  <c r="N25" i="2"/>
  <c r="I29" i="4"/>
  <c r="N26" i="2"/>
  <c r="I30" i="4"/>
  <c r="R38" i="2"/>
  <c r="R41" i="2"/>
  <c r="W41" i="2"/>
  <c r="W45" i="2"/>
  <c r="R49" i="2"/>
  <c r="W49" i="2"/>
  <c r="S56" i="2"/>
  <c r="E56" i="2" s="1"/>
  <c r="S57" i="2"/>
  <c r="E57" i="2" s="1"/>
  <c r="R73" i="2"/>
  <c r="W73" i="2"/>
  <c r="R79" i="2"/>
  <c r="R82" i="4" s="1"/>
  <c r="W79" i="2"/>
  <c r="W82" i="4" s="1"/>
  <c r="G102" i="2"/>
  <c r="H102" i="2"/>
  <c r="J102" i="2"/>
  <c r="K102" i="2"/>
  <c r="L102" i="2"/>
  <c r="O102" i="2"/>
  <c r="I89" i="2"/>
  <c r="M89" i="2"/>
  <c r="R89" i="2"/>
  <c r="I90" i="2"/>
  <c r="M90" i="2"/>
  <c r="R90" i="2"/>
  <c r="W90" i="2"/>
  <c r="I91" i="2"/>
  <c r="M91" i="2"/>
  <c r="R91" i="2"/>
  <c r="W91" i="2"/>
  <c r="S100" i="2"/>
  <c r="N103" i="2"/>
  <c r="N54" i="2"/>
  <c r="N55" i="2"/>
  <c r="E18" i="2"/>
  <c r="E20" i="4" s="1"/>
  <c r="N18" i="2"/>
  <c r="W11" i="2"/>
  <c r="R11" i="2"/>
  <c r="O10" i="2"/>
  <c r="R10" i="2" s="1"/>
  <c r="M11" i="2"/>
  <c r="N17" i="2"/>
  <c r="J10" i="2"/>
  <c r="M10" i="2" s="1"/>
  <c r="E17" i="2"/>
  <c r="E19" i="4" s="1"/>
  <c r="T10" i="2"/>
  <c r="W10" i="2" s="1"/>
  <c r="I11" i="2"/>
  <c r="N11" i="2" s="1"/>
  <c r="F10" i="2"/>
  <c r="N16" i="2"/>
  <c r="N18" i="4" s="1"/>
  <c r="E16" i="2"/>
  <c r="S59" i="2"/>
  <c r="S63" i="4" s="1"/>
  <c r="N91" i="2"/>
  <c r="I84" i="2"/>
  <c r="M84" i="2"/>
  <c r="R84" i="2"/>
  <c r="W84" i="2"/>
  <c r="Q24" i="2" l="1"/>
  <c r="O24" i="2"/>
  <c r="S87" i="2"/>
  <c r="S91" i="4" s="1"/>
  <c r="E59" i="2"/>
  <c r="U24" i="2"/>
  <c r="V24" i="2"/>
  <c r="V23" i="2" s="1"/>
  <c r="M88" i="2"/>
  <c r="W49" i="4"/>
  <c r="X24" i="2"/>
  <c r="R88" i="2"/>
  <c r="E87" i="2"/>
  <c r="W83" i="2"/>
  <c r="E44" i="2"/>
  <c r="P83" i="2"/>
  <c r="R83" i="2" s="1"/>
  <c r="W88" i="2"/>
  <c r="N90" i="2"/>
  <c r="S90" i="2" s="1"/>
  <c r="E90" i="2" s="1"/>
  <c r="T23" i="2"/>
  <c r="N41" i="2"/>
  <c r="S41" i="2" s="1"/>
  <c r="E41" i="2" s="1"/>
  <c r="N89" i="2"/>
  <c r="S89" i="2" s="1"/>
  <c r="E89" i="2" s="1"/>
  <c r="S86" i="2"/>
  <c r="S85" i="2"/>
  <c r="E18" i="4"/>
  <c r="E11" i="2"/>
  <c r="E10" i="2" s="1"/>
  <c r="W102" i="2"/>
  <c r="S55" i="2"/>
  <c r="N59" i="4"/>
  <c r="S54" i="2"/>
  <c r="N58" i="4"/>
  <c r="S95" i="2"/>
  <c r="N105" i="4"/>
  <c r="S72" i="2"/>
  <c r="N76" i="4"/>
  <c r="S65" i="2"/>
  <c r="N69" i="4"/>
  <c r="S64" i="2"/>
  <c r="N68" i="4"/>
  <c r="S63" i="2"/>
  <c r="N67" i="4"/>
  <c r="S62" i="2"/>
  <c r="N66" i="4"/>
  <c r="S47" i="2"/>
  <c r="N51" i="4"/>
  <c r="S45" i="2"/>
  <c r="S49" i="4" s="1"/>
  <c r="N49" i="4"/>
  <c r="S43" i="2"/>
  <c r="N47" i="4"/>
  <c r="S42" i="2"/>
  <c r="N46" i="4"/>
  <c r="S30" i="2"/>
  <c r="E30" i="2" s="1"/>
  <c r="S29" i="2"/>
  <c r="E29" i="2" s="1"/>
  <c r="S28" i="2"/>
  <c r="N32" i="4"/>
  <c r="S27" i="2"/>
  <c r="N31" i="4"/>
  <c r="K81" i="4"/>
  <c r="J81" i="4"/>
  <c r="M77" i="2"/>
  <c r="L81" i="4"/>
  <c r="S82" i="2"/>
  <c r="N86" i="4"/>
  <c r="S81" i="2"/>
  <c r="N85" i="4"/>
  <c r="S80" i="2"/>
  <c r="N84" i="4"/>
  <c r="N79" i="2"/>
  <c r="N82" i="4" s="1"/>
  <c r="Q23" i="2"/>
  <c r="R102" i="2"/>
  <c r="M83" i="2"/>
  <c r="M102" i="2"/>
  <c r="F83" i="2"/>
  <c r="S98" i="2"/>
  <c r="N109" i="4"/>
  <c r="S97" i="2"/>
  <c r="N107" i="4"/>
  <c r="N94" i="2"/>
  <c r="S96" i="2"/>
  <c r="N106" i="4"/>
  <c r="I58" i="2"/>
  <c r="S68" i="2"/>
  <c r="N72" i="4"/>
  <c r="S69" i="2"/>
  <c r="N73" i="4"/>
  <c r="S70" i="2"/>
  <c r="N74" i="4"/>
  <c r="N66" i="2"/>
  <c r="S67" i="2"/>
  <c r="N71" i="4"/>
  <c r="S61" i="2"/>
  <c r="N65" i="4"/>
  <c r="S53" i="2"/>
  <c r="N57" i="4"/>
  <c r="S52" i="2"/>
  <c r="N56" i="4"/>
  <c r="S50" i="2"/>
  <c r="N54" i="4"/>
  <c r="N49" i="2"/>
  <c r="S49" i="2" s="1"/>
  <c r="E49" i="2" s="1"/>
  <c r="S51" i="2"/>
  <c r="N55" i="4"/>
  <c r="S48" i="2"/>
  <c r="N52" i="4"/>
  <c r="R36" i="2"/>
  <c r="H23" i="2"/>
  <c r="S46" i="2"/>
  <c r="N50" i="4"/>
  <c r="G23" i="2"/>
  <c r="I36" i="2"/>
  <c r="N36" i="2" s="1"/>
  <c r="O23" i="2"/>
  <c r="U23" i="2"/>
  <c r="W36" i="2"/>
  <c r="S40" i="2"/>
  <c r="N44" i="4"/>
  <c r="N38" i="2"/>
  <c r="S38" i="2" s="1"/>
  <c r="E38" i="2" s="1"/>
  <c r="S39" i="2"/>
  <c r="N43" i="4"/>
  <c r="N31" i="2"/>
  <c r="S31" i="2" s="1"/>
  <c r="E31" i="2" s="1"/>
  <c r="S17" i="2"/>
  <c r="S19" i="4" s="1"/>
  <c r="N19" i="4"/>
  <c r="S18" i="2"/>
  <c r="S20" i="4" s="1"/>
  <c r="N20" i="4"/>
  <c r="S26" i="2"/>
  <c r="N30" i="4"/>
  <c r="S25" i="2"/>
  <c r="N29" i="4"/>
  <c r="S91" i="2"/>
  <c r="E91" i="2" s="1"/>
  <c r="I10" i="2"/>
  <c r="N10" i="2" s="1"/>
  <c r="S10" i="2" s="1"/>
  <c r="S103" i="2"/>
  <c r="N88" i="2"/>
  <c r="W58" i="2"/>
  <c r="R58" i="2"/>
  <c r="S11" i="2"/>
  <c r="S16" i="2"/>
  <c r="S18" i="4" s="1"/>
  <c r="I102" i="2"/>
  <c r="N84" i="2"/>
  <c r="C35" i="1"/>
  <c r="P24" i="2" l="1"/>
  <c r="P23" i="2" s="1"/>
  <c r="O99" i="2"/>
  <c r="S52" i="4"/>
  <c r="E48" i="2"/>
  <c r="S72" i="4"/>
  <c r="E68" i="2"/>
  <c r="S109" i="4"/>
  <c r="E98" i="2"/>
  <c r="E109" i="4" s="1"/>
  <c r="S84" i="4"/>
  <c r="E80" i="2"/>
  <c r="S86" i="4"/>
  <c r="E82" i="2"/>
  <c r="S90" i="4"/>
  <c r="E86" i="2"/>
  <c r="S44" i="4"/>
  <c r="E40" i="2"/>
  <c r="H99" i="2"/>
  <c r="S54" i="4"/>
  <c r="E50" i="2"/>
  <c r="S57" i="4"/>
  <c r="E53" i="2"/>
  <c r="S71" i="4"/>
  <c r="E67" i="2"/>
  <c r="F24" i="2"/>
  <c r="F23" i="2" s="1"/>
  <c r="Q99" i="2"/>
  <c r="V99" i="2"/>
  <c r="V105" i="2" s="1"/>
  <c r="S32" i="4"/>
  <c r="E28" i="2"/>
  <c r="S46" i="4"/>
  <c r="E42" i="2"/>
  <c r="S66" i="4"/>
  <c r="E62" i="2"/>
  <c r="S68" i="4"/>
  <c r="E64" i="2"/>
  <c r="S76" i="4"/>
  <c r="E72" i="2"/>
  <c r="S58" i="4"/>
  <c r="E54" i="2"/>
  <c r="E58" i="4" s="1"/>
  <c r="S30" i="4"/>
  <c r="E26" i="2"/>
  <c r="S43" i="4"/>
  <c r="E39" i="2"/>
  <c r="G99" i="2"/>
  <c r="S55" i="4"/>
  <c r="E51" i="2"/>
  <c r="S73" i="4"/>
  <c r="E69" i="2"/>
  <c r="S107" i="4"/>
  <c r="E97" i="2"/>
  <c r="S85" i="4"/>
  <c r="E81" i="2"/>
  <c r="S50" i="4"/>
  <c r="E46" i="2"/>
  <c r="S74" i="4"/>
  <c r="E70" i="2"/>
  <c r="U99" i="2"/>
  <c r="U105" i="2" s="1"/>
  <c r="S56" i="4"/>
  <c r="E52" i="2"/>
  <c r="S65" i="4"/>
  <c r="E61" i="2"/>
  <c r="S106" i="4"/>
  <c r="E96" i="2"/>
  <c r="S31" i="4"/>
  <c r="E27" i="2"/>
  <c r="S47" i="4"/>
  <c r="E43" i="2"/>
  <c r="S51" i="4"/>
  <c r="E47" i="2"/>
  <c r="E51" i="4" s="1"/>
  <c r="S67" i="4"/>
  <c r="E63" i="2"/>
  <c r="S69" i="4"/>
  <c r="E65" i="2"/>
  <c r="S105" i="4"/>
  <c r="E95" i="2"/>
  <c r="S59" i="4"/>
  <c r="E55" i="2"/>
  <c r="E59" i="4" s="1"/>
  <c r="S89" i="4"/>
  <c r="E85" i="2"/>
  <c r="T99" i="2"/>
  <c r="T105" i="2" s="1"/>
  <c r="E45" i="2"/>
  <c r="S29" i="4"/>
  <c r="E25" i="2"/>
  <c r="E29" i="4" s="1"/>
  <c r="J80" i="4"/>
  <c r="M76" i="2"/>
  <c r="L80" i="4"/>
  <c r="M81" i="4"/>
  <c r="N77" i="2"/>
  <c r="K80" i="4"/>
  <c r="S79" i="2"/>
  <c r="I83" i="2"/>
  <c r="S94" i="2"/>
  <c r="E94" i="2" s="1"/>
  <c r="S66" i="2"/>
  <c r="E66" i="2" s="1"/>
  <c r="W24" i="2"/>
  <c r="W23" i="2" s="1"/>
  <c r="S36" i="2"/>
  <c r="S88" i="2"/>
  <c r="E88" i="2" s="1"/>
  <c r="N102" i="2"/>
  <c r="S84" i="2"/>
  <c r="E84" i="2" s="1"/>
  <c r="E102" i="2" s="1"/>
  <c r="D104" i="1"/>
  <c r="G104" i="1"/>
  <c r="H104" i="1"/>
  <c r="G104" i="4" s="1"/>
  <c r="I104" i="1"/>
  <c r="H104" i="4" s="1"/>
  <c r="K104" i="1"/>
  <c r="L104" i="1"/>
  <c r="K104" i="4" s="1"/>
  <c r="M104" i="1"/>
  <c r="L104" i="4" s="1"/>
  <c r="P104" i="1"/>
  <c r="Q104" i="1"/>
  <c r="P104" i="4" s="1"/>
  <c r="R104" i="1"/>
  <c r="Q104" i="4" s="1"/>
  <c r="U104" i="1"/>
  <c r="V104" i="1"/>
  <c r="U104" i="4" s="1"/>
  <c r="W104" i="1"/>
  <c r="V104" i="4" s="1"/>
  <c r="C104" i="1"/>
  <c r="T104" i="4" l="1"/>
  <c r="X104" i="1"/>
  <c r="O104" i="4"/>
  <c r="S104" i="1"/>
  <c r="J104" i="4"/>
  <c r="N104" i="1"/>
  <c r="F104" i="4"/>
  <c r="J104" i="1"/>
  <c r="E36" i="2"/>
  <c r="E79" i="2"/>
  <c r="E82" i="4" s="1"/>
  <c r="S82" i="4"/>
  <c r="F99" i="2"/>
  <c r="I24" i="2"/>
  <c r="P99" i="2"/>
  <c r="R24" i="2"/>
  <c r="R23" i="2" s="1"/>
  <c r="R99" i="2" s="1"/>
  <c r="K74" i="2"/>
  <c r="K79" i="4"/>
  <c r="J79" i="4"/>
  <c r="M75" i="2"/>
  <c r="L74" i="2"/>
  <c r="L79" i="4"/>
  <c r="S77" i="2"/>
  <c r="N81" i="4"/>
  <c r="M80" i="4"/>
  <c r="N76" i="2"/>
  <c r="N83" i="2"/>
  <c r="S102" i="2"/>
  <c r="I23" i="2"/>
  <c r="I99" i="2" s="1"/>
  <c r="W99" i="2"/>
  <c r="W104" i="4"/>
  <c r="R104" i="4"/>
  <c r="M104" i="4"/>
  <c r="I104" i="4"/>
  <c r="O35" i="1"/>
  <c r="T35" i="1" s="1"/>
  <c r="F35" i="1" s="1"/>
  <c r="S81" i="4" l="1"/>
  <c r="E77" i="2"/>
  <c r="L78" i="4"/>
  <c r="L73" i="2"/>
  <c r="M79" i="4"/>
  <c r="N75" i="2"/>
  <c r="K78" i="4"/>
  <c r="K73" i="2"/>
  <c r="N80" i="4"/>
  <c r="S76" i="2"/>
  <c r="J78" i="4"/>
  <c r="J73" i="2"/>
  <c r="J58" i="2" s="1"/>
  <c r="J24" i="2" s="1"/>
  <c r="M74" i="2"/>
  <c r="S83" i="2"/>
  <c r="E83" i="2" s="1"/>
  <c r="O104" i="1"/>
  <c r="S80" i="4" l="1"/>
  <c r="E76" i="2"/>
  <c r="T104" i="1"/>
  <c r="N104" i="4"/>
  <c r="L58" i="2"/>
  <c r="L24" i="2" s="1"/>
  <c r="M78" i="4"/>
  <c r="N74" i="2"/>
  <c r="S75" i="2"/>
  <c r="N79" i="4"/>
  <c r="M73" i="2"/>
  <c r="K58" i="2"/>
  <c r="K24" i="2" s="1"/>
  <c r="D94" i="1"/>
  <c r="D95" i="1"/>
  <c r="D93" i="1"/>
  <c r="S79" i="4" l="1"/>
  <c r="E75" i="2"/>
  <c r="S104" i="4"/>
  <c r="F104" i="1"/>
  <c r="L23" i="2"/>
  <c r="M58" i="2"/>
  <c r="N73" i="2"/>
  <c r="S74" i="2"/>
  <c r="N78" i="4"/>
  <c r="K23" i="2"/>
  <c r="D88" i="1"/>
  <c r="C88" i="1"/>
  <c r="C87" i="1" s="1"/>
  <c r="D92" i="1"/>
  <c r="C83" i="1"/>
  <c r="C77" i="1"/>
  <c r="C70" i="1"/>
  <c r="K99" i="2" l="1"/>
  <c r="L99" i="2"/>
  <c r="S78" i="4"/>
  <c r="E74" i="2"/>
  <c r="D45" i="1"/>
  <c r="D40" i="1" s="1"/>
  <c r="D70" i="1"/>
  <c r="D77" i="1"/>
  <c r="D83" i="1"/>
  <c r="C113" i="1"/>
  <c r="D113" i="1"/>
  <c r="S73" i="2"/>
  <c r="E73" i="2" s="1"/>
  <c r="N58" i="2"/>
  <c r="J23" i="2"/>
  <c r="M24" i="2"/>
  <c r="C62" i="1"/>
  <c r="J99" i="2" l="1"/>
  <c r="D62" i="1"/>
  <c r="S58" i="2"/>
  <c r="E58" i="2" s="1"/>
  <c r="M23" i="2"/>
  <c r="M99" i="2" s="1"/>
  <c r="N24" i="2"/>
  <c r="N23" i="2" l="1"/>
  <c r="N99" i="2" s="1"/>
  <c r="S24" i="2"/>
  <c r="D13" i="1"/>
  <c r="S23" i="2" l="1"/>
  <c r="S99" i="2" s="1"/>
  <c r="E24" i="2"/>
  <c r="E23" i="2" s="1"/>
  <c r="E99" i="2" s="1"/>
  <c r="E32" i="4" l="1"/>
  <c r="U70" i="4" l="1"/>
  <c r="V70" i="4"/>
  <c r="P70" i="4"/>
  <c r="Q70" i="4"/>
  <c r="T70" i="4"/>
  <c r="O70" i="4"/>
  <c r="E72" i="4"/>
  <c r="F70" i="4"/>
  <c r="G70" i="4"/>
  <c r="H70" i="4"/>
  <c r="J70" i="4"/>
  <c r="K70" i="4"/>
  <c r="L70" i="4"/>
  <c r="M70" i="4" l="1"/>
  <c r="I70" i="4"/>
  <c r="R70" i="4"/>
  <c r="W70" i="4"/>
  <c r="V95" i="1"/>
  <c r="W95" i="1"/>
  <c r="V94" i="1"/>
  <c r="U94" i="4" s="1"/>
  <c r="W94" i="1"/>
  <c r="V94" i="4" s="1"/>
  <c r="V93" i="1"/>
  <c r="U93" i="4" s="1"/>
  <c r="W93" i="1"/>
  <c r="V93" i="4" s="1"/>
  <c r="Q95" i="1"/>
  <c r="R95" i="1"/>
  <c r="Q94" i="1"/>
  <c r="P94" i="4" s="1"/>
  <c r="R94" i="1"/>
  <c r="Q94" i="4" s="1"/>
  <c r="Q93" i="1"/>
  <c r="P93" i="4" s="1"/>
  <c r="R93" i="1"/>
  <c r="Q93" i="4" s="1"/>
  <c r="L95" i="1"/>
  <c r="M95" i="1"/>
  <c r="L94" i="1"/>
  <c r="K94" i="4" s="1"/>
  <c r="M94" i="1"/>
  <c r="L94" i="4" s="1"/>
  <c r="L93" i="1"/>
  <c r="K93" i="4" s="1"/>
  <c r="M93" i="1"/>
  <c r="L93" i="4" s="1"/>
  <c r="U95" i="1"/>
  <c r="U94" i="1"/>
  <c r="U93" i="1"/>
  <c r="P95" i="1"/>
  <c r="P94" i="1"/>
  <c r="P93" i="1"/>
  <c r="K95" i="1"/>
  <c r="N95" i="1" s="1"/>
  <c r="K94" i="1"/>
  <c r="K93" i="1"/>
  <c r="H95" i="1"/>
  <c r="I95" i="1"/>
  <c r="H94" i="1"/>
  <c r="G94" i="4" s="1"/>
  <c r="I94" i="1"/>
  <c r="H94" i="4" s="1"/>
  <c r="H93" i="1"/>
  <c r="G93" i="4" s="1"/>
  <c r="I93" i="1"/>
  <c r="H93" i="4" s="1"/>
  <c r="G94" i="1"/>
  <c r="G95" i="1"/>
  <c r="G93" i="1"/>
  <c r="F93" i="4" l="1"/>
  <c r="J93" i="1"/>
  <c r="F94" i="4"/>
  <c r="J94" i="1"/>
  <c r="J93" i="4"/>
  <c r="N93" i="1"/>
  <c r="J94" i="4"/>
  <c r="N94" i="1"/>
  <c r="O93" i="4"/>
  <c r="S93" i="1"/>
  <c r="O94" i="4"/>
  <c r="S94" i="1"/>
  <c r="T93" i="4"/>
  <c r="X93" i="1"/>
  <c r="T94" i="4"/>
  <c r="X94" i="1"/>
  <c r="J95" i="1"/>
  <c r="X95" i="1"/>
  <c r="S95" i="1"/>
  <c r="F96" i="4"/>
  <c r="F95" i="4"/>
  <c r="H96" i="4"/>
  <c r="H95" i="4"/>
  <c r="G96" i="4"/>
  <c r="G95" i="4"/>
  <c r="J96" i="4"/>
  <c r="J95" i="4"/>
  <c r="O96" i="4"/>
  <c r="O95" i="4"/>
  <c r="T96" i="4"/>
  <c r="T95" i="4"/>
  <c r="L96" i="4"/>
  <c r="L95" i="4"/>
  <c r="K96" i="4"/>
  <c r="K95" i="4"/>
  <c r="Q96" i="4"/>
  <c r="Q95" i="4"/>
  <c r="P96" i="4"/>
  <c r="P95" i="4"/>
  <c r="V96" i="4"/>
  <c r="V95" i="4"/>
  <c r="U96" i="4"/>
  <c r="U95" i="4"/>
  <c r="O70" i="1"/>
  <c r="N70" i="4" s="1"/>
  <c r="W94" i="4"/>
  <c r="R94" i="4"/>
  <c r="M94" i="4"/>
  <c r="I94" i="4"/>
  <c r="W93" i="4"/>
  <c r="R93" i="4"/>
  <c r="M93" i="4"/>
  <c r="X14" i="1"/>
  <c r="W14" i="4" s="1"/>
  <c r="X15" i="1"/>
  <c r="W15" i="4" s="1"/>
  <c r="X16" i="1"/>
  <c r="W16" i="4" s="1"/>
  <c r="X17" i="1"/>
  <c r="W17" i="4" s="1"/>
  <c r="X21" i="1"/>
  <c r="W21" i="4" s="1"/>
  <c r="X22" i="1"/>
  <c r="W22" i="4" s="1"/>
  <c r="X23" i="1"/>
  <c r="W23" i="4" s="1"/>
  <c r="X24" i="1"/>
  <c r="W24" i="4" s="1"/>
  <c r="X111" i="1"/>
  <c r="W111" i="4" s="1"/>
  <c r="X114" i="1"/>
  <c r="S14" i="1"/>
  <c r="R14" i="4" s="1"/>
  <c r="S15" i="1"/>
  <c r="R15" i="4" s="1"/>
  <c r="S16" i="1"/>
  <c r="R16" i="4" s="1"/>
  <c r="S17" i="1"/>
  <c r="R17" i="4" s="1"/>
  <c r="S21" i="1"/>
  <c r="R21" i="4" s="1"/>
  <c r="S22" i="1"/>
  <c r="R22" i="4" s="1"/>
  <c r="S23" i="1"/>
  <c r="R23" i="4" s="1"/>
  <c r="S24" i="1"/>
  <c r="R24" i="4" s="1"/>
  <c r="S111" i="1"/>
  <c r="R111" i="4" s="1"/>
  <c r="S114" i="1"/>
  <c r="N14" i="1"/>
  <c r="M14" i="4" s="1"/>
  <c r="N15" i="1"/>
  <c r="M15" i="4" s="1"/>
  <c r="N16" i="1"/>
  <c r="M16" i="4" s="1"/>
  <c r="N17" i="1"/>
  <c r="M17" i="4" s="1"/>
  <c r="N21" i="1"/>
  <c r="M21" i="4" s="1"/>
  <c r="N22" i="1"/>
  <c r="M22" i="4" s="1"/>
  <c r="N23" i="1"/>
  <c r="M23" i="4" s="1"/>
  <c r="N24" i="1"/>
  <c r="M24" i="4" s="1"/>
  <c r="N111" i="1"/>
  <c r="M111" i="4" s="1"/>
  <c r="N114" i="1"/>
  <c r="J14" i="1"/>
  <c r="I14" i="4" s="1"/>
  <c r="J15" i="1"/>
  <c r="J16" i="1"/>
  <c r="I16" i="4" s="1"/>
  <c r="J17" i="1"/>
  <c r="J21" i="1"/>
  <c r="I21" i="4" s="1"/>
  <c r="J22" i="1"/>
  <c r="I22" i="4" s="1"/>
  <c r="J23" i="1"/>
  <c r="J24" i="1"/>
  <c r="I24" i="4" s="1"/>
  <c r="E52" i="4"/>
  <c r="E54" i="4"/>
  <c r="E55" i="4"/>
  <c r="E56" i="4"/>
  <c r="E57" i="4"/>
  <c r="E64" i="4"/>
  <c r="E65" i="4"/>
  <c r="E66" i="4"/>
  <c r="E67" i="4"/>
  <c r="E71" i="4"/>
  <c r="E74" i="4"/>
  <c r="E76" i="4"/>
  <c r="E79" i="4"/>
  <c r="E80" i="4"/>
  <c r="E81" i="4"/>
  <c r="E84" i="4"/>
  <c r="E85" i="4"/>
  <c r="E86" i="4"/>
  <c r="E90" i="4"/>
  <c r="E106" i="4"/>
  <c r="J111" i="1"/>
  <c r="J114" i="1"/>
  <c r="E78" i="4" l="1"/>
  <c r="T70" i="1"/>
  <c r="F70" i="1" s="1"/>
  <c r="E63" i="4"/>
  <c r="I23" i="4"/>
  <c r="F23" i="1"/>
  <c r="E23" i="4" s="1"/>
  <c r="I17" i="4"/>
  <c r="F17" i="1"/>
  <c r="E17" i="4" s="1"/>
  <c r="I15" i="4"/>
  <c r="O93" i="1"/>
  <c r="N93" i="4" s="1"/>
  <c r="I93" i="4"/>
  <c r="I96" i="4"/>
  <c r="I95" i="4"/>
  <c r="M96" i="4"/>
  <c r="M95" i="4"/>
  <c r="R96" i="4"/>
  <c r="R95" i="4"/>
  <c r="W96" i="4"/>
  <c r="W95" i="4"/>
  <c r="O114" i="1"/>
  <c r="O111" i="1"/>
  <c r="N111" i="4" s="1"/>
  <c r="O95" i="1"/>
  <c r="O94" i="1"/>
  <c r="N94" i="4" s="1"/>
  <c r="E89" i="4"/>
  <c r="E73" i="4"/>
  <c r="E69" i="4"/>
  <c r="E68" i="4"/>
  <c r="E107" i="4"/>
  <c r="E105" i="4"/>
  <c r="O24" i="1"/>
  <c r="N24" i="4" s="1"/>
  <c r="O23" i="1"/>
  <c r="N23" i="4" s="1"/>
  <c r="O22" i="1"/>
  <c r="N22" i="4" s="1"/>
  <c r="O21" i="1"/>
  <c r="N21" i="4" s="1"/>
  <c r="F24" i="1"/>
  <c r="E24" i="4" s="1"/>
  <c r="F22" i="1"/>
  <c r="E22" i="4" s="1"/>
  <c r="F21" i="1"/>
  <c r="E21" i="4" s="1"/>
  <c r="O17" i="1"/>
  <c r="N17" i="4" s="1"/>
  <c r="O16" i="1"/>
  <c r="N16" i="4" s="1"/>
  <c r="F16" i="1"/>
  <c r="E16" i="4" s="1"/>
  <c r="O15" i="1"/>
  <c r="N15" i="4" s="1"/>
  <c r="F15" i="1"/>
  <c r="E15" i="4" s="1"/>
  <c r="E50" i="4"/>
  <c r="E49" i="4"/>
  <c r="E48" i="4"/>
  <c r="E47" i="4"/>
  <c r="E46" i="4"/>
  <c r="E44" i="4"/>
  <c r="E43" i="4"/>
  <c r="E39" i="4"/>
  <c r="E38" i="4"/>
  <c r="E37" i="4"/>
  <c r="E31" i="4"/>
  <c r="F14" i="1"/>
  <c r="E14" i="4" s="1"/>
  <c r="O14" i="1"/>
  <c r="N14" i="4" s="1"/>
  <c r="F83" i="4"/>
  <c r="G83" i="4"/>
  <c r="H83" i="4"/>
  <c r="J83" i="4"/>
  <c r="K83" i="4"/>
  <c r="L83" i="4"/>
  <c r="O83" i="4"/>
  <c r="P83" i="4"/>
  <c r="Q83" i="4"/>
  <c r="T83" i="4"/>
  <c r="U83" i="4"/>
  <c r="V83" i="4"/>
  <c r="G53" i="1"/>
  <c r="H53" i="1"/>
  <c r="G53" i="4" s="1"/>
  <c r="I53" i="1"/>
  <c r="H53" i="4" s="1"/>
  <c r="K53" i="1"/>
  <c r="L53" i="1"/>
  <c r="K53" i="4" s="1"/>
  <c r="M53" i="1"/>
  <c r="L53" i="4" s="1"/>
  <c r="P53" i="1"/>
  <c r="Q53" i="1"/>
  <c r="P53" i="4" s="1"/>
  <c r="R53" i="1"/>
  <c r="Q53" i="4" s="1"/>
  <c r="U53" i="1"/>
  <c r="V53" i="1"/>
  <c r="U53" i="4" s="1"/>
  <c r="W53" i="1"/>
  <c r="V53" i="4" s="1"/>
  <c r="H45" i="1"/>
  <c r="I45" i="1"/>
  <c r="K45" i="1"/>
  <c r="L45" i="1"/>
  <c r="M45" i="1"/>
  <c r="P45" i="1"/>
  <c r="Q45" i="1"/>
  <c r="R45" i="1"/>
  <c r="U45" i="1"/>
  <c r="V45" i="1"/>
  <c r="W45" i="1"/>
  <c r="G42" i="1"/>
  <c r="H42" i="1"/>
  <c r="G42" i="4" s="1"/>
  <c r="I42" i="1"/>
  <c r="H42" i="4" s="1"/>
  <c r="J42" i="4"/>
  <c r="L42" i="4"/>
  <c r="P42" i="1"/>
  <c r="Q42" i="1"/>
  <c r="P42" i="4" s="1"/>
  <c r="R42" i="1"/>
  <c r="Q42" i="4" s="1"/>
  <c r="U42" i="1"/>
  <c r="V42" i="1"/>
  <c r="U42" i="4" s="1"/>
  <c r="W42" i="1"/>
  <c r="V42" i="4" s="1"/>
  <c r="G92" i="1"/>
  <c r="H92" i="1"/>
  <c r="G92" i="4" s="1"/>
  <c r="I92" i="1"/>
  <c r="H92" i="4" s="1"/>
  <c r="K92" i="1"/>
  <c r="L92" i="1"/>
  <c r="K92" i="4" s="1"/>
  <c r="M92" i="1"/>
  <c r="L92" i="4" s="1"/>
  <c r="P92" i="1"/>
  <c r="Q92" i="1"/>
  <c r="P92" i="4" s="1"/>
  <c r="R92" i="1"/>
  <c r="Q92" i="4" s="1"/>
  <c r="U92" i="1"/>
  <c r="V92" i="1"/>
  <c r="U92" i="4" s="1"/>
  <c r="W92" i="1"/>
  <c r="V92" i="4" s="1"/>
  <c r="H88" i="1"/>
  <c r="I88" i="1"/>
  <c r="K88" i="1"/>
  <c r="L88" i="1"/>
  <c r="M88" i="1"/>
  <c r="P88" i="1"/>
  <c r="Q88" i="1"/>
  <c r="Q87" i="1" s="1"/>
  <c r="R88" i="1"/>
  <c r="R87" i="1" s="1"/>
  <c r="U88" i="1"/>
  <c r="V88" i="1"/>
  <c r="V87" i="1" s="1"/>
  <c r="W88" i="1"/>
  <c r="W87" i="1" s="1"/>
  <c r="G87" i="1"/>
  <c r="H87" i="1"/>
  <c r="G87" i="4" s="1"/>
  <c r="I87" i="1"/>
  <c r="H87" i="4" s="1"/>
  <c r="K87" i="1"/>
  <c r="T42" i="4" l="1"/>
  <c r="X42" i="1"/>
  <c r="O42" i="4"/>
  <c r="S42" i="1"/>
  <c r="F42" i="4"/>
  <c r="J42" i="1"/>
  <c r="I40" i="1"/>
  <c r="U87" i="1"/>
  <c r="X88" i="1"/>
  <c r="J88" i="1"/>
  <c r="I88" i="4" s="1"/>
  <c r="N88" i="1"/>
  <c r="P87" i="1"/>
  <c r="S87" i="1" s="1"/>
  <c r="S88" i="1"/>
  <c r="R88" i="4" s="1"/>
  <c r="R113" i="4" s="1"/>
  <c r="O92" i="4"/>
  <c r="S92" i="1"/>
  <c r="R92" i="4" s="1"/>
  <c r="F87" i="4"/>
  <c r="J87" i="1"/>
  <c r="I87" i="4" s="1"/>
  <c r="F92" i="4"/>
  <c r="J92" i="1"/>
  <c r="I92" i="4" s="1"/>
  <c r="J87" i="4"/>
  <c r="J92" i="4"/>
  <c r="N92" i="1"/>
  <c r="X87" i="1"/>
  <c r="T92" i="4"/>
  <c r="X92" i="1"/>
  <c r="W92" i="4" s="1"/>
  <c r="T53" i="4"/>
  <c r="X53" i="1"/>
  <c r="O53" i="4"/>
  <c r="S53" i="1"/>
  <c r="J53" i="4"/>
  <c r="N53" i="1"/>
  <c r="F53" i="4"/>
  <c r="J53" i="1"/>
  <c r="G40" i="1"/>
  <c r="T45" i="4"/>
  <c r="U40" i="1"/>
  <c r="U45" i="4"/>
  <c r="V40" i="1"/>
  <c r="X45" i="1"/>
  <c r="V45" i="4"/>
  <c r="W40" i="1"/>
  <c r="O45" i="4"/>
  <c r="P40" i="1"/>
  <c r="O40" i="4" s="1"/>
  <c r="S45" i="1"/>
  <c r="Q45" i="4"/>
  <c r="R40" i="1"/>
  <c r="Q40" i="4" s="1"/>
  <c r="P45" i="4"/>
  <c r="Q40" i="1"/>
  <c r="L45" i="4"/>
  <c r="M40" i="1"/>
  <c r="L40" i="4" s="1"/>
  <c r="K45" i="4"/>
  <c r="L40" i="1"/>
  <c r="K40" i="4" s="1"/>
  <c r="J45" i="4"/>
  <c r="N45" i="1"/>
  <c r="K40" i="1"/>
  <c r="G45" i="4"/>
  <c r="H40" i="1"/>
  <c r="J45" i="1"/>
  <c r="I45" i="4" s="1"/>
  <c r="S70" i="4"/>
  <c r="E70" i="4"/>
  <c r="L87" i="1"/>
  <c r="K87" i="4" s="1"/>
  <c r="V77" i="4"/>
  <c r="V62" i="4"/>
  <c r="U77" i="4"/>
  <c r="U62" i="4"/>
  <c r="T77" i="4"/>
  <c r="T62" i="4"/>
  <c r="Q77" i="4"/>
  <c r="Q62" i="4"/>
  <c r="P77" i="4"/>
  <c r="P62" i="4"/>
  <c r="O77" i="4"/>
  <c r="L77" i="4"/>
  <c r="L62" i="4"/>
  <c r="K77" i="4"/>
  <c r="K62" i="4"/>
  <c r="J77" i="4"/>
  <c r="H77" i="4"/>
  <c r="H62" i="4"/>
  <c r="G77" i="4"/>
  <c r="G62" i="4"/>
  <c r="F77" i="4"/>
  <c r="E36" i="4"/>
  <c r="E35" i="4" s="1"/>
  <c r="E30" i="4"/>
  <c r="T93" i="1"/>
  <c r="M87" i="1"/>
  <c r="L87" i="4" s="1"/>
  <c r="W113" i="1"/>
  <c r="V88" i="4"/>
  <c r="V113" i="1"/>
  <c r="U88" i="4"/>
  <c r="U113" i="1"/>
  <c r="T88" i="4"/>
  <c r="R113" i="1"/>
  <c r="Q88" i="4"/>
  <c r="Q113" i="1"/>
  <c r="P88" i="4"/>
  <c r="P113" i="1"/>
  <c r="O88" i="4"/>
  <c r="M113" i="1"/>
  <c r="L88" i="4"/>
  <c r="L113" i="4" s="1"/>
  <c r="L113" i="1"/>
  <c r="K88" i="4"/>
  <c r="K113" i="4" s="1"/>
  <c r="K113" i="1"/>
  <c r="J88" i="4"/>
  <c r="J113" i="4" s="1"/>
  <c r="I113" i="1"/>
  <c r="H88" i="4"/>
  <c r="H113" i="4" s="1"/>
  <c r="H113" i="1"/>
  <c r="G88" i="4"/>
  <c r="G113" i="4" s="1"/>
  <c r="G113" i="1"/>
  <c r="F88" i="4"/>
  <c r="F113" i="4" s="1"/>
  <c r="H45" i="4"/>
  <c r="E91" i="4"/>
  <c r="N96" i="4"/>
  <c r="N95" i="4"/>
  <c r="V40" i="4"/>
  <c r="W42" i="4"/>
  <c r="P40" i="4"/>
  <c r="R42" i="4"/>
  <c r="M42" i="4"/>
  <c r="H40" i="4"/>
  <c r="I42" i="4"/>
  <c r="W45" i="4"/>
  <c r="R45" i="4"/>
  <c r="M45" i="4"/>
  <c r="W53" i="4"/>
  <c r="R53" i="4"/>
  <c r="M53" i="4"/>
  <c r="I53" i="4"/>
  <c r="W77" i="4"/>
  <c r="R77" i="4"/>
  <c r="M77" i="4"/>
  <c r="I77" i="4"/>
  <c r="W83" i="4"/>
  <c r="R83" i="4"/>
  <c r="M83" i="4"/>
  <c r="I83" i="4"/>
  <c r="T94" i="1"/>
  <c r="T95" i="1"/>
  <c r="F95" i="1" s="1"/>
  <c r="E95" i="4" s="1"/>
  <c r="T111" i="1"/>
  <c r="S111" i="4" s="1"/>
  <c r="T114" i="1"/>
  <c r="O13" i="1"/>
  <c r="W88" i="4"/>
  <c r="M88" i="4"/>
  <c r="M113" i="4" s="1"/>
  <c r="M92" i="4"/>
  <c r="E104" i="4"/>
  <c r="T14" i="1"/>
  <c r="S14" i="4" s="1"/>
  <c r="T15" i="1"/>
  <c r="S15" i="4" s="1"/>
  <c r="T16" i="1"/>
  <c r="S16" i="4" s="1"/>
  <c r="T17" i="1"/>
  <c r="S17" i="4" s="1"/>
  <c r="T21" i="1"/>
  <c r="S21" i="4" s="1"/>
  <c r="T22" i="1"/>
  <c r="S22" i="4" s="1"/>
  <c r="T23" i="1"/>
  <c r="S23" i="4" s="1"/>
  <c r="T24" i="1"/>
  <c r="S24" i="4" s="1"/>
  <c r="X40" i="1" l="1"/>
  <c r="N87" i="1"/>
  <c r="N40" i="1"/>
  <c r="M40" i="4" s="1"/>
  <c r="J40" i="1"/>
  <c r="S40" i="1"/>
  <c r="R40" i="4" s="1"/>
  <c r="E96" i="4"/>
  <c r="S93" i="4"/>
  <c r="F93" i="1"/>
  <c r="E93" i="4" s="1"/>
  <c r="S94" i="4"/>
  <c r="F94" i="1"/>
  <c r="E94" i="4" s="1"/>
  <c r="W62" i="4"/>
  <c r="R62" i="4"/>
  <c r="O62" i="4"/>
  <c r="F62" i="4"/>
  <c r="M62" i="4"/>
  <c r="J62" i="4"/>
  <c r="U40" i="4"/>
  <c r="T40" i="4"/>
  <c r="J40" i="4"/>
  <c r="G40" i="4"/>
  <c r="F40" i="4"/>
  <c r="J113" i="1"/>
  <c r="N113" i="1"/>
  <c r="M87" i="4"/>
  <c r="X113" i="1"/>
  <c r="S96" i="4"/>
  <c r="S95" i="4"/>
  <c r="O41" i="1"/>
  <c r="I41" i="4"/>
  <c r="O113" i="4"/>
  <c r="O87" i="4"/>
  <c r="P113" i="4"/>
  <c r="P87" i="4"/>
  <c r="Q113" i="4"/>
  <c r="Q87" i="4"/>
  <c r="T113" i="4"/>
  <c r="T87" i="4"/>
  <c r="U113" i="4"/>
  <c r="U87" i="4"/>
  <c r="V113" i="4"/>
  <c r="V87" i="4"/>
  <c r="O88" i="1"/>
  <c r="O92" i="1"/>
  <c r="N92" i="4" s="1"/>
  <c r="O83" i="1"/>
  <c r="O77" i="1"/>
  <c r="N77" i="4" s="1"/>
  <c r="I62" i="4"/>
  <c r="O53" i="1"/>
  <c r="O45" i="1"/>
  <c r="O42" i="1"/>
  <c r="N42" i="4" s="1"/>
  <c r="I40" i="4"/>
  <c r="W40" i="4"/>
  <c r="T13" i="1"/>
  <c r="F13" i="1" s="1"/>
  <c r="O113" i="1" l="1"/>
  <c r="T113" i="1" s="1"/>
  <c r="A62" i="1"/>
  <c r="O62" i="1"/>
  <c r="T62" i="1" s="1"/>
  <c r="F62" i="1" s="1"/>
  <c r="E62" i="4" s="1"/>
  <c r="O87" i="1"/>
  <c r="N87" i="4" s="1"/>
  <c r="F113" i="1"/>
  <c r="T92" i="1"/>
  <c r="T45" i="1"/>
  <c r="N45" i="4"/>
  <c r="T53" i="1"/>
  <c r="N53" i="4"/>
  <c r="T83" i="1"/>
  <c r="N83" i="4"/>
  <c r="T88" i="1"/>
  <c r="N88" i="4"/>
  <c r="N113" i="4" s="1"/>
  <c r="W87" i="4"/>
  <c r="R87" i="4"/>
  <c r="T41" i="1"/>
  <c r="N41" i="4"/>
  <c r="T42" i="1"/>
  <c r="F42" i="1" s="1"/>
  <c r="E42" i="4" s="1"/>
  <c r="O40" i="1"/>
  <c r="N40" i="4" s="1"/>
  <c r="T77" i="1"/>
  <c r="S77" i="4" l="1"/>
  <c r="F77" i="1"/>
  <c r="E77" i="4" s="1"/>
  <c r="S41" i="4"/>
  <c r="F41" i="1"/>
  <c r="S88" i="4"/>
  <c r="S113" i="4" s="1"/>
  <c r="F88" i="1"/>
  <c r="E88" i="4" s="1"/>
  <c r="E113" i="4" s="1"/>
  <c r="S53" i="4"/>
  <c r="F53" i="1"/>
  <c r="E53" i="4" s="1"/>
  <c r="S83" i="4"/>
  <c r="F83" i="1"/>
  <c r="E83" i="4" s="1"/>
  <c r="S45" i="4"/>
  <c r="F45" i="1"/>
  <c r="E45" i="4" s="1"/>
  <c r="S92" i="4"/>
  <c r="F92" i="1"/>
  <c r="E92" i="4" s="1"/>
  <c r="N62" i="4"/>
  <c r="S87" i="4"/>
  <c r="T87" i="1"/>
  <c r="F87" i="1" s="1"/>
  <c r="E87" i="4" s="1"/>
  <c r="T40" i="1"/>
  <c r="S42" i="4"/>
  <c r="S62" i="4"/>
  <c r="E41" i="4" l="1"/>
  <c r="A41" i="1"/>
  <c r="A42" i="1" s="1"/>
  <c r="S40" i="4"/>
  <c r="F40" i="1"/>
  <c r="E40" i="4" s="1"/>
  <c r="D35" i="1"/>
  <c r="C56" i="2"/>
  <c r="C66" i="2"/>
  <c r="C67" i="2"/>
  <c r="C68" i="2"/>
  <c r="C69" i="2"/>
  <c r="C70" i="2"/>
  <c r="C71" i="2"/>
  <c r="C74" i="2"/>
  <c r="C73" i="2"/>
  <c r="C77" i="2"/>
  <c r="C79" i="2"/>
  <c r="C80" i="2"/>
  <c r="C81" i="2"/>
  <c r="C87" i="2"/>
  <c r="C103" i="2"/>
  <c r="C46" i="2"/>
  <c r="C57" i="2"/>
  <c r="D12" i="1" l="1"/>
  <c r="C41" i="2" l="1"/>
  <c r="C36" i="2" l="1"/>
  <c r="O33" i="4" l="1"/>
  <c r="Q33" i="4" l="1"/>
  <c r="P33" i="4"/>
  <c r="R33" i="4"/>
  <c r="B58" i="2" l="1"/>
  <c r="B60" i="4" s="1"/>
  <c r="C60" i="4" s="1"/>
  <c r="C58" i="2" l="1"/>
  <c r="B24" i="2"/>
  <c r="C24" i="2" l="1"/>
  <c r="B94" i="2" l="1"/>
  <c r="B23" i="2" l="1"/>
  <c r="B96" i="4"/>
  <c r="C96" i="4" s="1"/>
  <c r="C94" i="2"/>
  <c r="B99" i="2" l="1"/>
  <c r="C99" i="2"/>
  <c r="C23" i="2"/>
  <c r="F33" i="4"/>
  <c r="N33" i="4"/>
  <c r="T33" i="1" l="1"/>
  <c r="U33" i="1" l="1"/>
  <c r="S33" i="4"/>
  <c r="T33" i="4" l="1"/>
  <c r="V33" i="1"/>
  <c r="U33" i="4" l="1"/>
  <c r="W33" i="1"/>
  <c r="X33" i="1" s="1"/>
  <c r="W33" i="4" l="1"/>
  <c r="F33" i="1"/>
  <c r="V33" i="4"/>
  <c r="E33" i="4" l="1"/>
  <c r="H33" i="1"/>
  <c r="I33" i="1" l="1"/>
  <c r="J33" i="1" s="1"/>
  <c r="I33" i="4" s="1"/>
  <c r="G33" i="4"/>
  <c r="K33" i="1" l="1"/>
  <c r="H33" i="4"/>
  <c r="L33" i="1" l="1"/>
  <c r="J33" i="4"/>
  <c r="K33" i="4" l="1"/>
  <c r="M33" i="1"/>
  <c r="N33" i="1" s="1"/>
  <c r="M33" i="4" s="1"/>
  <c r="L33" i="4" l="1"/>
  <c r="E34" i="4"/>
  <c r="G28" i="1"/>
  <c r="F34" i="4" l="1"/>
  <c r="H34" i="1"/>
  <c r="F28" i="4"/>
  <c r="G27" i="1"/>
  <c r="F110" i="4" s="1"/>
  <c r="G34" i="4" l="1"/>
  <c r="H28" i="1"/>
  <c r="I34" i="1"/>
  <c r="J34" i="1" s="1"/>
  <c r="G28" i="4" l="1"/>
  <c r="H27" i="1"/>
  <c r="G110" i="4" s="1"/>
  <c r="I28" i="1"/>
  <c r="H34" i="4"/>
  <c r="K34" i="1"/>
  <c r="J34" i="4" l="1"/>
  <c r="K28" i="1"/>
  <c r="H110" i="1"/>
  <c r="H28" i="4"/>
  <c r="I27" i="1"/>
  <c r="I34" i="4"/>
  <c r="L34" i="1"/>
  <c r="J28" i="1"/>
  <c r="M34" i="1" l="1"/>
  <c r="N34" i="1"/>
  <c r="O34" i="1" s="1"/>
  <c r="M34" i="4"/>
  <c r="J27" i="1"/>
  <c r="I28" i="4"/>
  <c r="I110" i="1"/>
  <c r="L34" i="4"/>
  <c r="M28" i="1"/>
  <c r="K34" i="4"/>
  <c r="L28" i="1"/>
  <c r="J28" i="4"/>
  <c r="K27" i="1"/>
  <c r="J110" i="4" s="1"/>
  <c r="N34" i="4" l="1"/>
  <c r="P34" i="1"/>
  <c r="L28" i="4"/>
  <c r="M27" i="1"/>
  <c r="L110" i="4" s="1"/>
  <c r="K110" i="1"/>
  <c r="N28" i="1"/>
  <c r="K28" i="4"/>
  <c r="L27" i="1"/>
  <c r="K110" i="4" s="1"/>
  <c r="O34" i="4"/>
  <c r="P28" i="1"/>
  <c r="Q34" i="1" l="1"/>
  <c r="O28" i="4"/>
  <c r="P27" i="1"/>
  <c r="O110" i="4" s="1"/>
  <c r="O28" i="1"/>
  <c r="M28" i="4"/>
  <c r="N27" i="1"/>
  <c r="M110" i="1"/>
  <c r="L110" i="1"/>
  <c r="N110" i="4" l="1"/>
  <c r="M110" i="4"/>
  <c r="Q28" i="1"/>
  <c r="P34" i="4"/>
  <c r="R34" i="1"/>
  <c r="N110" i="1"/>
  <c r="P110" i="1"/>
  <c r="O27" i="1"/>
  <c r="N28" i="4"/>
  <c r="S34" i="1" l="1"/>
  <c r="Q34" i="4"/>
  <c r="R28" i="1"/>
  <c r="Q27" i="1"/>
  <c r="P28" i="4"/>
  <c r="P110" i="4" l="1"/>
  <c r="Q110" i="1"/>
  <c r="Q28" i="4"/>
  <c r="R27" i="1"/>
  <c r="S28" i="1"/>
  <c r="R34" i="4"/>
  <c r="T34" i="1"/>
  <c r="U34" i="1" l="1"/>
  <c r="V34" i="1"/>
  <c r="S34" i="4"/>
  <c r="R28" i="4"/>
  <c r="S27" i="1"/>
  <c r="S110" i="1" s="1"/>
  <c r="T28" i="1"/>
  <c r="R110" i="1"/>
  <c r="Q110" i="4" l="1"/>
  <c r="S28" i="4"/>
  <c r="T27" i="1"/>
  <c r="W34" i="1"/>
  <c r="U34" i="4"/>
  <c r="V28" i="1"/>
  <c r="X34" i="1"/>
  <c r="W34" i="4" s="1"/>
  <c r="T34" i="4"/>
  <c r="U28" i="1"/>
  <c r="S110" i="4" l="1"/>
  <c r="R110" i="4"/>
  <c r="U27" i="1"/>
  <c r="T28" i="4"/>
  <c r="V27" i="1"/>
  <c r="U28" i="4"/>
  <c r="W28" i="1"/>
  <c r="V34" i="4"/>
  <c r="V28" i="4" l="1"/>
  <c r="W27" i="1"/>
  <c r="U110" i="4"/>
  <c r="V110" i="1"/>
  <c r="X28" i="1"/>
  <c r="T110" i="4"/>
  <c r="U110" i="1"/>
  <c r="J26" i="1"/>
  <c r="G12" i="1"/>
  <c r="F26" i="4"/>
  <c r="X27" i="1" l="1"/>
  <c r="X110" i="1" s="1"/>
  <c r="F28" i="1"/>
  <c r="W28" i="4"/>
  <c r="V110" i="4"/>
  <c r="W110" i="1"/>
  <c r="J12" i="1"/>
  <c r="G110" i="1"/>
  <c r="O26" i="1"/>
  <c r="I26" i="4"/>
  <c r="F27" i="1" l="1"/>
  <c r="E28" i="4"/>
  <c r="O12" i="1"/>
  <c r="J110" i="1"/>
  <c r="I110" i="4" s="1"/>
  <c r="N26" i="4"/>
  <c r="T26" i="1"/>
  <c r="E110" i="4" l="1"/>
  <c r="W110" i="4"/>
  <c r="T12" i="1"/>
  <c r="O110" i="1"/>
  <c r="S26" i="4"/>
  <c r="F26" i="1"/>
  <c r="T110" i="1" l="1"/>
  <c r="F12" i="1"/>
  <c r="F110" i="1" s="1"/>
  <c r="Y111" i="1" l="1"/>
  <c r="C28" i="1"/>
  <c r="D28" i="1" s="1"/>
  <c r="D87" i="1"/>
  <c r="C27" i="1" l="1"/>
  <c r="D27" i="1" s="1"/>
  <c r="D110" i="1"/>
  <c r="C110" i="1" l="1"/>
</calcChain>
</file>

<file path=xl/sharedStrings.xml><?xml version="1.0" encoding="utf-8"?>
<sst xmlns="http://schemas.openxmlformats.org/spreadsheetml/2006/main" count="1672" uniqueCount="312">
  <si>
    <t>ПЛАН</t>
  </si>
  <si>
    <t>финансово-хозяйственной деятельности муниципального унитарного предприятия"Жилищно-коммунальное хозяйство"</t>
  </si>
  <si>
    <t>январь</t>
  </si>
  <si>
    <t>февраль</t>
  </si>
  <si>
    <t>март</t>
  </si>
  <si>
    <t>1 кв-л</t>
  </si>
  <si>
    <t>2 кв-л</t>
  </si>
  <si>
    <t>6 мес</t>
  </si>
  <si>
    <t>3 кв-л</t>
  </si>
  <si>
    <t>9 мес</t>
  </si>
  <si>
    <t>4 кв-л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</si>
  <si>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</si>
  <si>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</si>
  <si>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</si>
  <si>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</si>
  <si>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</si>
  <si>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</si>
  <si>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</si>
  <si>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</si>
  <si>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</si>
  <si>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</t>
  </si>
  <si>
    <t>ВСЕГО ГОД</t>
  </si>
  <si>
    <t>Показатели</t>
  </si>
  <si>
    <r>
      <t>1.1.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Calibri"/>
        <family val="2"/>
        <charset val="204"/>
        <scheme val="minor"/>
      </rPr>
      <t xml:space="preserve">  доход от реализации продукции (работ, услуг),          в т.ч. </t>
    </r>
  </si>
  <si>
    <r>
      <t>1.1.1.</t>
    </r>
    <r>
      <rPr>
        <i/>
        <sz val="7"/>
        <color theme="1"/>
        <rFont val="Times New Roman"/>
        <family val="1"/>
        <charset val="204"/>
      </rPr>
      <t xml:space="preserve">  </t>
    </r>
    <r>
      <rPr>
        <i/>
        <sz val="14"/>
        <color theme="1"/>
        <rFont val="Calibri"/>
        <family val="2"/>
        <charset val="204"/>
        <scheme val="minor"/>
      </rPr>
      <t>доход по централизованному водоснабжению</t>
    </r>
  </si>
  <si>
    <t xml:space="preserve">  1.1.2.доход по                          централизованному водоотведению</t>
  </si>
  <si>
    <t xml:space="preserve"> 1.1.3.доход по подвозу воды</t>
  </si>
  <si>
    <t xml:space="preserve">1.1.4. доход за откачку септика </t>
  </si>
  <si>
    <r>
      <t>1.2.</t>
    </r>
    <r>
      <rPr>
        <sz val="14"/>
        <color theme="1"/>
        <rFont val="Calibri"/>
        <family val="2"/>
        <charset val="204"/>
        <scheme val="minor"/>
      </rPr>
      <t xml:space="preserve"> доход от строительно-монтажных работ</t>
    </r>
  </si>
  <si>
    <r>
      <t>1.3.</t>
    </r>
    <r>
      <rPr>
        <sz val="14"/>
        <color theme="1"/>
        <rFont val="Calibri"/>
        <family val="2"/>
        <charset val="204"/>
        <scheme val="minor"/>
      </rPr>
      <t xml:space="preserve"> доход от найма жилья</t>
    </r>
  </si>
  <si>
    <r>
      <t>1.4.</t>
    </r>
    <r>
      <rPr>
        <sz val="14"/>
        <color theme="1"/>
        <rFont val="Calibri"/>
        <family val="2"/>
        <charset val="204"/>
        <scheme val="minor"/>
      </rPr>
      <t xml:space="preserve"> доход от услуг паспортиста</t>
    </r>
  </si>
  <si>
    <t>1.Доход по предприятию  ВСЕГО:</t>
  </si>
  <si>
    <t>2. Расходы   ВСЕГО:</t>
  </si>
  <si>
    <t>2.1 себестоимость реализации, всего, в т.ч.</t>
  </si>
  <si>
    <t>Электроэнергия</t>
  </si>
  <si>
    <t xml:space="preserve">Материалы </t>
  </si>
  <si>
    <t>Прочие прямые расходы всего в т.ч.:</t>
  </si>
  <si>
    <t>- ОСАГО</t>
  </si>
  <si>
    <t>- Анализы воды (ЦГСЭН)</t>
  </si>
  <si>
    <t>- Страхование опасных объектов</t>
  </si>
  <si>
    <t>- Оплата больничных за счет работодателя</t>
  </si>
  <si>
    <t>Цеховые расходы всего в т.ч.:</t>
  </si>
  <si>
    <t>Техосмотр транспорт.средств</t>
  </si>
  <si>
    <t xml:space="preserve">Содержание автотранспорта: </t>
  </si>
  <si>
    <t>- ГСМ</t>
  </si>
  <si>
    <t>- запчасти</t>
  </si>
  <si>
    <t>Охрана труда:</t>
  </si>
  <si>
    <t>- спецпитание</t>
  </si>
  <si>
    <t>- спецодежда</t>
  </si>
  <si>
    <t>- медосмотр</t>
  </si>
  <si>
    <t>- другие (аптечки и т.д)</t>
  </si>
  <si>
    <t>Аренда гаража</t>
  </si>
  <si>
    <t>Содержание гаража:</t>
  </si>
  <si>
    <t>- Электроэнергия</t>
  </si>
  <si>
    <t>Общеэксплуатационные расходы всего в т.ч.:</t>
  </si>
  <si>
    <t>Командировочные расходы</t>
  </si>
  <si>
    <t>Расходы по подготовке кадров , обучению персонала</t>
  </si>
  <si>
    <t>Расходы на оплату консультац., информац. услуг и СМИ</t>
  </si>
  <si>
    <t>Канцелярские расходы</t>
  </si>
  <si>
    <t>Почтово-телеграфные расходы</t>
  </si>
  <si>
    <t>Услуги связи (Телефонные расходы)</t>
  </si>
  <si>
    <t>Содержание вычислит. и копиров.-множит. техники</t>
  </si>
  <si>
    <t>Содержание зданий (офиса):</t>
  </si>
  <si>
    <t>- вывоз ТБО</t>
  </si>
  <si>
    <t>- материалы для нужд офиса</t>
  </si>
  <si>
    <t>Использование личного транспорта</t>
  </si>
  <si>
    <t xml:space="preserve"> Налоги и сборы: </t>
  </si>
  <si>
    <t>Водный налог</t>
  </si>
  <si>
    <t>Налог на загрязнение</t>
  </si>
  <si>
    <t>Налог УСНО</t>
  </si>
  <si>
    <t>Другие:</t>
  </si>
  <si>
    <t>Нотариус</t>
  </si>
  <si>
    <t>гос пошлина</t>
  </si>
  <si>
    <t>услуги банка</t>
  </si>
  <si>
    <t>материальная помощь</t>
  </si>
  <si>
    <t>Затраты на оплату труда с учетом ЕСН:</t>
  </si>
  <si>
    <t>производственный персонал</t>
  </si>
  <si>
    <t>АУП</t>
  </si>
  <si>
    <t>паспортист</t>
  </si>
  <si>
    <t>2.   ЕСН- 30,2%</t>
  </si>
  <si>
    <t>1.  Затраты на оплату труда :</t>
  </si>
  <si>
    <t>Амортизация транспорта</t>
  </si>
  <si>
    <t>Транспортный налог</t>
  </si>
  <si>
    <t>отопление</t>
  </si>
  <si>
    <t>электроэнергия</t>
  </si>
  <si>
    <t>Амортизация ОС</t>
  </si>
  <si>
    <t xml:space="preserve"> - отопление (уголь)</t>
  </si>
  <si>
    <t>Топливо (уголь объекты ВС иВО))</t>
  </si>
  <si>
    <t>Услуги сторон. Организаций(транспорт. и др.)</t>
  </si>
  <si>
    <t xml:space="preserve">   - материалы</t>
  </si>
  <si>
    <t>с учетом сокращ</t>
  </si>
  <si>
    <t>штрафы, пеня</t>
  </si>
  <si>
    <t>Разработка проектов ПДВ,ПДС ,экспертизы</t>
  </si>
  <si>
    <t>2.3. Прочая реализация:</t>
  </si>
  <si>
    <t>Материалы</t>
  </si>
  <si>
    <r>
      <t xml:space="preserve">1.5. </t>
    </r>
    <r>
      <rPr>
        <sz val="14"/>
        <color theme="1"/>
        <rFont val="Calibri"/>
        <family val="2"/>
        <charset val="204"/>
        <scheme val="minor"/>
      </rPr>
      <t>Доход прочие услуги и проч.реализация(ВС,ВО,общежитие)</t>
    </r>
  </si>
  <si>
    <t>2.2. Прочие услуги( проч.Вс,Кс ,СМР, общеж, найм , паспорт):</t>
  </si>
  <si>
    <t>Экономист:</t>
  </si>
  <si>
    <t>Директор МУП "ЖКХ":</t>
  </si>
  <si>
    <t>2.2. Прочие услуги:</t>
  </si>
  <si>
    <t>1.1.5.доход по теплоснабжению</t>
  </si>
  <si>
    <t>Топливо (УГОЛЬ)</t>
  </si>
  <si>
    <t>Водоснабжение</t>
  </si>
  <si>
    <t>Водоотведение</t>
  </si>
  <si>
    <t>Услуги экскаватора</t>
  </si>
  <si>
    <t>Автоперевозки</t>
  </si>
  <si>
    <t>Разработка проектов ПДВ,ПДС,экспертиза</t>
  </si>
  <si>
    <t>штрафы</t>
  </si>
  <si>
    <t>1.1.6.доход от населения(тепло)</t>
  </si>
  <si>
    <t>1.1.7. субсидия (население)тепло</t>
  </si>
  <si>
    <t>Директор МУП "ЖКХ"</t>
  </si>
  <si>
    <t>Экономист</t>
  </si>
  <si>
    <t>1.6 Субсидия на возмещение (ээл.энерг.водовод)</t>
  </si>
  <si>
    <t>1.7. Содержание дорог</t>
  </si>
  <si>
    <t>9 мес.</t>
  </si>
  <si>
    <t xml:space="preserve"> октябрь,ноябрь, декабрь</t>
  </si>
  <si>
    <t>2.2.1 Затраты на оплату труда</t>
  </si>
  <si>
    <t>Содержание дорог</t>
  </si>
  <si>
    <t>2.2.2 ЕСН -30,2%</t>
  </si>
  <si>
    <t>Д.В.Шамрило</t>
  </si>
  <si>
    <t>Т.М. Середа</t>
  </si>
  <si>
    <t>Т.М.Середа</t>
  </si>
  <si>
    <t>3. Дебиторская задолженность за оказанные услуги по населению</t>
  </si>
  <si>
    <t>4. Прибыль (убыток) до налогообложения</t>
  </si>
  <si>
    <t>5. Чистая прибыль (убыток)</t>
  </si>
  <si>
    <t>6. Отчисления в бюджет  Ханкайского муниципального района части от прибыли за пользование муниципальным имуществом</t>
  </si>
  <si>
    <t>7. Среднесписочная численность работающих, чел.( штатное расписание)</t>
  </si>
  <si>
    <t>8. Среднемесячная заработная плата одного работника (руб.)</t>
  </si>
  <si>
    <t>9. Инвестиции в основной капитал за счет всех источников финансирования</t>
  </si>
  <si>
    <t>3. Дебиторская задолженность за оказанные услуги по населению (недоимка прошлых лет)</t>
  </si>
  <si>
    <t>октябр,ноябрь,декабрь</t>
  </si>
  <si>
    <t>План (программа) финансово-хозяйственной деятельности муниципального унитарного предприятия"Жилищно-коммунальное хозяйство"</t>
  </si>
  <si>
    <t>тыс.руб.</t>
  </si>
  <si>
    <t>1.1.1.  доход по централизованному водоснабжению</t>
  </si>
  <si>
    <r>
      <t xml:space="preserve">1.1.         </t>
    </r>
    <r>
      <rPr>
        <sz val="14"/>
        <color theme="1"/>
        <rFont val="Times New Roman"/>
        <family val="1"/>
        <charset val="204"/>
      </rPr>
      <t xml:space="preserve">  доход от реализации продукции (работ, услуг),          в т.ч. </t>
    </r>
  </si>
  <si>
    <r>
      <t>1.2.</t>
    </r>
    <r>
      <rPr>
        <sz val="14"/>
        <color theme="1"/>
        <rFont val="Times New Roman"/>
        <family val="1"/>
        <charset val="204"/>
      </rPr>
      <t xml:space="preserve"> доход от строительно-монтажных работ</t>
    </r>
  </si>
  <si>
    <r>
      <t>1.3.</t>
    </r>
    <r>
      <rPr>
        <sz val="14"/>
        <color theme="1"/>
        <rFont val="Times New Roman"/>
        <family val="1"/>
        <charset val="204"/>
      </rPr>
      <t xml:space="preserve"> доход от найма жилья</t>
    </r>
  </si>
  <si>
    <r>
      <t>1.4.</t>
    </r>
    <r>
      <rPr>
        <sz val="14"/>
        <color theme="1"/>
        <rFont val="Times New Roman"/>
        <family val="1"/>
        <charset val="204"/>
      </rPr>
      <t xml:space="preserve"> доход от услуг паспортиста</t>
    </r>
  </si>
  <si>
    <r>
      <t xml:space="preserve">1.5. </t>
    </r>
    <r>
      <rPr>
        <sz val="14"/>
        <color theme="1"/>
        <rFont val="Times New Roman"/>
        <family val="1"/>
        <charset val="204"/>
      </rPr>
      <t>Доход прочие услуги и проч.реализация(ВС,ВО,общежитие)</t>
    </r>
  </si>
  <si>
    <t>на  2019 год (ТЕПЛОСНАБЖЕНИЕ)</t>
  </si>
  <si>
    <t>План ФХД на 2019 год</t>
  </si>
  <si>
    <t>Технико-экономические показатели  тепловой энергии</t>
  </si>
  <si>
    <t>по МУП "ЖКХ"  на  2019 год</t>
  </si>
  <si>
    <t>котельная  с. Новокачалинск</t>
  </si>
  <si>
    <t>№ п/п</t>
  </si>
  <si>
    <t>Размер- ность</t>
  </si>
  <si>
    <t>Итого на 1 квартал</t>
  </si>
  <si>
    <t>Итого на 2 квартал</t>
  </si>
  <si>
    <t>Итого на 6 месяцев</t>
  </si>
  <si>
    <t>Итого на 3 квартал</t>
  </si>
  <si>
    <t>Итого на 9 месяцев</t>
  </si>
  <si>
    <t>Итого на 4 квартал</t>
  </si>
  <si>
    <t>Итого на год</t>
  </si>
  <si>
    <t>Натуральные показатели</t>
  </si>
  <si>
    <t>1.</t>
  </si>
  <si>
    <t>Выработано тепловой энергии</t>
  </si>
  <si>
    <t>тыс.Гкал</t>
  </si>
  <si>
    <t>2.</t>
  </si>
  <si>
    <t>Расход т./эн. на собственные нужды</t>
  </si>
  <si>
    <t>4.</t>
  </si>
  <si>
    <t>Подано тепловой энергии в сеть</t>
  </si>
  <si>
    <t>5.</t>
  </si>
  <si>
    <t>Потери  тепловой энергии в сетях, всего</t>
  </si>
  <si>
    <t>6.</t>
  </si>
  <si>
    <t>Подано т/эн. внешним потребителям</t>
  </si>
  <si>
    <t>7.</t>
  </si>
  <si>
    <t>Реализовано т/эн. потребителям</t>
  </si>
  <si>
    <t>7.1</t>
  </si>
  <si>
    <t>в т.ч. населению</t>
  </si>
  <si>
    <t>7.2</t>
  </si>
  <si>
    <t>бюджетным потребителям</t>
  </si>
  <si>
    <t>7.2.1</t>
  </si>
  <si>
    <t>в т.ч. местный бюджет</t>
  </si>
  <si>
    <t>7.2.2</t>
  </si>
  <si>
    <t xml:space="preserve">          краевой бюджет</t>
  </si>
  <si>
    <t>7.2.3</t>
  </si>
  <si>
    <t xml:space="preserve">          федеральный бюджет</t>
  </si>
  <si>
    <t>7.3</t>
  </si>
  <si>
    <t>прочим потребителям</t>
  </si>
  <si>
    <t>10.1.</t>
  </si>
  <si>
    <t>расход</t>
  </si>
  <si>
    <t>тыс.кВт*ч</t>
  </si>
  <si>
    <t>10.2.</t>
  </si>
  <si>
    <t>цена</t>
  </si>
  <si>
    <t>руб./кВт*ч</t>
  </si>
  <si>
    <t>9.4.</t>
  </si>
  <si>
    <t>Уголь</t>
  </si>
  <si>
    <t>расх. (нат. топл.)</t>
  </si>
  <si>
    <t xml:space="preserve">  т.н.т.</t>
  </si>
  <si>
    <t>9.5.</t>
  </si>
  <si>
    <t>руб./т.н.т.</t>
  </si>
  <si>
    <t>9.6.</t>
  </si>
  <si>
    <t>расход (усл. топл.)</t>
  </si>
  <si>
    <t xml:space="preserve">  т.у.т.</t>
  </si>
  <si>
    <t>11.1.</t>
  </si>
  <si>
    <t>Вода</t>
  </si>
  <si>
    <t>расход на технологию</t>
  </si>
  <si>
    <r>
      <t>тыс.м</t>
    </r>
    <r>
      <rPr>
        <vertAlign val="superscript"/>
        <sz val="11"/>
        <rFont val="Times New Roman Cyr"/>
        <family val="1"/>
        <charset val="204"/>
      </rPr>
      <t>3</t>
    </r>
  </si>
  <si>
    <t>11.2.</t>
  </si>
  <si>
    <t>расход на ГВС</t>
  </si>
  <si>
    <t>11.3.</t>
  </si>
  <si>
    <r>
      <t>руб./м</t>
    </r>
    <r>
      <rPr>
        <vertAlign val="superscript"/>
        <sz val="11"/>
        <rFont val="Times New Roman Cyr"/>
        <family val="1"/>
        <charset val="204"/>
      </rPr>
      <t>3</t>
    </r>
  </si>
  <si>
    <t>Себестоимость</t>
  </si>
  <si>
    <t>Топливо</t>
  </si>
  <si>
    <t>тыс. руб.</t>
  </si>
  <si>
    <t>1.2</t>
  </si>
  <si>
    <t>Амортизация</t>
  </si>
  <si>
    <t>Материалы (тек.ремонт)</t>
  </si>
  <si>
    <t>Затраты на оплату труда Всего:</t>
  </si>
  <si>
    <t>Производственного персонала</t>
  </si>
  <si>
    <t xml:space="preserve"> Административного аппарата</t>
  </si>
  <si>
    <t>Расходы на службы сбыта</t>
  </si>
  <si>
    <t>ЕСН Всего</t>
  </si>
  <si>
    <t xml:space="preserve"> в т .ч: административного аппарата</t>
  </si>
  <si>
    <t>Цеховые расходы</t>
  </si>
  <si>
    <t>9.1</t>
  </si>
  <si>
    <t>Ремонт и техническое обслуживание основных средств цехового назначения</t>
  </si>
  <si>
    <t>9.2</t>
  </si>
  <si>
    <t>Ремонт двигателя</t>
  </si>
  <si>
    <t>9.3</t>
  </si>
  <si>
    <t xml:space="preserve">Аренда экскаватора </t>
  </si>
  <si>
    <t>9.4</t>
  </si>
  <si>
    <t>Содержание автотранспорта</t>
  </si>
  <si>
    <t>в т.ч. ГСМ</t>
  </si>
  <si>
    <t>9.5</t>
  </si>
  <si>
    <t>Автоперевозки топлива</t>
  </si>
  <si>
    <t>9.6</t>
  </si>
  <si>
    <t>Охрана труда</t>
  </si>
  <si>
    <t>в т.ч. спецпитание</t>
  </si>
  <si>
    <t>в т.ч. спецодежда</t>
  </si>
  <si>
    <t>в т.ч медосмотр</t>
  </si>
  <si>
    <t>другие</t>
  </si>
  <si>
    <t>9.7</t>
  </si>
  <si>
    <t>Прочие расходы</t>
  </si>
  <si>
    <t>в т.ч. аттестация рабочих мест</t>
  </si>
  <si>
    <t>10.</t>
  </si>
  <si>
    <t>Аренда автотранспорта</t>
  </si>
  <si>
    <t>Прочие прямые расходы</t>
  </si>
  <si>
    <t>11.1</t>
  </si>
  <si>
    <t>Лабораторные испытания</t>
  </si>
  <si>
    <t>Установка приборов безопасности на опасных производственных объектах</t>
  </si>
  <si>
    <t>11.2</t>
  </si>
  <si>
    <t>нотариус, ГАИ</t>
  </si>
  <si>
    <t>11.3</t>
  </si>
  <si>
    <t xml:space="preserve">Прочие затраты </t>
  </si>
  <si>
    <t>Прочие затраты ( вывоз ТБО)</t>
  </si>
  <si>
    <t>Общеэксплуатационные расходы</t>
  </si>
  <si>
    <t>12.1</t>
  </si>
  <si>
    <t>Командировки и перемещения</t>
  </si>
  <si>
    <t>12.2</t>
  </si>
  <si>
    <t>Затраты на оплату консультационных, информационных и аудиторских услуг</t>
  </si>
  <si>
    <t>12.3</t>
  </si>
  <si>
    <t>12.4</t>
  </si>
  <si>
    <t>Подписка</t>
  </si>
  <si>
    <t>12.5</t>
  </si>
  <si>
    <t>Почтово-телеграфные и телефонные расходы</t>
  </si>
  <si>
    <t>12.6</t>
  </si>
  <si>
    <t>Содержание вычислительной и копир-множит. техники</t>
  </si>
  <si>
    <t>12.7</t>
  </si>
  <si>
    <t>Расчеты с водителями по договорам</t>
  </si>
  <si>
    <t>в т.ч. расходы на ООО "Аргумент+"</t>
  </si>
  <si>
    <t>12.8</t>
  </si>
  <si>
    <t>Расчет по договорам (связь)</t>
  </si>
  <si>
    <t>Содержание, ремонт и ТО зданий и помещений  общеэксплуатационного  назначения</t>
  </si>
  <si>
    <t>12.9</t>
  </si>
  <si>
    <t>Доступ и абоненсткое обслуживание в системе "Контур-Экстерн"</t>
  </si>
  <si>
    <t>12.10</t>
  </si>
  <si>
    <t>Услуги инкассации</t>
  </si>
  <si>
    <t>Услуги аккредитации</t>
  </si>
  <si>
    <t>12.11</t>
  </si>
  <si>
    <t>в т.ч аттестация и обучение персонала</t>
  </si>
  <si>
    <t>получение лицензии</t>
  </si>
  <si>
    <t>расходы на страхование</t>
  </si>
  <si>
    <t>разработка проектов ПДВ, ПДС, размещения отходов</t>
  </si>
  <si>
    <t>другие (госпошлина)</t>
  </si>
  <si>
    <t>12.12</t>
  </si>
  <si>
    <t>Налоги и сборы :</t>
  </si>
  <si>
    <t>а)</t>
  </si>
  <si>
    <t>транспортный налог</t>
  </si>
  <si>
    <t>б)</t>
  </si>
  <si>
    <t>налог на УСН</t>
  </si>
  <si>
    <t>земельный налог</t>
  </si>
  <si>
    <t>г)</t>
  </si>
  <si>
    <t>налог на загрязнение окружающей среды</t>
  </si>
  <si>
    <t>13.</t>
  </si>
  <si>
    <t>Отчисления по договору займа</t>
  </si>
  <si>
    <t xml:space="preserve">Всего расходов </t>
  </si>
  <si>
    <t>Всего доходов (по отгрузке)</t>
  </si>
  <si>
    <t>Дотация на покрытие убытков по строке баланса 120.02</t>
  </si>
  <si>
    <t>Средний тариф по начислению</t>
  </si>
  <si>
    <t>руб./Гкал</t>
  </si>
  <si>
    <t>Финансовый результат</t>
  </si>
  <si>
    <t>котельная  с. Первомайское</t>
  </si>
  <si>
    <t>котельная  с. Троицкое</t>
  </si>
  <si>
    <t>котельная  с. Октябрьское</t>
  </si>
  <si>
    <t>по МУП "ЖКХ"  на  2018 год</t>
  </si>
  <si>
    <t>котельная  с. Майское</t>
  </si>
  <si>
    <t>Директор    МУП "ЖКХ"</t>
  </si>
  <si>
    <t>=</t>
  </si>
  <si>
    <t>налог на землю</t>
  </si>
  <si>
    <t>аренда транспорта общеэксп назнач</t>
  </si>
  <si>
    <t>аренда автотранспорта</t>
  </si>
  <si>
    <t>План на 2018 год</t>
  </si>
  <si>
    <t>на  2019год (ВОДОСНАБЖЕНИЕ, ВОДООТВЕДЕНИЕ)</t>
  </si>
  <si>
    <t>План ФХД на 2019год</t>
  </si>
  <si>
    <t>Аренда спецтехники</t>
  </si>
  <si>
    <t xml:space="preserve">Ханкайского муниципального района Приморского края на  2019 год </t>
  </si>
  <si>
    <t>ВСЕГО НА  ГОД</t>
  </si>
  <si>
    <t>УТВЕРЖДЕН</t>
  </si>
  <si>
    <t>постановлением Администрации</t>
  </si>
  <si>
    <t>муниципального района</t>
  </si>
  <si>
    <t>от 18.12.2018 №  902-па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</si>
</sst>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7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Arial"/>
      <family val="2"/>
      <charset val="204"/>
    </font>
    <font>
      <sz val="11"/>
      <color indexed="58"/>
      <name val="Times New Roman Cyr"/>
      <family val="1"/>
      <charset val="204"/>
    </font>
    <font>
      <b/>
      <sz val="11"/>
      <color indexed="12"/>
      <name val="Times New Roman Cyr"/>
      <family val="1"/>
      <charset val="204"/>
    </font>
    <font>
      <sz val="11"/>
      <color indexed="12"/>
      <name val="Times New Roman Cyr"/>
      <family val="1"/>
      <charset val="204"/>
    </font>
    <font>
      <sz val="11"/>
      <color indexed="18"/>
      <name val="Times New Roman Cyr"/>
      <family val="1"/>
      <charset val="204"/>
    </font>
    <font>
      <sz val="11"/>
      <name val="Times New Roman Cyr"/>
      <charset val="204"/>
    </font>
    <font>
      <vertAlign val="superscript"/>
      <sz val="11"/>
      <name val="Times New Roman Cyr"/>
      <family val="1"/>
      <charset val="204"/>
    </font>
    <font>
      <b/>
      <sz val="11"/>
      <color indexed="18"/>
      <name val="Times New Roman Cyr"/>
      <family val="1"/>
      <charset val="204"/>
    </font>
    <font>
      <b/>
      <sz val="11"/>
      <color indexed="12"/>
      <name val="Times New Roman Cyr"/>
      <charset val="204"/>
    </font>
    <font>
      <b/>
      <i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bgColor theme="0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medium">
        <color indexed="5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58"/>
      </top>
      <bottom/>
      <diagonal/>
    </border>
    <border>
      <left style="thin">
        <color indexed="64"/>
      </left>
      <right/>
      <top style="medium">
        <color indexed="5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thin">
        <color indexed="64"/>
      </right>
      <top/>
      <bottom style="medium">
        <color indexed="48"/>
      </bottom>
      <diagonal/>
    </border>
    <border>
      <left style="thin">
        <color indexed="64"/>
      </left>
      <right/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thin">
        <color indexed="64"/>
      </right>
      <top/>
      <bottom style="medium">
        <color indexed="58"/>
      </bottom>
      <diagonal/>
    </border>
    <border>
      <left style="thin">
        <color indexed="64"/>
      </left>
      <right/>
      <top style="thin">
        <color indexed="64"/>
      </top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</cellStyleXfs>
  <cellXfs count="300">
    <xf numFmtId="0" fontId="0" fillId="0" borderId="0" xfId="0"/>
    <xf numFmtId="0" fontId="0" fillId="0" borderId="1" xfId="0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4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4" fontId="21" fillId="0" borderId="1" xfId="0" applyNumberFormat="1" applyFont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4" fontId="20" fillId="0" borderId="1" xfId="0" applyNumberFormat="1" applyFont="1" applyBorder="1" applyAlignment="1">
      <alignment vertical="center" wrapText="1"/>
    </xf>
    <xf numFmtId="4" fontId="22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4" fontId="13" fillId="0" borderId="7" xfId="0" applyNumberFormat="1" applyFont="1" applyBorder="1" applyAlignment="1">
      <alignment vertical="center" wrapText="1"/>
    </xf>
    <xf numFmtId="4" fontId="17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23" fillId="0" borderId="1" xfId="0" applyNumberFormat="1" applyFon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0" fillId="0" borderId="0" xfId="0" applyNumberFormat="1"/>
    <xf numFmtId="0" fontId="13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4" fontId="27" fillId="0" borderId="1" xfId="0" applyNumberFormat="1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0" fillId="0" borderId="0" xfId="0" applyBorder="1"/>
    <xf numFmtId="4" fontId="13" fillId="0" borderId="0" xfId="0" applyNumberFormat="1" applyFont="1" applyBorder="1" applyAlignment="1">
      <alignment vertical="center" wrapText="1"/>
    </xf>
    <xf numFmtId="0" fontId="31" fillId="0" borderId="0" xfId="0" applyFont="1"/>
    <xf numFmtId="4" fontId="31" fillId="0" borderId="0" xfId="0" applyNumberFormat="1" applyFont="1"/>
    <xf numFmtId="0" fontId="3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4" fontId="28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4" fontId="29" fillId="0" borderId="1" xfId="0" applyNumberFormat="1" applyFont="1" applyBorder="1" applyAlignment="1">
      <alignment vertical="center" wrapText="1"/>
    </xf>
    <xf numFmtId="4" fontId="31" fillId="0" borderId="1" xfId="0" applyNumberFormat="1" applyFont="1" applyBorder="1" applyAlignment="1">
      <alignment vertical="center" wrapText="1"/>
    </xf>
    <xf numFmtId="4" fontId="28" fillId="3" borderId="1" xfId="0" applyNumberFormat="1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34" fillId="0" borderId="0" xfId="0" applyFont="1"/>
    <xf numFmtId="0" fontId="35" fillId="0" borderId="0" xfId="0" applyFont="1"/>
    <xf numFmtId="0" fontId="34" fillId="0" borderId="0" xfId="0" applyFont="1" applyFill="1"/>
    <xf numFmtId="43" fontId="34" fillId="0" borderId="0" xfId="1" applyFont="1"/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34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indent="3"/>
    </xf>
    <xf numFmtId="0" fontId="35" fillId="0" borderId="6" xfId="0" applyFont="1" applyBorder="1" applyAlignment="1">
      <alignment horizontal="center" vertical="center" wrapText="1"/>
    </xf>
    <xf numFmtId="0" fontId="34" fillId="0" borderId="5" xfId="0" applyFont="1" applyBorder="1" applyAlignment="1"/>
    <xf numFmtId="0" fontId="34" fillId="0" borderId="6" xfId="0" applyFont="1" applyBorder="1" applyAlignment="1"/>
    <xf numFmtId="0" fontId="34" fillId="0" borderId="6" xfId="0" applyFont="1" applyFill="1" applyBorder="1" applyAlignment="1"/>
    <xf numFmtId="43" fontId="34" fillId="0" borderId="7" xfId="1" applyFont="1" applyBorder="1" applyAlignment="1"/>
    <xf numFmtId="0" fontId="34" fillId="4" borderId="1" xfId="0" applyFont="1" applyFill="1" applyBorder="1" applyAlignment="1">
      <alignment horizontal="center" vertical="center"/>
    </xf>
    <xf numFmtId="0" fontId="34" fillId="4" borderId="17" xfId="0" applyFont="1" applyFill="1" applyBorder="1" applyAlignment="1">
      <alignment horizontal="center" vertical="center"/>
    </xf>
    <xf numFmtId="164" fontId="34" fillId="4" borderId="1" xfId="0" applyNumberFormat="1" applyFont="1" applyFill="1" applyBorder="1" applyAlignment="1">
      <alignment horizontal="right" vertical="center" wrapText="1"/>
    </xf>
    <xf numFmtId="164" fontId="34" fillId="0" borderId="1" xfId="0" applyNumberFormat="1" applyFont="1" applyBorder="1" applyAlignment="1">
      <alignment horizontal="right" vertical="center" wrapText="1"/>
    </xf>
    <xf numFmtId="164" fontId="35" fillId="0" borderId="1" xfId="0" applyNumberFormat="1" applyFont="1" applyBorder="1" applyAlignment="1">
      <alignment horizontal="right"/>
    </xf>
    <xf numFmtId="164" fontId="35" fillId="0" borderId="1" xfId="1" applyNumberFormat="1" applyFont="1" applyBorder="1" applyAlignment="1">
      <alignment horizontal="right"/>
    </xf>
    <xf numFmtId="0" fontId="34" fillId="3" borderId="1" xfId="0" applyFont="1" applyFill="1" applyBorder="1" applyAlignment="1">
      <alignment horizontal="center" vertical="center"/>
    </xf>
    <xf numFmtId="0" fontId="34" fillId="3" borderId="17" xfId="0" applyFont="1" applyFill="1" applyBorder="1" applyAlignment="1">
      <alignment horizontal="center" vertical="center"/>
    </xf>
    <xf numFmtId="164" fontId="34" fillId="3" borderId="1" xfId="0" applyNumberFormat="1" applyFont="1" applyFill="1" applyBorder="1" applyAlignment="1">
      <alignment horizontal="right" vertical="center" wrapText="1"/>
    </xf>
    <xf numFmtId="164" fontId="37" fillId="3" borderId="1" xfId="0" applyNumberFormat="1" applyFont="1" applyFill="1" applyBorder="1" applyAlignment="1">
      <alignment horizontal="right" vertical="center" wrapText="1"/>
    </xf>
    <xf numFmtId="164" fontId="35" fillId="3" borderId="1" xfId="0" applyNumberFormat="1" applyFont="1" applyFill="1" applyBorder="1" applyAlignment="1">
      <alignment horizontal="right"/>
    </xf>
    <xf numFmtId="164" fontId="38" fillId="3" borderId="1" xfId="0" applyNumberFormat="1" applyFont="1" applyFill="1" applyBorder="1" applyAlignment="1">
      <alignment horizontal="right" vertical="center" wrapText="1"/>
    </xf>
    <xf numFmtId="164" fontId="35" fillId="3" borderId="1" xfId="1" applyNumberFormat="1" applyFont="1" applyFill="1" applyBorder="1" applyAlignment="1">
      <alignment horizontal="right"/>
    </xf>
    <xf numFmtId="0" fontId="35" fillId="3" borderId="1" xfId="0" applyFont="1" applyFill="1" applyBorder="1" applyAlignment="1">
      <alignment horizontal="center" vertical="center"/>
    </xf>
    <xf numFmtId="164" fontId="38" fillId="3" borderId="1" xfId="1" applyNumberFormat="1" applyFont="1" applyFill="1" applyBorder="1" applyAlignment="1">
      <alignment horizontal="right" vertical="center" wrapText="1"/>
    </xf>
    <xf numFmtId="164" fontId="39" fillId="3" borderId="1" xfId="0" applyNumberFormat="1" applyFont="1" applyFill="1" applyBorder="1" applyAlignment="1">
      <alignment horizontal="right" vertical="center" wrapText="1"/>
    </xf>
    <xf numFmtId="164" fontId="38" fillId="3" borderId="1" xfId="0" applyNumberFormat="1" applyFont="1" applyFill="1" applyBorder="1" applyAlignment="1">
      <alignment horizontal="right"/>
    </xf>
    <xf numFmtId="49" fontId="34" fillId="3" borderId="1" xfId="0" applyNumberFormat="1" applyFont="1" applyFill="1" applyBorder="1" applyAlignment="1">
      <alignment horizontal="center" vertical="center"/>
    </xf>
    <xf numFmtId="49" fontId="34" fillId="3" borderId="19" xfId="0" applyNumberFormat="1" applyFont="1" applyFill="1" applyBorder="1" applyAlignment="1">
      <alignment horizontal="center" vertical="center"/>
    </xf>
    <xf numFmtId="164" fontId="39" fillId="3" borderId="19" xfId="0" applyNumberFormat="1" applyFont="1" applyFill="1" applyBorder="1" applyAlignment="1">
      <alignment horizontal="right" vertical="center" wrapText="1"/>
    </xf>
    <xf numFmtId="164" fontId="38" fillId="3" borderId="19" xfId="0" applyNumberFormat="1" applyFont="1" applyFill="1" applyBorder="1" applyAlignment="1">
      <alignment horizontal="right"/>
    </xf>
    <xf numFmtId="164" fontId="38" fillId="3" borderId="19" xfId="1" applyNumberFormat="1" applyFont="1" applyFill="1" applyBorder="1" applyAlignment="1">
      <alignment horizontal="right"/>
    </xf>
    <xf numFmtId="0" fontId="34" fillId="3" borderId="20" xfId="0" applyFont="1" applyFill="1" applyBorder="1" applyAlignment="1">
      <alignment horizontal="center" vertical="center"/>
    </xf>
    <xf numFmtId="0" fontId="34" fillId="3" borderId="20" xfId="0" applyFont="1" applyFill="1" applyBorder="1" applyAlignment="1">
      <alignment horizontal="left" vertical="center" wrapText="1"/>
    </xf>
    <xf numFmtId="0" fontId="34" fillId="3" borderId="22" xfId="0" applyFont="1" applyFill="1" applyBorder="1" applyAlignment="1">
      <alignment horizontal="center" vertical="center"/>
    </xf>
    <xf numFmtId="164" fontId="34" fillId="3" borderId="20" xfId="0" applyNumberFormat="1" applyFont="1" applyFill="1" applyBorder="1" applyAlignment="1">
      <alignment horizontal="right" vertical="center" wrapText="1"/>
    </xf>
    <xf numFmtId="164" fontId="35" fillId="3" borderId="20" xfId="0" applyNumberFormat="1" applyFont="1" applyFill="1" applyBorder="1" applyAlignment="1">
      <alignment horizontal="right"/>
    </xf>
    <xf numFmtId="0" fontId="34" fillId="3" borderId="23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left" vertical="center" wrapText="1"/>
    </xf>
    <xf numFmtId="0" fontId="34" fillId="3" borderId="25" xfId="0" applyFont="1" applyFill="1" applyBorder="1" applyAlignment="1">
      <alignment horizontal="center" vertical="center"/>
    </xf>
    <xf numFmtId="164" fontId="34" fillId="3" borderId="23" xfId="0" applyNumberFormat="1" applyFont="1" applyFill="1" applyBorder="1" applyAlignment="1">
      <alignment horizontal="right" vertical="center" wrapText="1"/>
    </xf>
    <xf numFmtId="164" fontId="35" fillId="3" borderId="23" xfId="0" applyNumberFormat="1" applyFont="1" applyFill="1" applyBorder="1" applyAlignment="1">
      <alignment horizontal="right"/>
    </xf>
    <xf numFmtId="4" fontId="34" fillId="3" borderId="20" xfId="0" applyNumberFormat="1" applyFont="1" applyFill="1" applyBorder="1" applyAlignment="1">
      <alignment horizontal="right" vertical="center" wrapText="1"/>
    </xf>
    <xf numFmtId="4" fontId="37" fillId="3" borderId="4" xfId="0" applyNumberFormat="1" applyFont="1" applyFill="1" applyBorder="1" applyAlignment="1">
      <alignment horizontal="right" vertical="center" wrapText="1"/>
    </xf>
    <xf numFmtId="4" fontId="35" fillId="3" borderId="20" xfId="0" applyNumberFormat="1" applyFont="1" applyFill="1" applyBorder="1" applyAlignment="1">
      <alignment horizontal="right"/>
    </xf>
    <xf numFmtId="164" fontId="37" fillId="3" borderId="4" xfId="0" applyNumberFormat="1" applyFont="1" applyFill="1" applyBorder="1" applyAlignment="1">
      <alignment horizontal="right" vertical="center" wrapText="1"/>
    </xf>
    <xf numFmtId="0" fontId="34" fillId="3" borderId="1" xfId="0" applyFont="1" applyFill="1" applyBorder="1" applyAlignment="1">
      <alignment horizontal="left" vertical="center" wrapText="1"/>
    </xf>
    <xf numFmtId="0" fontId="34" fillId="3" borderId="5" xfId="0" applyFont="1" applyFill="1" applyBorder="1" applyAlignment="1">
      <alignment horizontal="center" vertical="center"/>
    </xf>
    <xf numFmtId="164" fontId="40" fillId="3" borderId="1" xfId="0" applyNumberFormat="1" applyFont="1" applyFill="1" applyBorder="1" applyAlignment="1">
      <alignment horizontal="right" vertical="center" wrapText="1"/>
    </xf>
    <xf numFmtId="16" fontId="34" fillId="3" borderId="19" xfId="0" applyNumberFormat="1" applyFont="1" applyFill="1" applyBorder="1" applyAlignment="1">
      <alignment horizontal="center" vertical="center"/>
    </xf>
    <xf numFmtId="0" fontId="41" fillId="3" borderId="19" xfId="0" applyFont="1" applyFill="1" applyBorder="1" applyAlignment="1">
      <alignment horizontal="left" vertical="center" wrapText="1"/>
    </xf>
    <xf numFmtId="0" fontId="34" fillId="3" borderId="27" xfId="0" applyFont="1" applyFill="1" applyBorder="1" applyAlignment="1">
      <alignment horizontal="center" vertical="center"/>
    </xf>
    <xf numFmtId="164" fontId="34" fillId="3" borderId="19" xfId="0" applyNumberFormat="1" applyFont="1" applyFill="1" applyBorder="1" applyAlignment="1">
      <alignment horizontal="right" vertical="center" wrapText="1"/>
    </xf>
    <xf numFmtId="164" fontId="37" fillId="3" borderId="28" xfId="0" applyNumberFormat="1" applyFont="1" applyFill="1" applyBorder="1" applyAlignment="1">
      <alignment horizontal="right" vertical="center" wrapText="1"/>
    </xf>
    <xf numFmtId="164" fontId="35" fillId="3" borderId="19" xfId="0" applyNumberFormat="1" applyFont="1" applyFill="1" applyBorder="1" applyAlignment="1">
      <alignment horizontal="right"/>
    </xf>
    <xf numFmtId="0" fontId="34" fillId="3" borderId="4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left" vertical="center" wrapText="1"/>
    </xf>
    <xf numFmtId="164" fontId="34" fillId="3" borderId="4" xfId="0" applyNumberFormat="1" applyFont="1" applyFill="1" applyBorder="1" applyAlignment="1">
      <alignment horizontal="right" vertical="center" wrapText="1"/>
    </xf>
    <xf numFmtId="164" fontId="35" fillId="3" borderId="4" xfId="0" applyNumberFormat="1" applyFont="1" applyFill="1" applyBorder="1" applyAlignment="1">
      <alignment horizontal="right"/>
    </xf>
    <xf numFmtId="164" fontId="35" fillId="3" borderId="4" xfId="1" applyNumberFormat="1" applyFont="1" applyFill="1" applyBorder="1" applyAlignment="1">
      <alignment horizontal="right"/>
    </xf>
    <xf numFmtId="4" fontId="35" fillId="3" borderId="5" xfId="0" applyNumberFormat="1" applyFont="1" applyFill="1" applyBorder="1" applyAlignment="1">
      <alignment horizontal="left" vertical="center" indent="3"/>
    </xf>
    <xf numFmtId="4" fontId="34" fillId="3" borderId="5" xfId="0" applyNumberFormat="1" applyFont="1" applyFill="1" applyBorder="1" applyAlignment="1">
      <alignment horizontal="right"/>
    </xf>
    <xf numFmtId="4" fontId="34" fillId="3" borderId="7" xfId="0" applyNumberFormat="1" applyFont="1" applyFill="1" applyBorder="1" applyAlignment="1">
      <alignment horizontal="right"/>
    </xf>
    <xf numFmtId="4" fontId="34" fillId="5" borderId="6" xfId="0" applyNumberFormat="1" applyFont="1" applyFill="1" applyBorder="1" applyAlignment="1">
      <alignment horizontal="right"/>
    </xf>
    <xf numFmtId="164" fontId="34" fillId="5" borderId="6" xfId="0" applyNumberFormat="1" applyFont="1" applyFill="1" applyBorder="1" applyAlignment="1">
      <alignment horizontal="right"/>
    </xf>
    <xf numFmtId="164" fontId="34" fillId="5" borderId="7" xfId="0" applyNumberFormat="1" applyFont="1" applyFill="1" applyBorder="1" applyAlignment="1">
      <alignment horizontal="right"/>
    </xf>
    <xf numFmtId="164" fontId="34" fillId="5" borderId="5" xfId="0" applyNumberFormat="1" applyFont="1" applyFill="1" applyBorder="1" applyAlignment="1">
      <alignment horizontal="right"/>
    </xf>
    <xf numFmtId="164" fontId="34" fillId="5" borderId="1" xfId="0" applyNumberFormat="1" applyFont="1" applyFill="1" applyBorder="1" applyAlignment="1">
      <alignment horizontal="right"/>
    </xf>
    <xf numFmtId="16" fontId="34" fillId="3" borderId="1" xfId="0" applyNumberFormat="1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left" vertical="center"/>
    </xf>
    <xf numFmtId="0" fontId="34" fillId="3" borderId="7" xfId="0" applyFont="1" applyFill="1" applyBorder="1" applyAlignment="1">
      <alignment horizontal="left" vertical="center"/>
    </xf>
    <xf numFmtId="0" fontId="34" fillId="3" borderId="5" xfId="0" applyFont="1" applyFill="1" applyBorder="1" applyAlignment="1">
      <alignment horizontal="left" vertical="center" indent="3"/>
    </xf>
    <xf numFmtId="0" fontId="34" fillId="3" borderId="7" xfId="0" applyFont="1" applyFill="1" applyBorder="1" applyAlignment="1">
      <alignment horizontal="left" vertical="center" indent="3"/>
    </xf>
    <xf numFmtId="0" fontId="34" fillId="3" borderId="0" xfId="0" applyFont="1" applyFill="1"/>
    <xf numFmtId="0" fontId="35" fillId="3" borderId="5" xfId="0" applyFont="1" applyFill="1" applyBorder="1" applyAlignment="1">
      <alignment horizontal="center" vertical="center"/>
    </xf>
    <xf numFmtId="164" fontId="43" fillId="3" borderId="1" xfId="1" applyNumberFormat="1" applyFont="1" applyFill="1" applyBorder="1" applyAlignment="1">
      <alignment horizontal="right" vertical="center" wrapText="1"/>
    </xf>
    <xf numFmtId="164" fontId="44" fillId="3" borderId="1" xfId="0" applyNumberFormat="1" applyFont="1" applyFill="1" applyBorder="1" applyAlignment="1">
      <alignment horizontal="right" vertical="center" wrapText="1"/>
    </xf>
    <xf numFmtId="4" fontId="35" fillId="3" borderId="1" xfId="2" applyNumberFormat="1" applyFont="1" applyFill="1" applyBorder="1" applyAlignment="1">
      <alignment horizontal="right" vertical="center" wrapText="1"/>
    </xf>
    <xf numFmtId="4" fontId="35" fillId="3" borderId="1" xfId="0" applyNumberFormat="1" applyFont="1" applyFill="1" applyBorder="1" applyAlignment="1">
      <alignment horizontal="right" vertical="center" wrapText="1"/>
    </xf>
    <xf numFmtId="4" fontId="38" fillId="3" borderId="1" xfId="0" applyNumberFormat="1" applyFont="1" applyFill="1" applyBorder="1" applyAlignment="1">
      <alignment horizontal="right" vertical="center" wrapText="1"/>
    </xf>
    <xf numFmtId="4" fontId="35" fillId="3" borderId="1" xfId="0" applyNumberFormat="1" applyFont="1" applyFill="1" applyBorder="1" applyAlignment="1">
      <alignment horizontal="right"/>
    </xf>
    <xf numFmtId="4" fontId="35" fillId="3" borderId="1" xfId="1" applyNumberFormat="1" applyFont="1" applyFill="1" applyBorder="1" applyAlignment="1">
      <alignment horizontal="right"/>
    </xf>
    <xf numFmtId="4" fontId="34" fillId="3" borderId="1" xfId="0" applyNumberFormat="1" applyFont="1" applyFill="1" applyBorder="1" applyAlignment="1">
      <alignment horizontal="right" vertical="center" wrapText="1"/>
    </xf>
    <xf numFmtId="4" fontId="39" fillId="3" borderId="1" xfId="0" applyNumberFormat="1" applyFont="1" applyFill="1" applyBorder="1" applyAlignment="1">
      <alignment horizontal="right" vertical="center" wrapText="1"/>
    </xf>
    <xf numFmtId="4" fontId="44" fillId="3" borderId="1" xfId="0" applyNumberFormat="1" applyFont="1" applyFill="1" applyBorder="1" applyAlignment="1">
      <alignment horizontal="right" vertical="center" wrapText="1"/>
    </xf>
    <xf numFmtId="164" fontId="35" fillId="3" borderId="1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43" fontId="34" fillId="0" borderId="0" xfId="1" applyFont="1" applyAlignment="1">
      <alignment horizontal="center" vertical="center"/>
    </xf>
    <xf numFmtId="43" fontId="34" fillId="0" borderId="0" xfId="1" applyFont="1" applyFill="1" applyAlignment="1">
      <alignment horizontal="center" vertical="center"/>
    </xf>
    <xf numFmtId="164" fontId="39" fillId="0" borderId="1" xfId="0" applyNumberFormat="1" applyFont="1" applyBorder="1" applyAlignment="1">
      <alignment horizontal="right" vertical="center" wrapText="1"/>
    </xf>
    <xf numFmtId="4" fontId="34" fillId="0" borderId="0" xfId="0" applyNumberFormat="1" applyFont="1" applyAlignment="1">
      <alignment horizontal="left"/>
    </xf>
    <xf numFmtId="4" fontId="34" fillId="0" borderId="0" xfId="0" applyNumberFormat="1" applyFont="1"/>
    <xf numFmtId="4" fontId="34" fillId="0" borderId="0" xfId="0" applyNumberFormat="1" applyFont="1" applyFill="1"/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34" fillId="6" borderId="0" xfId="0" applyFont="1" applyFill="1" applyBorder="1" applyAlignment="1">
      <alignment horizontal="center" vertical="center"/>
    </xf>
    <xf numFmtId="0" fontId="34" fillId="0" borderId="0" xfId="0" applyFont="1" applyBorder="1"/>
    <xf numFmtId="0" fontId="34" fillId="0" borderId="0" xfId="0" applyFont="1" applyFill="1" applyBorder="1"/>
    <xf numFmtId="9" fontId="34" fillId="0" borderId="0" xfId="0" applyNumberFormat="1" applyFont="1" applyBorder="1"/>
    <xf numFmtId="43" fontId="34" fillId="0" borderId="0" xfId="1" applyFont="1" applyBorder="1"/>
    <xf numFmtId="43" fontId="34" fillId="0" borderId="0" xfId="1" applyFont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4" fontId="13" fillId="3" borderId="1" xfId="0" applyNumberFormat="1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 wrapText="1"/>
    </xf>
    <xf numFmtId="4" fontId="20" fillId="3" borderId="1" xfId="0" applyNumberFormat="1" applyFont="1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0" fontId="0" fillId="3" borderId="0" xfId="0" applyFill="1"/>
    <xf numFmtId="0" fontId="2" fillId="0" borderId="5" xfId="0" applyFont="1" applyBorder="1" applyAlignment="1">
      <alignment vertical="center" wrapText="1"/>
    </xf>
    <xf numFmtId="165" fontId="0" fillId="3" borderId="1" xfId="0" applyNumberFormat="1" applyFill="1" applyBorder="1" applyAlignment="1">
      <alignment vertical="center" wrapText="1"/>
    </xf>
    <xf numFmtId="165" fontId="0" fillId="3" borderId="2" xfId="0" applyNumberFormat="1" applyFill="1" applyBorder="1" applyAlignment="1">
      <alignment vertical="center" wrapText="1"/>
    </xf>
    <xf numFmtId="165" fontId="20" fillId="3" borderId="1" xfId="0" applyNumberFormat="1" applyFont="1" applyFill="1" applyBorder="1" applyAlignment="1">
      <alignment vertical="center" wrapText="1"/>
    </xf>
    <xf numFmtId="165" fontId="13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3" fillId="3" borderId="7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21" fillId="3" borderId="1" xfId="0" applyNumberFormat="1" applyFont="1" applyFill="1" applyBorder="1" applyAlignment="1">
      <alignment vertical="center" wrapText="1"/>
    </xf>
    <xf numFmtId="4" fontId="26" fillId="3" borderId="1" xfId="0" applyNumberFormat="1" applyFont="1" applyFill="1" applyBorder="1" applyAlignment="1">
      <alignment vertical="center" wrapText="1"/>
    </xf>
    <xf numFmtId="4" fontId="22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4" fontId="27" fillId="3" borderId="1" xfId="0" applyNumberFormat="1" applyFont="1" applyFill="1" applyBorder="1" applyAlignment="1">
      <alignment vertical="center" wrapText="1"/>
    </xf>
    <xf numFmtId="4" fontId="14" fillId="3" borderId="1" xfId="0" applyNumberFormat="1" applyFont="1" applyFill="1" applyBorder="1" applyAlignment="1">
      <alignment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4" fontId="45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3" xfId="0" applyFont="1" applyBorder="1" applyAlignment="1">
      <alignment wrapText="1"/>
    </xf>
    <xf numFmtId="0" fontId="34" fillId="0" borderId="15" xfId="0" applyFont="1" applyBorder="1" applyAlignment="1">
      <alignment wrapText="1"/>
    </xf>
    <xf numFmtId="0" fontId="34" fillId="0" borderId="16" xfId="0" applyFont="1" applyBorder="1" applyAlignment="1">
      <alignment wrapText="1"/>
    </xf>
    <xf numFmtId="0" fontId="34" fillId="0" borderId="17" xfId="0" applyFont="1" applyBorder="1" applyAlignment="1">
      <alignment wrapText="1"/>
    </xf>
    <xf numFmtId="0" fontId="34" fillId="0" borderId="18" xfId="0" applyFont="1" applyBorder="1" applyAlignment="1">
      <alignment wrapText="1"/>
    </xf>
    <xf numFmtId="0" fontId="34" fillId="0" borderId="3" xfId="0" applyFont="1" applyBorder="1" applyAlignment="1">
      <alignment wrapText="1"/>
    </xf>
    <xf numFmtId="0" fontId="34" fillId="0" borderId="4" xfId="0" applyFont="1" applyBorder="1" applyAlignment="1">
      <alignment wrapText="1"/>
    </xf>
    <xf numFmtId="0" fontId="34" fillId="0" borderId="13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5" fillId="0" borderId="3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43" fontId="35" fillId="0" borderId="1" xfId="1" applyFont="1" applyBorder="1" applyAlignment="1">
      <alignment horizontal="center" vertical="center" wrapText="1"/>
    </xf>
    <xf numFmtId="43" fontId="35" fillId="0" borderId="1" xfId="1" applyFont="1" applyBorder="1" applyAlignment="1">
      <alignment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3" borderId="19" xfId="0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left" vertical="center" wrapText="1"/>
    </xf>
    <xf numFmtId="0" fontId="35" fillId="3" borderId="5" xfId="0" applyFont="1" applyFill="1" applyBorder="1" applyAlignment="1">
      <alignment horizontal="left" vertical="center" wrapText="1"/>
    </xf>
    <xf numFmtId="0" fontId="35" fillId="3" borderId="7" xfId="0" applyFont="1" applyFill="1" applyBorder="1" applyAlignment="1">
      <alignment horizontal="left" vertical="center" wrapText="1"/>
    </xf>
    <xf numFmtId="0" fontId="34" fillId="3" borderId="5" xfId="0" applyFont="1" applyFill="1" applyBorder="1" applyAlignment="1">
      <alignment horizontal="left" vertical="center" wrapText="1"/>
    </xf>
    <xf numFmtId="0" fontId="34" fillId="3" borderId="7" xfId="0" applyFont="1" applyFill="1" applyBorder="1" applyAlignment="1">
      <alignment horizontal="left" vertical="center" wrapText="1"/>
    </xf>
    <xf numFmtId="0" fontId="34" fillId="3" borderId="5" xfId="0" applyFont="1" applyFill="1" applyBorder="1" applyAlignment="1">
      <alignment horizontal="left" vertical="center"/>
    </xf>
    <xf numFmtId="0" fontId="34" fillId="3" borderId="7" xfId="0" applyFont="1" applyFill="1" applyBorder="1" applyAlignment="1">
      <alignment horizontal="left" vertical="center"/>
    </xf>
    <xf numFmtId="0" fontId="34" fillId="3" borderId="21" xfId="0" applyFont="1" applyFill="1" applyBorder="1" applyAlignment="1">
      <alignment horizontal="left" vertical="center" wrapText="1"/>
    </xf>
    <xf numFmtId="0" fontId="34" fillId="3" borderId="24" xfId="0" applyFont="1" applyFill="1" applyBorder="1" applyAlignment="1">
      <alignment horizontal="left" vertical="center" wrapText="1"/>
    </xf>
    <xf numFmtId="0" fontId="34" fillId="3" borderId="21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34" fillId="3" borderId="26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left" vertical="center" wrapText="1"/>
    </xf>
    <xf numFmtId="0" fontId="34" fillId="3" borderId="4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left" vertical="center"/>
    </xf>
    <xf numFmtId="0" fontId="34" fillId="3" borderId="5" xfId="0" applyFont="1" applyFill="1" applyBorder="1" applyAlignment="1">
      <alignment horizontal="left" vertical="center" indent="5"/>
    </xf>
    <xf numFmtId="0" fontId="34" fillId="3" borderId="7" xfId="0" applyFont="1" applyFill="1" applyBorder="1" applyAlignment="1">
      <alignment horizontal="left" vertical="center" indent="5"/>
    </xf>
    <xf numFmtId="0" fontId="34" fillId="3" borderId="5" xfId="0" applyFont="1" applyFill="1" applyBorder="1" applyAlignment="1">
      <alignment horizontal="left" vertical="center" indent="3"/>
    </xf>
    <xf numFmtId="0" fontId="34" fillId="3" borderId="7" xfId="0" applyFont="1" applyFill="1" applyBorder="1" applyAlignment="1">
      <alignment horizontal="left" vertical="center" indent="3"/>
    </xf>
    <xf numFmtId="0" fontId="36" fillId="3" borderId="7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left" vertical="center" indent="3"/>
    </xf>
    <xf numFmtId="0" fontId="35" fillId="3" borderId="5" xfId="0" applyFont="1" applyFill="1" applyBorder="1" applyAlignment="1">
      <alignment vertical="center" wrapText="1"/>
    </xf>
    <xf numFmtId="0" fontId="35" fillId="3" borderId="7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6" fillId="0" borderId="0" xfId="0" applyFont="1" applyAlignment="1">
      <alignment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0"/>
  <sheetViews>
    <sheetView view="pageBreakPreview" zoomScale="60" zoomScaleNormal="100" workbookViewId="0">
      <selection activeCell="C22" sqref="C22"/>
    </sheetView>
  </sheetViews>
  <sheetFormatPr defaultRowHeight="15" x14ac:dyDescent="0.25"/>
  <cols>
    <col min="1" max="1" width="39.42578125" customWidth="1"/>
    <col min="2" max="2" width="13.42578125" customWidth="1"/>
    <col min="3" max="3" width="14.5703125" customWidth="1"/>
    <col min="4" max="4" width="12.42578125" customWidth="1"/>
    <col min="5" max="6" width="11.7109375" bestFit="1" customWidth="1"/>
    <col min="7" max="7" width="12.5703125" customWidth="1"/>
    <col min="8" max="8" width="12.140625" customWidth="1"/>
    <col min="9" max="9" width="11.7109375" bestFit="1" customWidth="1"/>
    <col min="10" max="10" width="10.7109375" bestFit="1" customWidth="1"/>
    <col min="11" max="11" width="13.5703125" customWidth="1"/>
    <col min="12" max="12" width="12.85546875" customWidth="1"/>
    <col min="13" max="13" width="11.5703125" bestFit="1" customWidth="1"/>
    <col min="14" max="15" width="11.7109375" bestFit="1" customWidth="1"/>
    <col min="16" max="16" width="12.85546875" customWidth="1"/>
    <col min="17" max="17" width="12.140625" customWidth="1"/>
    <col min="18" max="18" width="9.28515625" bestFit="1" customWidth="1"/>
    <col min="19" max="19" width="11.7109375" bestFit="1" customWidth="1"/>
    <col min="20" max="20" width="11.85546875" bestFit="1" customWidth="1"/>
    <col min="21" max="21" width="13.140625" customWidth="1"/>
    <col min="22" max="22" width="11.7109375" customWidth="1"/>
    <col min="23" max="23" width="11.5703125" bestFit="1" customWidth="1"/>
  </cols>
  <sheetData>
    <row r="1" spans="1:23" ht="21" x14ac:dyDescent="0.35">
      <c r="F1" s="6"/>
      <c r="G1" s="6"/>
      <c r="H1" s="6"/>
      <c r="I1" s="6"/>
      <c r="J1" s="226" t="s">
        <v>0</v>
      </c>
      <c r="K1" s="226"/>
      <c r="L1" s="226"/>
      <c r="M1" s="6"/>
      <c r="N1" s="6"/>
      <c r="O1" s="6"/>
      <c r="P1" s="6"/>
      <c r="Q1" s="6"/>
      <c r="R1" s="6"/>
      <c r="S1" s="6"/>
      <c r="T1" s="6"/>
    </row>
    <row r="2" spans="1:23" ht="18.75" x14ac:dyDescent="0.3">
      <c r="E2" s="227" t="s">
        <v>1</v>
      </c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3" ht="18.75" x14ac:dyDescent="0.3">
      <c r="E3" s="227" t="s">
        <v>139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</row>
    <row r="6" spans="1:23" ht="28.5" x14ac:dyDescent="0.25">
      <c r="A6" s="228" t="s">
        <v>22</v>
      </c>
      <c r="B6" s="228" t="s">
        <v>114</v>
      </c>
      <c r="C6" s="228" t="s">
        <v>130</v>
      </c>
      <c r="D6" s="228" t="s">
        <v>302</v>
      </c>
      <c r="E6" s="231" t="s">
        <v>140</v>
      </c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3"/>
    </row>
    <row r="7" spans="1:23" x14ac:dyDescent="0.25">
      <c r="A7" s="229"/>
      <c r="B7" s="229"/>
      <c r="C7" s="229"/>
      <c r="D7" s="229"/>
      <c r="E7" s="234" t="s">
        <v>21</v>
      </c>
      <c r="F7" s="236" t="s">
        <v>20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8"/>
    </row>
    <row r="8" spans="1:23" ht="27" customHeight="1" x14ac:dyDescent="0.25">
      <c r="A8" s="230"/>
      <c r="B8" s="230"/>
      <c r="C8" s="230"/>
      <c r="D8" s="230"/>
      <c r="E8" s="235"/>
      <c r="F8" s="3" t="s">
        <v>2</v>
      </c>
      <c r="G8" s="3" t="s">
        <v>3</v>
      </c>
      <c r="H8" s="3" t="s">
        <v>4</v>
      </c>
      <c r="I8" s="7" t="s">
        <v>5</v>
      </c>
      <c r="J8" s="3" t="s">
        <v>11</v>
      </c>
      <c r="K8" s="3" t="s">
        <v>12</v>
      </c>
      <c r="L8" s="3" t="s">
        <v>13</v>
      </c>
      <c r="M8" s="7" t="s">
        <v>6</v>
      </c>
      <c r="N8" s="7" t="s">
        <v>7</v>
      </c>
      <c r="O8" s="3" t="s">
        <v>14</v>
      </c>
      <c r="P8" s="3" t="s">
        <v>15</v>
      </c>
      <c r="Q8" s="3" t="s">
        <v>16</v>
      </c>
      <c r="R8" s="7" t="s">
        <v>8</v>
      </c>
      <c r="S8" s="7" t="s">
        <v>9</v>
      </c>
      <c r="T8" s="3" t="s">
        <v>17</v>
      </c>
      <c r="U8" s="3" t="s">
        <v>18</v>
      </c>
      <c r="V8" s="3" t="s">
        <v>19</v>
      </c>
      <c r="W8" s="7" t="s">
        <v>10</v>
      </c>
    </row>
    <row r="9" spans="1:23" ht="9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8.25" thickBot="1" x14ac:dyDescent="0.3">
      <c r="A10" s="13" t="s">
        <v>31</v>
      </c>
      <c r="B10" s="53">
        <f>B11+B19+B20+B21</f>
        <v>8661.223</v>
      </c>
      <c r="C10" s="53">
        <f>C11+C19+C20+C21</f>
        <v>4444.0269999999991</v>
      </c>
      <c r="D10" s="54">
        <v>12656.23</v>
      </c>
      <c r="E10" s="45">
        <f>E11+E19+E20+E21</f>
        <v>10507.86473700864</v>
      </c>
      <c r="F10" s="45">
        <f t="shared" ref="F10:V10" si="0">F11+F19+F20+F21</f>
        <v>2373.7351243400963</v>
      </c>
      <c r="G10" s="45">
        <f t="shared" si="0"/>
        <v>1600.1782817992957</v>
      </c>
      <c r="H10" s="45">
        <f t="shared" si="0"/>
        <v>1418.707850426496</v>
      </c>
      <c r="I10" s="45">
        <f>F10+G10+H10</f>
        <v>5392.621256565888</v>
      </c>
      <c r="J10" s="45">
        <f t="shared" si="0"/>
        <v>1448.7618728527359</v>
      </c>
      <c r="K10" s="45">
        <f t="shared" si="0"/>
        <v>0</v>
      </c>
      <c r="L10" s="45">
        <f t="shared" si="0"/>
        <v>0</v>
      </c>
      <c r="M10" s="45">
        <f>J10+K10+L10</f>
        <v>1448.7618728527359</v>
      </c>
      <c r="N10" s="45">
        <f>I10+M10</f>
        <v>6841.3831294186239</v>
      </c>
      <c r="O10" s="45">
        <f t="shared" si="0"/>
        <v>0</v>
      </c>
      <c r="P10" s="45">
        <f t="shared" si="0"/>
        <v>0</v>
      </c>
      <c r="Q10" s="45">
        <f t="shared" si="0"/>
        <v>0</v>
      </c>
      <c r="R10" s="45">
        <f>O10+P10+Q10</f>
        <v>0</v>
      </c>
      <c r="S10" s="45">
        <f>N10+R10</f>
        <v>6841.3831294186239</v>
      </c>
      <c r="T10" s="45">
        <f t="shared" si="0"/>
        <v>595.01879475084797</v>
      </c>
      <c r="U10" s="45">
        <f t="shared" si="0"/>
        <v>1207.855006117632</v>
      </c>
      <c r="V10" s="45">
        <f t="shared" si="0"/>
        <v>1863.6078067215362</v>
      </c>
      <c r="W10" s="45">
        <f>T10+U10+V10</f>
        <v>3666.4816075900162</v>
      </c>
    </row>
    <row r="11" spans="1:23" ht="84" customHeight="1" thickBot="1" x14ac:dyDescent="0.3">
      <c r="A11" s="8" t="s">
        <v>23</v>
      </c>
      <c r="B11" s="53">
        <f>B12+B13+B14+B15+B16+B17+B18</f>
        <v>8225.98</v>
      </c>
      <c r="C11" s="53">
        <f>C12+C13+C14+C15+C16+C17+C18</f>
        <v>4879.2699999999995</v>
      </c>
      <c r="D11" s="54">
        <v>12656.23</v>
      </c>
      <c r="E11" s="45">
        <f>E16</f>
        <v>10507.86473700864</v>
      </c>
      <c r="F11" s="45">
        <f t="shared" ref="F11:H11" si="1">F12+F13+F14+F15+F16</f>
        <v>2373.7351243400963</v>
      </c>
      <c r="G11" s="45">
        <f t="shared" si="1"/>
        <v>1600.1782817992957</v>
      </c>
      <c r="H11" s="45">
        <f t="shared" si="1"/>
        <v>1418.707850426496</v>
      </c>
      <c r="I11" s="45">
        <f t="shared" ref="I11:I87" si="2">F11+G11+H11</f>
        <v>5392.621256565888</v>
      </c>
      <c r="J11" s="45">
        <f>J12+J13+J14+J15+J16</f>
        <v>1448.7618728527359</v>
      </c>
      <c r="K11" s="45">
        <f t="shared" ref="K11:L11" si="3">K12+K13+K14+K15+K16+K17+K18</f>
        <v>0</v>
      </c>
      <c r="L11" s="45">
        <f t="shared" si="3"/>
        <v>0</v>
      </c>
      <c r="M11" s="45">
        <f t="shared" ref="M11:M87" si="4">J11+K11+L11</f>
        <v>1448.7618728527359</v>
      </c>
      <c r="N11" s="45">
        <f t="shared" ref="N11:N87" si="5">I11+M11</f>
        <v>6841.3831294186239</v>
      </c>
      <c r="O11" s="45">
        <f t="shared" ref="O11:Q11" si="6">O12+O13+O14+O15+O16+O17+O18</f>
        <v>0</v>
      </c>
      <c r="P11" s="45">
        <f t="shared" si="6"/>
        <v>0</v>
      </c>
      <c r="Q11" s="45">
        <f t="shared" si="6"/>
        <v>0</v>
      </c>
      <c r="R11" s="45">
        <f t="shared" ref="R11:R87" si="7">O11+P11+Q11</f>
        <v>0</v>
      </c>
      <c r="S11" s="45">
        <f t="shared" ref="S11:S87" si="8">N11+R11</f>
        <v>6841.3831294186239</v>
      </c>
      <c r="T11" s="45">
        <f t="shared" ref="T11:V11" si="9">T12+T13+T14+T15+T16</f>
        <v>595.01879475084797</v>
      </c>
      <c r="U11" s="45">
        <f t="shared" si="9"/>
        <v>1207.855006117632</v>
      </c>
      <c r="V11" s="45">
        <f t="shared" si="9"/>
        <v>1863.6078067215362</v>
      </c>
      <c r="W11" s="45">
        <f t="shared" ref="W11:W87" si="10">T11+U11+V11</f>
        <v>3666.4816075900162</v>
      </c>
    </row>
    <row r="12" spans="1:23" ht="38.25" customHeight="1" thickBot="1" x14ac:dyDescent="0.3">
      <c r="A12" s="9" t="s">
        <v>24</v>
      </c>
      <c r="B12" s="55">
        <v>0</v>
      </c>
      <c r="C12" s="55">
        <v>0</v>
      </c>
      <c r="D12" s="54">
        <v>0</v>
      </c>
      <c r="E12" s="45">
        <v>0</v>
      </c>
      <c r="F12" s="44">
        <v>0</v>
      </c>
      <c r="G12" s="44">
        <v>0</v>
      </c>
      <c r="H12" s="44">
        <v>0</v>
      </c>
      <c r="I12" s="45">
        <v>0</v>
      </c>
      <c r="J12" s="44">
        <v>0</v>
      </c>
      <c r="K12" s="44">
        <v>0</v>
      </c>
      <c r="L12" s="44">
        <v>0</v>
      </c>
      <c r="M12" s="45">
        <v>0</v>
      </c>
      <c r="N12" s="45">
        <v>0</v>
      </c>
      <c r="O12" s="44">
        <v>0</v>
      </c>
      <c r="P12" s="44">
        <v>0</v>
      </c>
      <c r="Q12" s="44">
        <v>0</v>
      </c>
      <c r="R12" s="45">
        <v>0</v>
      </c>
      <c r="S12" s="45">
        <v>0</v>
      </c>
      <c r="T12" s="44">
        <v>0</v>
      </c>
      <c r="U12" s="44">
        <v>0</v>
      </c>
      <c r="V12" s="44">
        <v>0</v>
      </c>
      <c r="W12" s="45">
        <v>0</v>
      </c>
    </row>
    <row r="13" spans="1:23" ht="48" customHeight="1" x14ac:dyDescent="0.25">
      <c r="A13" s="10" t="s">
        <v>25</v>
      </c>
      <c r="B13" s="55">
        <v>0</v>
      </c>
      <c r="C13" s="55">
        <v>0</v>
      </c>
      <c r="D13" s="54">
        <v>0</v>
      </c>
      <c r="E13" s="45">
        <v>0</v>
      </c>
      <c r="F13" s="44">
        <v>0</v>
      </c>
      <c r="G13" s="44">
        <v>0</v>
      </c>
      <c r="H13" s="44">
        <v>0</v>
      </c>
      <c r="I13" s="45">
        <v>0</v>
      </c>
      <c r="J13" s="44">
        <v>0</v>
      </c>
      <c r="K13" s="44">
        <v>0</v>
      </c>
      <c r="L13" s="44">
        <v>0</v>
      </c>
      <c r="M13" s="45">
        <v>0</v>
      </c>
      <c r="N13" s="45">
        <v>0</v>
      </c>
      <c r="O13" s="44">
        <v>0</v>
      </c>
      <c r="P13" s="44">
        <v>0</v>
      </c>
      <c r="Q13" s="44">
        <v>0</v>
      </c>
      <c r="R13" s="45">
        <v>0</v>
      </c>
      <c r="S13" s="45">
        <v>0</v>
      </c>
      <c r="T13" s="44">
        <v>0</v>
      </c>
      <c r="U13" s="44">
        <v>0</v>
      </c>
      <c r="V13" s="44">
        <v>0</v>
      </c>
      <c r="W13" s="45">
        <v>0</v>
      </c>
    </row>
    <row r="14" spans="1:23" ht="21.75" customHeight="1" x14ac:dyDescent="0.25">
      <c r="A14" s="11" t="s">
        <v>26</v>
      </c>
      <c r="B14" s="55">
        <v>0</v>
      </c>
      <c r="C14" s="55">
        <v>0</v>
      </c>
      <c r="D14" s="54">
        <v>0</v>
      </c>
      <c r="E14" s="45">
        <v>0</v>
      </c>
      <c r="F14" s="44">
        <v>0</v>
      </c>
      <c r="G14" s="44">
        <v>0</v>
      </c>
      <c r="H14" s="44">
        <v>0</v>
      </c>
      <c r="I14" s="45">
        <v>0</v>
      </c>
      <c r="J14" s="44">
        <v>0</v>
      </c>
      <c r="K14" s="44">
        <v>0</v>
      </c>
      <c r="L14" s="44">
        <v>0</v>
      </c>
      <c r="M14" s="45">
        <v>0</v>
      </c>
      <c r="N14" s="45">
        <v>0</v>
      </c>
      <c r="O14" s="44">
        <v>0</v>
      </c>
      <c r="P14" s="44">
        <v>0</v>
      </c>
      <c r="Q14" s="44">
        <v>0</v>
      </c>
      <c r="R14" s="45">
        <v>0</v>
      </c>
      <c r="S14" s="45">
        <v>0</v>
      </c>
      <c r="T14" s="44">
        <v>0</v>
      </c>
      <c r="U14" s="44">
        <v>0</v>
      </c>
      <c r="V14" s="44">
        <v>0</v>
      </c>
      <c r="W14" s="45">
        <v>0</v>
      </c>
    </row>
    <row r="15" spans="1:23" ht="38.25" thickBot="1" x14ac:dyDescent="0.3">
      <c r="A15" s="9" t="s">
        <v>27</v>
      </c>
      <c r="B15" s="55">
        <v>0</v>
      </c>
      <c r="C15" s="55">
        <v>0</v>
      </c>
      <c r="D15" s="54">
        <v>0</v>
      </c>
      <c r="E15" s="45">
        <v>0</v>
      </c>
      <c r="F15" s="44">
        <v>0</v>
      </c>
      <c r="G15" s="44">
        <v>0</v>
      </c>
      <c r="H15" s="44">
        <v>0</v>
      </c>
      <c r="I15" s="45">
        <v>0</v>
      </c>
      <c r="J15" s="44">
        <v>0</v>
      </c>
      <c r="K15" s="44">
        <v>0</v>
      </c>
      <c r="L15" s="44">
        <v>0</v>
      </c>
      <c r="M15" s="45">
        <v>0</v>
      </c>
      <c r="N15" s="45">
        <v>0</v>
      </c>
      <c r="O15" s="44">
        <v>0</v>
      </c>
      <c r="P15" s="44">
        <v>0</v>
      </c>
      <c r="Q15" s="44">
        <v>0</v>
      </c>
      <c r="R15" s="45">
        <v>0</v>
      </c>
      <c r="S15" s="45">
        <v>0</v>
      </c>
      <c r="T15" s="44">
        <v>0</v>
      </c>
      <c r="U15" s="44">
        <v>0</v>
      </c>
      <c r="V15" s="44">
        <v>0</v>
      </c>
      <c r="W15" s="45">
        <v>0</v>
      </c>
    </row>
    <row r="16" spans="1:23" ht="37.5" customHeight="1" thickBot="1" x14ac:dyDescent="0.3">
      <c r="A16" s="9" t="s">
        <v>100</v>
      </c>
      <c r="B16" s="55">
        <f>8118.39-B17</f>
        <v>7824.2260000000006</v>
      </c>
      <c r="C16" s="55">
        <f>D16-B16</f>
        <v>4832.003999999999</v>
      </c>
      <c r="D16" s="54">
        <v>12656.23</v>
      </c>
      <c r="E16" s="45">
        <f t="shared" ref="E16:E18" si="11">I16+M16+R16+W16</f>
        <v>10507.86473700864</v>
      </c>
      <c r="F16" s="44">
        <f>новокачалинск!E86+первомайское!E86+Троицкое!E86+октябрьское!E86+Майское!E86</f>
        <v>2373.7351243400963</v>
      </c>
      <c r="G16" s="44">
        <f>новокачалинск!F86+первомайское!F86+Троицкое!F86+октябрьское!F86+Майское!F86</f>
        <v>1600.1782817992957</v>
      </c>
      <c r="H16" s="44">
        <f>новокачалинск!G86+первомайское!G86+Троицкое!G86+октябрьское!G86+Майское!G86</f>
        <v>1418.707850426496</v>
      </c>
      <c r="I16" s="45">
        <f t="shared" si="2"/>
        <v>5392.621256565888</v>
      </c>
      <c r="J16" s="44">
        <f>новокачалинск!I86+первомайское!I86+Троицкое!I86+октябрьское!I86+Майское!I86</f>
        <v>1448.7618728527359</v>
      </c>
      <c r="K16" s="44">
        <v>0</v>
      </c>
      <c r="L16" s="44">
        <v>0</v>
      </c>
      <c r="M16" s="45">
        <f t="shared" si="4"/>
        <v>1448.7618728527359</v>
      </c>
      <c r="N16" s="45">
        <f t="shared" si="5"/>
        <v>6841.3831294186239</v>
      </c>
      <c r="O16" s="44">
        <v>0</v>
      </c>
      <c r="P16" s="44">
        <v>0</v>
      </c>
      <c r="Q16" s="44">
        <v>0</v>
      </c>
      <c r="R16" s="45">
        <f t="shared" si="7"/>
        <v>0</v>
      </c>
      <c r="S16" s="45">
        <f t="shared" si="8"/>
        <v>6841.3831294186239</v>
      </c>
      <c r="T16" s="44">
        <f>новокачалинск!S86+первомайское!S86+Троицкое!S86+октябрьское!S86+Майское!S86</f>
        <v>595.01879475084797</v>
      </c>
      <c r="U16" s="44">
        <f>новокачалинск!T86+первомайское!T86+Троицкое!T86+октябрьское!T86+Майское!T86</f>
        <v>1207.855006117632</v>
      </c>
      <c r="V16" s="44">
        <f>новокачалинск!U86+первомайское!U86+Троицкое!U86+октябрьское!U86+Майское!U86</f>
        <v>1863.6078067215362</v>
      </c>
      <c r="W16" s="45">
        <f t="shared" si="10"/>
        <v>3666.4816075900162</v>
      </c>
    </row>
    <row r="17" spans="1:24" ht="38.25" thickBot="1" x14ac:dyDescent="0.3">
      <c r="A17" s="9" t="s">
        <v>108</v>
      </c>
      <c r="B17" s="55">
        <v>294.16399999999999</v>
      </c>
      <c r="C17" s="55">
        <f t="shared" ref="C17:C19" si="12">D17-B17</f>
        <v>39.676000000000045</v>
      </c>
      <c r="D17" s="54">
        <v>333.84000000000003</v>
      </c>
      <c r="E17" s="45">
        <f t="shared" si="11"/>
        <v>0</v>
      </c>
      <c r="F17" s="44"/>
      <c r="G17" s="44"/>
      <c r="H17" s="44"/>
      <c r="I17" s="45">
        <f t="shared" si="2"/>
        <v>0</v>
      </c>
      <c r="J17" s="44"/>
      <c r="K17" s="44"/>
      <c r="L17" s="44"/>
      <c r="M17" s="45">
        <f t="shared" si="4"/>
        <v>0</v>
      </c>
      <c r="N17" s="45">
        <f t="shared" si="5"/>
        <v>0</v>
      </c>
      <c r="O17" s="44">
        <v>0</v>
      </c>
      <c r="P17" s="44">
        <v>0</v>
      </c>
      <c r="Q17" s="44">
        <v>0</v>
      </c>
      <c r="R17" s="45">
        <f t="shared" si="7"/>
        <v>0</v>
      </c>
      <c r="S17" s="45">
        <f t="shared" si="8"/>
        <v>0</v>
      </c>
      <c r="T17" s="44"/>
      <c r="U17" s="44"/>
      <c r="V17" s="44"/>
      <c r="W17" s="45">
        <f t="shared" si="10"/>
        <v>0</v>
      </c>
    </row>
    <row r="18" spans="1:24" ht="38.25" thickBot="1" x14ac:dyDescent="0.3">
      <c r="A18" s="9" t="s">
        <v>109</v>
      </c>
      <c r="B18" s="55">
        <v>107.59</v>
      </c>
      <c r="C18" s="55">
        <f t="shared" si="12"/>
        <v>7.5899999999999892</v>
      </c>
      <c r="D18" s="54">
        <v>115.17999999999999</v>
      </c>
      <c r="E18" s="45">
        <f t="shared" si="11"/>
        <v>0</v>
      </c>
      <c r="F18" s="44"/>
      <c r="G18" s="44"/>
      <c r="H18" s="44"/>
      <c r="I18" s="45">
        <f t="shared" si="2"/>
        <v>0</v>
      </c>
      <c r="J18" s="44"/>
      <c r="K18" s="44"/>
      <c r="L18" s="44"/>
      <c r="M18" s="45">
        <f t="shared" si="4"/>
        <v>0</v>
      </c>
      <c r="N18" s="45">
        <f t="shared" si="5"/>
        <v>0</v>
      </c>
      <c r="O18" s="44">
        <v>0</v>
      </c>
      <c r="P18" s="44">
        <v>0</v>
      </c>
      <c r="Q18" s="44">
        <v>0</v>
      </c>
      <c r="R18" s="45">
        <f t="shared" si="7"/>
        <v>0</v>
      </c>
      <c r="S18" s="45">
        <f t="shared" si="8"/>
        <v>0</v>
      </c>
      <c r="T18" s="44"/>
      <c r="U18" s="44"/>
      <c r="V18" s="44"/>
      <c r="W18" s="45">
        <f t="shared" si="10"/>
        <v>0</v>
      </c>
    </row>
    <row r="19" spans="1:24" ht="36.75" customHeight="1" thickBot="1" x14ac:dyDescent="0.3">
      <c r="A19" s="12" t="s">
        <v>28</v>
      </c>
      <c r="B19" s="53">
        <f>401.243+34</f>
        <v>435.24299999999999</v>
      </c>
      <c r="C19" s="53">
        <f t="shared" si="12"/>
        <v>-435.24299999999999</v>
      </c>
      <c r="D19" s="54">
        <v>0</v>
      </c>
      <c r="E19" s="45">
        <v>0</v>
      </c>
      <c r="F19" s="44">
        <v>0</v>
      </c>
      <c r="G19" s="44">
        <v>0</v>
      </c>
      <c r="H19" s="44">
        <v>0</v>
      </c>
      <c r="I19" s="45">
        <v>0</v>
      </c>
      <c r="J19" s="44">
        <v>0</v>
      </c>
      <c r="K19" s="44">
        <v>0</v>
      </c>
      <c r="L19" s="44">
        <v>0</v>
      </c>
      <c r="M19" s="45">
        <v>0</v>
      </c>
      <c r="N19" s="45">
        <v>0</v>
      </c>
      <c r="O19" s="44">
        <v>0</v>
      </c>
      <c r="P19" s="44">
        <v>0</v>
      </c>
      <c r="Q19" s="44">
        <v>0</v>
      </c>
      <c r="R19" s="45">
        <v>0</v>
      </c>
      <c r="S19" s="45">
        <v>0</v>
      </c>
      <c r="T19" s="44">
        <v>0</v>
      </c>
      <c r="U19" s="44">
        <v>0</v>
      </c>
      <c r="V19" s="44">
        <v>0</v>
      </c>
      <c r="W19" s="45">
        <v>0</v>
      </c>
    </row>
    <row r="20" spans="1:24" ht="19.5" thickBot="1" x14ac:dyDescent="0.3">
      <c r="A20" s="12" t="s">
        <v>29</v>
      </c>
      <c r="B20" s="53">
        <v>0</v>
      </c>
      <c r="C20" s="53">
        <v>0</v>
      </c>
      <c r="D20" s="54">
        <v>0</v>
      </c>
      <c r="E20" s="45">
        <v>0</v>
      </c>
      <c r="F20" s="44">
        <v>0</v>
      </c>
      <c r="G20" s="44">
        <v>0</v>
      </c>
      <c r="H20" s="44">
        <v>0</v>
      </c>
      <c r="I20" s="45">
        <v>0</v>
      </c>
      <c r="J20" s="44">
        <v>0</v>
      </c>
      <c r="K20" s="44">
        <v>0</v>
      </c>
      <c r="L20" s="44">
        <v>0</v>
      </c>
      <c r="M20" s="45">
        <v>0</v>
      </c>
      <c r="N20" s="45">
        <v>0</v>
      </c>
      <c r="O20" s="44">
        <v>0</v>
      </c>
      <c r="P20" s="44">
        <v>0</v>
      </c>
      <c r="Q20" s="44">
        <v>0</v>
      </c>
      <c r="R20" s="45">
        <v>0</v>
      </c>
      <c r="S20" s="45">
        <v>0</v>
      </c>
      <c r="T20" s="44">
        <v>0</v>
      </c>
      <c r="U20" s="44">
        <v>0</v>
      </c>
      <c r="V20" s="44">
        <v>0</v>
      </c>
      <c r="W20" s="45">
        <v>0</v>
      </c>
    </row>
    <row r="21" spans="1:24" ht="19.5" thickBot="1" x14ac:dyDescent="0.3">
      <c r="A21" s="12" t="s">
        <v>30</v>
      </c>
      <c r="B21" s="53">
        <v>0</v>
      </c>
      <c r="C21" s="53">
        <v>0</v>
      </c>
      <c r="D21" s="54">
        <v>0</v>
      </c>
      <c r="E21" s="45">
        <v>0</v>
      </c>
      <c r="F21" s="44">
        <v>0</v>
      </c>
      <c r="G21" s="44">
        <v>0</v>
      </c>
      <c r="H21" s="44">
        <v>0</v>
      </c>
      <c r="I21" s="45">
        <v>0</v>
      </c>
      <c r="J21" s="44">
        <v>0</v>
      </c>
      <c r="K21" s="44">
        <v>0</v>
      </c>
      <c r="L21" s="44">
        <v>0</v>
      </c>
      <c r="M21" s="45">
        <v>0</v>
      </c>
      <c r="N21" s="45">
        <v>0</v>
      </c>
      <c r="O21" s="44">
        <v>0</v>
      </c>
      <c r="P21" s="44">
        <v>0</v>
      </c>
      <c r="Q21" s="44">
        <v>0</v>
      </c>
      <c r="R21" s="45">
        <v>0</v>
      </c>
      <c r="S21" s="45">
        <v>0</v>
      </c>
      <c r="T21" s="44">
        <v>0</v>
      </c>
      <c r="U21" s="44">
        <v>0</v>
      </c>
      <c r="V21" s="44">
        <v>0</v>
      </c>
      <c r="W21" s="45">
        <v>0</v>
      </c>
    </row>
    <row r="22" spans="1:24" x14ac:dyDescent="0.25">
      <c r="A22" s="31"/>
      <c r="B22" s="44">
        <v>0</v>
      </c>
      <c r="C22" s="44">
        <v>0</v>
      </c>
      <c r="D22" s="54">
        <v>0</v>
      </c>
      <c r="E22" s="45">
        <v>0</v>
      </c>
      <c r="F22" s="44">
        <v>0</v>
      </c>
      <c r="G22" s="44">
        <v>0</v>
      </c>
      <c r="H22" s="44">
        <v>0</v>
      </c>
      <c r="I22" s="45">
        <v>0</v>
      </c>
      <c r="J22" s="44">
        <v>0</v>
      </c>
      <c r="K22" s="44">
        <v>0</v>
      </c>
      <c r="L22" s="44">
        <v>0</v>
      </c>
      <c r="M22" s="45">
        <v>0</v>
      </c>
      <c r="N22" s="45">
        <v>0</v>
      </c>
      <c r="O22" s="44">
        <v>0</v>
      </c>
      <c r="P22" s="44">
        <v>0</v>
      </c>
      <c r="Q22" s="44">
        <v>0</v>
      </c>
      <c r="R22" s="45">
        <v>0</v>
      </c>
      <c r="S22" s="45">
        <v>0</v>
      </c>
      <c r="T22" s="44">
        <v>0</v>
      </c>
      <c r="U22" s="44">
        <v>0</v>
      </c>
      <c r="V22" s="44">
        <v>0</v>
      </c>
      <c r="W22" s="45">
        <v>0</v>
      </c>
    </row>
    <row r="23" spans="1:24" ht="39.75" customHeight="1" thickBot="1" x14ac:dyDescent="0.3">
      <c r="A23" s="13" t="s">
        <v>32</v>
      </c>
      <c r="B23" s="45">
        <f>B24+B93+B94</f>
        <v>11542.899999999998</v>
      </c>
      <c r="C23" s="45">
        <f t="shared" ref="C23:W23" si="13">C24+C93+C94</f>
        <v>7116.5852064800029</v>
      </c>
      <c r="D23" s="45">
        <v>18659.485206479992</v>
      </c>
      <c r="E23" s="45">
        <f t="shared" si="13"/>
        <v>10507.860024293357</v>
      </c>
      <c r="F23" s="45">
        <f t="shared" si="13"/>
        <v>1940.6207791315755</v>
      </c>
      <c r="G23" s="45">
        <f t="shared" si="13"/>
        <v>1525.5498813123972</v>
      </c>
      <c r="H23" s="45">
        <f t="shared" si="13"/>
        <v>1439.1819876630821</v>
      </c>
      <c r="I23" s="45">
        <f t="shared" si="13"/>
        <v>4905.3526481070548</v>
      </c>
      <c r="J23" s="45">
        <f t="shared" si="13"/>
        <v>1596.0899617000687</v>
      </c>
      <c r="K23" s="45">
        <f t="shared" si="13"/>
        <v>96.322653000000003</v>
      </c>
      <c r="L23" s="45">
        <f t="shared" si="13"/>
        <v>96.322653000000003</v>
      </c>
      <c r="M23" s="45">
        <f t="shared" si="13"/>
        <v>1788.7352677000686</v>
      </c>
      <c r="N23" s="45">
        <f t="shared" si="13"/>
        <v>6694.0879158071239</v>
      </c>
      <c r="O23" s="45">
        <f t="shared" si="13"/>
        <v>96.321652999999998</v>
      </c>
      <c r="P23" s="45">
        <f t="shared" si="13"/>
        <v>96.321652999999998</v>
      </c>
      <c r="Q23" s="45">
        <f t="shared" si="13"/>
        <v>96.321652999999998</v>
      </c>
      <c r="R23" s="45">
        <f t="shared" si="13"/>
        <v>288.96495900000002</v>
      </c>
      <c r="S23" s="45">
        <f t="shared" si="13"/>
        <v>6983.0528748071238</v>
      </c>
      <c r="T23" s="45">
        <f t="shared" si="13"/>
        <v>693.62199014363023</v>
      </c>
      <c r="U23" s="45">
        <f t="shared" si="13"/>
        <v>1300.1506180247261</v>
      </c>
      <c r="V23" s="45">
        <f t="shared" si="13"/>
        <v>1531.0345413178766</v>
      </c>
      <c r="W23" s="45">
        <f t="shared" si="13"/>
        <v>3524.8071494862329</v>
      </c>
    </row>
    <row r="24" spans="1:24" ht="56.25" customHeight="1" x14ac:dyDescent="0.25">
      <c r="A24" s="14" t="s">
        <v>33</v>
      </c>
      <c r="B24" s="45">
        <f>B25+B26+B31+B36+B58+B83+B27+B28+B29+B30</f>
        <v>11542.899999999998</v>
      </c>
      <c r="C24" s="45">
        <f>C25+C26+C31+C36+C58+C83+C27+C28+C29+C30</f>
        <v>7100.9852064800025</v>
      </c>
      <c r="D24" s="45">
        <v>18643.885206479994</v>
      </c>
      <c r="E24" s="45">
        <f>W24+S24</f>
        <v>10507.860024293357</v>
      </c>
      <c r="F24" s="45">
        <f>F25+F26+F27+F28+F29+F30+F31+F36+F58+F83</f>
        <v>1940.6207791315755</v>
      </c>
      <c r="G24" s="45">
        <f t="shared" ref="G24:H24" si="14">G25+G26+G27+G28+G29+G30+G31+G36+G58+G83</f>
        <v>1525.5498813123972</v>
      </c>
      <c r="H24" s="45">
        <f t="shared" si="14"/>
        <v>1439.1819876630821</v>
      </c>
      <c r="I24" s="45">
        <f t="shared" si="2"/>
        <v>4905.3526481070548</v>
      </c>
      <c r="J24" s="45">
        <f t="shared" ref="J24:L24" si="15">J25+J26+J27+J28+J29+J30+J31+J36+J58+J83</f>
        <v>1596.0899617000687</v>
      </c>
      <c r="K24" s="45">
        <f t="shared" si="15"/>
        <v>96.322653000000003</v>
      </c>
      <c r="L24" s="45">
        <f t="shared" si="15"/>
        <v>96.322653000000003</v>
      </c>
      <c r="M24" s="45">
        <f t="shared" si="4"/>
        <v>1788.7352677000686</v>
      </c>
      <c r="N24" s="45">
        <f t="shared" si="5"/>
        <v>6694.0879158071239</v>
      </c>
      <c r="O24" s="45">
        <f t="shared" ref="O24:Q24" si="16">O25+O26+O27+O28+O29+O30+O31+O36+O58+O83</f>
        <v>96.321652999999998</v>
      </c>
      <c r="P24" s="45">
        <f t="shared" si="16"/>
        <v>96.321652999999998</v>
      </c>
      <c r="Q24" s="45">
        <f t="shared" si="16"/>
        <v>96.321652999999998</v>
      </c>
      <c r="R24" s="45">
        <f t="shared" si="7"/>
        <v>288.96495900000002</v>
      </c>
      <c r="S24" s="45">
        <f t="shared" si="8"/>
        <v>6983.0528748071238</v>
      </c>
      <c r="T24" s="45">
        <f t="shared" ref="T24:V24" si="17">T25+T26+T27+T28+T29+T30+T31+T36+T58+T83</f>
        <v>693.62199014363023</v>
      </c>
      <c r="U24" s="45">
        <f t="shared" si="17"/>
        <v>1300.1506180247261</v>
      </c>
      <c r="V24" s="45">
        <f t="shared" si="17"/>
        <v>1531.0345413178766</v>
      </c>
      <c r="W24" s="45">
        <f t="shared" si="10"/>
        <v>3524.8071494862329</v>
      </c>
      <c r="X24" s="59">
        <f>T25+T26+T28+T29+T30+T31+T32+T36+T58+T83</f>
        <v>693.62199014363023</v>
      </c>
    </row>
    <row r="25" spans="1:24" ht="15.75" x14ac:dyDescent="0.25">
      <c r="A25" s="4" t="s">
        <v>101</v>
      </c>
      <c r="B25" s="51">
        <v>5389.48</v>
      </c>
      <c r="C25" s="51">
        <f>D25-B25</f>
        <v>4669.8200000000015</v>
      </c>
      <c r="D25" s="54">
        <v>10059.300000000001</v>
      </c>
      <c r="E25" s="197">
        <f t="shared" ref="E25:E89" si="18">W25+S25</f>
        <v>3688.6191708390411</v>
      </c>
      <c r="F25" s="198">
        <f>новокачалинск!E30+первомайское!E30+Троицкое!E30+октябрьское!E30+Майское!E30</f>
        <v>849.71820080821919</v>
      </c>
      <c r="G25" s="198">
        <f>новокачалинск!F30+первомайское!F30+Троицкое!F30+октябрьское!F30+Майское!F30</f>
        <v>583.19786724657536</v>
      </c>
      <c r="H25" s="198">
        <f>новокачалинск!G30+первомайское!G30+Троицкое!G30+октябрьское!G30+Майское!G30</f>
        <v>518.97610012328767</v>
      </c>
      <c r="I25" s="197">
        <f t="shared" si="2"/>
        <v>1951.8921681780821</v>
      </c>
      <c r="J25" s="198">
        <f>новокачалинск!I30+первомайское!I30+Троицкое!I30+октябрьское!I30+Майское!I30</f>
        <v>507.73729087671234</v>
      </c>
      <c r="K25" s="198">
        <f>новокачалинск!J30+первомайское!J30+Троицкое!J30+октябрьское!J30+Майское!J30</f>
        <v>0</v>
      </c>
      <c r="L25" s="198">
        <f>новокачалинск!K30+первомайское!K30+Троицкое!K30+октябрьское!K30+Майское!K30</f>
        <v>0</v>
      </c>
      <c r="M25" s="197">
        <f t="shared" si="4"/>
        <v>507.73729087671234</v>
      </c>
      <c r="N25" s="197">
        <f t="shared" si="5"/>
        <v>2459.6294590547946</v>
      </c>
      <c r="O25" s="198">
        <f>новокачалинск!N30+первомайское!N30+Троицкое!N30+октябрьское!N30+Майское!N30</f>
        <v>0</v>
      </c>
      <c r="P25" s="198">
        <f>новокачалинск!O30+первомайское!O30+Троицкое!O30+октябрьское!O30+Майское!O30</f>
        <v>0</v>
      </c>
      <c r="Q25" s="198">
        <f>новокачалинск!P30+первомайское!P30+Троицкое!P30+октябрьское!P30+Майское!P30</f>
        <v>0</v>
      </c>
      <c r="R25" s="197">
        <f t="shared" si="7"/>
        <v>0</v>
      </c>
      <c r="S25" s="197">
        <f t="shared" si="8"/>
        <v>2459.6294590547946</v>
      </c>
      <c r="T25" s="204">
        <f>новокачалинск!S30+первомайское!S30+Троицкое!S30+октябрьское!S30+Майское!S30</f>
        <v>208.68703414041099</v>
      </c>
      <c r="U25" s="204">
        <f>новокачалинск!T30+первомайское!T30+Троицкое!T30+октябрьское!T30+Майское!T30</f>
        <v>427.46008197260272</v>
      </c>
      <c r="V25" s="204">
        <f>новокачалинск!U30+первомайское!U30+Троицкое!U30+октябрьское!U30+Майское!U30</f>
        <v>592.84259567123297</v>
      </c>
      <c r="W25" s="197">
        <f t="shared" si="10"/>
        <v>1228.9897117842465</v>
      </c>
    </row>
    <row r="26" spans="1:24" ht="15.75" x14ac:dyDescent="0.25">
      <c r="A26" s="15" t="s">
        <v>34</v>
      </c>
      <c r="B26" s="51">
        <v>589.73</v>
      </c>
      <c r="C26" s="51">
        <f t="shared" ref="C26:C90" si="19">D26-B26</f>
        <v>409.62899999999991</v>
      </c>
      <c r="D26" s="54">
        <v>999.35899999999992</v>
      </c>
      <c r="E26" s="197">
        <f t="shared" si="18"/>
        <v>653.21743232099993</v>
      </c>
      <c r="F26" s="198">
        <f>новокачалинск!E32+первомайское!E32+Троицкое!E32+октябрьское!E32+Майское!E32</f>
        <v>146.68042513699999</v>
      </c>
      <c r="G26" s="198">
        <f>новокачалинск!F32+первомайское!F32+Троицкое!F32+октябрьское!F32+Майское!F32</f>
        <v>104.37764173699999</v>
      </c>
      <c r="H26" s="198">
        <f>новокачалинск!G32+первомайское!G32+Троицкое!G32+октябрьское!G32+Майское!G32</f>
        <v>91.968371736999998</v>
      </c>
      <c r="I26" s="197">
        <f t="shared" si="2"/>
        <v>343.02643861099995</v>
      </c>
      <c r="J26" s="198">
        <f>новокачалинск!I32+первомайское!I32+Троицкое!I32+октябрьское!I32+Майское!I32</f>
        <v>91.293425337000002</v>
      </c>
      <c r="K26" s="198">
        <f>новокачалинск!J32+первомайское!J32+Троицкое!J32+октябрьское!J32+Майское!J32</f>
        <v>0</v>
      </c>
      <c r="L26" s="198">
        <f>новокачалинск!K32+первомайское!K32+Троицкое!K32+октябрьское!K32+Майское!K32</f>
        <v>0</v>
      </c>
      <c r="M26" s="197">
        <f t="shared" si="4"/>
        <v>91.293425337000002</v>
      </c>
      <c r="N26" s="197">
        <f t="shared" si="5"/>
        <v>434.31986394799992</v>
      </c>
      <c r="O26" s="198">
        <f>новокачалинск!N32+первомайское!N32+Троицкое!N32+октябрьское!N32+Майское!N32</f>
        <v>0</v>
      </c>
      <c r="P26" s="198">
        <f>новокачалинск!O32+первомайское!O32+Троицкое!O32+октябрьское!O32+Майское!O32</f>
        <v>0</v>
      </c>
      <c r="Q26" s="198">
        <f>новокачалинск!P32+первомайское!P32+Троицкое!P32+октябрьское!P32+Майское!P32</f>
        <v>0</v>
      </c>
      <c r="R26" s="197">
        <f t="shared" si="7"/>
        <v>0</v>
      </c>
      <c r="S26" s="197">
        <f t="shared" si="8"/>
        <v>434.31986394799992</v>
      </c>
      <c r="T26" s="204">
        <f>новокачалинск!S32+первомайское!S32+Троицкое!S32+октябрьское!S32+Майское!S32</f>
        <v>38.090043598999998</v>
      </c>
      <c r="U26" s="204">
        <f>новокачалинск!T32+первомайское!T32+Троицкое!T32+октябрьское!T32+Майское!T32</f>
        <v>77.084845836999975</v>
      </c>
      <c r="V26" s="204">
        <f>новокачалинск!U32+первомайское!U32+Троицкое!U32+октябрьское!U32+Майское!U32</f>
        <v>103.722678937</v>
      </c>
      <c r="W26" s="197">
        <f t="shared" si="10"/>
        <v>218.89756837299996</v>
      </c>
    </row>
    <row r="27" spans="1:24" ht="15.75" x14ac:dyDescent="0.25">
      <c r="A27" s="15" t="s">
        <v>35</v>
      </c>
      <c r="B27" s="51">
        <v>346.56</v>
      </c>
      <c r="C27" s="51">
        <f t="shared" si="19"/>
        <v>-189.69</v>
      </c>
      <c r="D27" s="54">
        <v>156.87</v>
      </c>
      <c r="E27" s="197">
        <f t="shared" si="18"/>
        <v>0</v>
      </c>
      <c r="F27" s="198"/>
      <c r="G27" s="198"/>
      <c r="H27" s="198"/>
      <c r="I27" s="197">
        <f t="shared" si="2"/>
        <v>0</v>
      </c>
      <c r="J27" s="198"/>
      <c r="K27" s="198"/>
      <c r="L27" s="198"/>
      <c r="M27" s="197">
        <f t="shared" ref="M27" si="20">J27+K27+L27</f>
        <v>0</v>
      </c>
      <c r="N27" s="197">
        <f t="shared" si="5"/>
        <v>0</v>
      </c>
      <c r="O27" s="198"/>
      <c r="P27" s="198"/>
      <c r="Q27" s="198"/>
      <c r="R27" s="197">
        <f t="shared" si="7"/>
        <v>0</v>
      </c>
      <c r="S27" s="197">
        <f t="shared" si="8"/>
        <v>0</v>
      </c>
      <c r="T27" s="204"/>
      <c r="U27" s="204"/>
      <c r="V27" s="204"/>
      <c r="W27" s="197">
        <f t="shared" si="10"/>
        <v>0</v>
      </c>
    </row>
    <row r="28" spans="1:24" ht="15.75" x14ac:dyDescent="0.25">
      <c r="A28" s="16" t="s">
        <v>85</v>
      </c>
      <c r="B28" s="51">
        <v>466.3</v>
      </c>
      <c r="C28" s="51">
        <f t="shared" si="19"/>
        <v>-270.7</v>
      </c>
      <c r="D28" s="54">
        <v>195.60000000000002</v>
      </c>
      <c r="E28" s="197">
        <f t="shared" si="18"/>
        <v>112.93800000000002</v>
      </c>
      <c r="F28" s="198">
        <f>новокачалинск!E33+первомайское!E33+Троицкое!E33+октябрьское!E33+Майское!E33</f>
        <v>9.4120000000000008</v>
      </c>
      <c r="G28" s="198">
        <f>новокачалинск!F33+первомайское!F33+Троицкое!F33+октябрьское!F33+Майское!F33</f>
        <v>9.4120000000000008</v>
      </c>
      <c r="H28" s="198">
        <f>новокачалинск!G33+первомайское!G33+Троицкое!G33+октябрьское!G33+Майское!G33</f>
        <v>9.4120000000000008</v>
      </c>
      <c r="I28" s="197">
        <f t="shared" si="2"/>
        <v>28.236000000000004</v>
      </c>
      <c r="J28" s="198">
        <f>новокачалинск!I33+первомайское!I33+Троицкое!I33+октябрьское!I33+Майское!I33</f>
        <v>9.4120000000000008</v>
      </c>
      <c r="K28" s="198">
        <f>новокачалинск!J33+первомайское!J33+Троицкое!J33+октябрьское!J33+Майское!J33</f>
        <v>9.4120000000000008</v>
      </c>
      <c r="L28" s="198">
        <f>новокачалинск!K33+первомайское!K33+Троицкое!K33+октябрьское!K33+Майское!K33</f>
        <v>9.4120000000000008</v>
      </c>
      <c r="M28" s="197">
        <f t="shared" si="4"/>
        <v>28.236000000000004</v>
      </c>
      <c r="N28" s="197">
        <f t="shared" si="5"/>
        <v>56.472000000000008</v>
      </c>
      <c r="O28" s="198">
        <f>новокачалинск!N33+первомайское!N33+Троицкое!N33+октябрьское!N33+Майское!N33</f>
        <v>9.4109999999999996</v>
      </c>
      <c r="P28" s="198">
        <f>новокачалинск!O33+первомайское!O33+Троицкое!O33+октябрьское!O33+Майское!O33</f>
        <v>9.4109999999999996</v>
      </c>
      <c r="Q28" s="198">
        <f>новокачалинск!P33+первомайское!P33+Троицкое!P33+октябрьское!P33+Майское!P33</f>
        <v>9.4109999999999996</v>
      </c>
      <c r="R28" s="197">
        <f t="shared" si="7"/>
        <v>28.232999999999997</v>
      </c>
      <c r="S28" s="197">
        <f t="shared" si="8"/>
        <v>84.705000000000013</v>
      </c>
      <c r="T28" s="204">
        <f>новокачалинск!S33+первомайское!S33+Троицкое!S33+октябрьское!S33+Майское!S33</f>
        <v>9.4109999999999996</v>
      </c>
      <c r="U28" s="204">
        <f>новокачалинск!T33+первомайское!T33+Троицкое!T33+октябрьское!T33+Майское!T33</f>
        <v>9.4109999999999996</v>
      </c>
      <c r="V28" s="204">
        <f>новокачалинск!U33+первомайское!U33+Троицкое!U33+октябрьское!U33+Майское!U33</f>
        <v>9.4109999999999996</v>
      </c>
      <c r="W28" s="197">
        <f t="shared" si="10"/>
        <v>28.232999999999997</v>
      </c>
    </row>
    <row r="29" spans="1:24" ht="15.75" x14ac:dyDescent="0.25">
      <c r="A29" s="4" t="s">
        <v>102</v>
      </c>
      <c r="B29" s="51"/>
      <c r="C29" s="51">
        <f t="shared" si="19"/>
        <v>63.671000000000006</v>
      </c>
      <c r="D29" s="54">
        <v>63.671000000000006</v>
      </c>
      <c r="E29" s="197">
        <f t="shared" si="18"/>
        <v>42.829012071999998</v>
      </c>
      <c r="F29" s="198">
        <f>новокачалинск!E42+первомайское!E42+Троицкое!E42+октябрьское!E42+Майское!E42</f>
        <v>9.256143904</v>
      </c>
      <c r="G29" s="198">
        <f>новокачалинск!F42+первомайское!F42+Троицкое!F42+октябрьское!F42+Майское!F42</f>
        <v>6.9654109040000005</v>
      </c>
      <c r="H29" s="198">
        <f>новокачалинск!G42+первомайское!G42+Троицкое!G42+октябрьское!G42+Майское!G42</f>
        <v>6.2412067039999997</v>
      </c>
      <c r="I29" s="197">
        <f t="shared" si="2"/>
        <v>22.462761512</v>
      </c>
      <c r="J29" s="198">
        <f>новокачалинск!I42+первомайское!I42+Троицкое!I42+октябрьское!I42+Майское!I42</f>
        <v>6.3768158040000005</v>
      </c>
      <c r="K29" s="198">
        <f>новокачалинск!J42+первомайское!J42+Троицкое!J42+октябрьское!J42+Майское!J42</f>
        <v>0</v>
      </c>
      <c r="L29" s="198">
        <f>новокачалинск!K42+первомайское!K42+Троицкое!K42+октябрьское!K42+Майское!K42</f>
        <v>0</v>
      </c>
      <c r="M29" s="197">
        <f t="shared" si="4"/>
        <v>6.3768158040000005</v>
      </c>
      <c r="N29" s="197">
        <f t="shared" si="5"/>
        <v>28.839577316</v>
      </c>
      <c r="O29" s="198">
        <f>новокачалинск!N42+первомайское!N42+Троицкое!N42+октябрьское!N42+Майское!N42</f>
        <v>0</v>
      </c>
      <c r="P29" s="198">
        <f>новокачалинск!O42+первомайское!O42+Троицкое!O42+октябрьское!O42+Майское!O42</f>
        <v>0</v>
      </c>
      <c r="Q29" s="198">
        <f>новокачалинск!P42+первомайское!P42+Троицкое!P42+октябрьское!P42+Майское!P42</f>
        <v>0</v>
      </c>
      <c r="R29" s="197">
        <f t="shared" si="7"/>
        <v>0</v>
      </c>
      <c r="S29" s="197">
        <f t="shared" si="8"/>
        <v>28.839577316</v>
      </c>
      <c r="T29" s="204">
        <f>новокачалинск!S42+первомайское!S42+Троицкое!S42+октябрьское!S42+Майское!S42</f>
        <v>2.562937448</v>
      </c>
      <c r="U29" s="204">
        <f>новокачалинск!T42+первомайское!T42+Троицкое!T42+октябрьское!T42+Майское!T42</f>
        <v>4.9874676040000008</v>
      </c>
      <c r="V29" s="204">
        <f>новокачалинск!U42+первомайское!U42+Троицкое!U42+октябрьское!U42+Майское!U42</f>
        <v>6.4390297040000002</v>
      </c>
      <c r="W29" s="197">
        <f t="shared" si="10"/>
        <v>13.989434756000001</v>
      </c>
    </row>
    <row r="30" spans="1:24" ht="15.75" x14ac:dyDescent="0.25">
      <c r="A30" s="4" t="s">
        <v>103</v>
      </c>
      <c r="B30" s="51">
        <v>0</v>
      </c>
      <c r="C30" s="51">
        <f t="shared" si="19"/>
        <v>12.099999999999998</v>
      </c>
      <c r="D30" s="54">
        <v>12.099999999999998</v>
      </c>
      <c r="E30" s="197">
        <f t="shared" si="18"/>
        <v>4.8512287320000009</v>
      </c>
      <c r="F30" s="198">
        <f>новокачалинск!E41+первомайское!E41+Троицкое!E41+октябрьское!E41+Майское!E41</f>
        <v>0.96595346400000015</v>
      </c>
      <c r="G30" s="198">
        <f>новокачалинск!F41+первомайское!F41+Троицкое!F41+октябрьское!F41+Майское!F41</f>
        <v>0.79818726400000028</v>
      </c>
      <c r="H30" s="198">
        <f>новокачалинск!G41+первомайское!G41+Троицкое!G41+октябрьское!G41+Майское!G41</f>
        <v>0.70639066400000017</v>
      </c>
      <c r="I30" s="197">
        <f t="shared" si="2"/>
        <v>2.4705313920000007</v>
      </c>
      <c r="J30" s="198">
        <f>новокачалинск!I41+первомайское!I41+Троицкое!I41+октябрьское!I41+Майское!I41</f>
        <v>0.73171386400000005</v>
      </c>
      <c r="K30" s="198">
        <f>новокачалинск!J41+первомайское!J41+Троицкое!J41+октябрьское!J41+Майское!J41</f>
        <v>0</v>
      </c>
      <c r="L30" s="198">
        <f>новокачалинск!K41+первомайское!K41+Троицкое!K41+октябрьское!K41+Майское!K41</f>
        <v>0</v>
      </c>
      <c r="M30" s="197">
        <f t="shared" si="4"/>
        <v>0.73171386400000005</v>
      </c>
      <c r="N30" s="197">
        <f t="shared" si="5"/>
        <v>3.2022452560000008</v>
      </c>
      <c r="O30" s="198">
        <f>новокачалинск!N41+первомайское!N41+Троицкое!N41+октябрьское!N41+Майское!N41</f>
        <v>0</v>
      </c>
      <c r="P30" s="198">
        <f>новокачалинск!O41+первомайское!O41+Троицкое!O41+октябрьское!O41+Майское!O41</f>
        <v>0</v>
      </c>
      <c r="Q30" s="198">
        <f>новокачалинск!P41+первомайское!P41+Троицкое!P41+октябрьское!P41+Майское!P41</f>
        <v>0</v>
      </c>
      <c r="R30" s="197">
        <f t="shared" si="7"/>
        <v>0</v>
      </c>
      <c r="S30" s="197">
        <f t="shared" si="8"/>
        <v>3.2022452560000008</v>
      </c>
      <c r="T30" s="204">
        <f>новокачалинск!S41+первомайское!S41+Троицкое!S41+октябрьское!S41+Майское!S41</f>
        <v>0.33749494800000007</v>
      </c>
      <c r="U30" s="204">
        <f>новокачалинск!T41+первомайское!T41+Троицкое!T41+октябрьское!T41+Майское!T41</f>
        <v>0.61775946400000015</v>
      </c>
      <c r="V30" s="204">
        <f>новокачалинск!U41+первомайское!U41+Троицкое!U41+октябрьское!U41+Майское!U41</f>
        <v>0.69372906400000012</v>
      </c>
      <c r="W30" s="197">
        <f t="shared" si="10"/>
        <v>1.6489834760000002</v>
      </c>
    </row>
    <row r="31" spans="1:24" ht="16.5" thickBot="1" x14ac:dyDescent="0.3">
      <c r="A31" s="15" t="s">
        <v>36</v>
      </c>
      <c r="B31" s="51">
        <f>B32+B33+B34+B35</f>
        <v>0</v>
      </c>
      <c r="C31" s="51">
        <f t="shared" si="19"/>
        <v>0</v>
      </c>
      <c r="D31" s="54">
        <v>0</v>
      </c>
      <c r="E31" s="197">
        <f t="shared" si="18"/>
        <v>0</v>
      </c>
      <c r="F31" s="198">
        <f>F32+F33+F34+F35</f>
        <v>0</v>
      </c>
      <c r="G31" s="198">
        <f>G32+G33+G34+G35</f>
        <v>0</v>
      </c>
      <c r="H31" s="198">
        <f>H32+H33+H34+H35</f>
        <v>0</v>
      </c>
      <c r="I31" s="197">
        <f t="shared" si="2"/>
        <v>0</v>
      </c>
      <c r="J31" s="198">
        <f>J32+J33+J34+J35</f>
        <v>0</v>
      </c>
      <c r="K31" s="198">
        <f>K32+K33+K34+K35</f>
        <v>0</v>
      </c>
      <c r="L31" s="198">
        <f>L32+L33+L34+L35</f>
        <v>0</v>
      </c>
      <c r="M31" s="197">
        <f t="shared" si="4"/>
        <v>0</v>
      </c>
      <c r="N31" s="197">
        <f t="shared" si="5"/>
        <v>0</v>
      </c>
      <c r="O31" s="198">
        <f>O32+O33+O34+O35</f>
        <v>0</v>
      </c>
      <c r="P31" s="198">
        <f>P32+P33+P34+P35</f>
        <v>0</v>
      </c>
      <c r="Q31" s="198">
        <f>Q32+Q33+Q34+Q35</f>
        <v>0</v>
      </c>
      <c r="R31" s="197">
        <f t="shared" si="7"/>
        <v>0</v>
      </c>
      <c r="S31" s="197">
        <f t="shared" si="8"/>
        <v>0</v>
      </c>
      <c r="T31" s="204">
        <f>T32+T33+T34+T35</f>
        <v>0</v>
      </c>
      <c r="U31" s="204">
        <f>U32+U33+U34+U35</f>
        <v>0</v>
      </c>
      <c r="V31" s="204">
        <f>V32+V33+V34+V35</f>
        <v>0</v>
      </c>
      <c r="W31" s="197">
        <f t="shared" si="10"/>
        <v>0</v>
      </c>
    </row>
    <row r="32" spans="1:24" ht="15.75" thickBot="1" x14ac:dyDescent="0.3">
      <c r="A32" s="17" t="s">
        <v>37</v>
      </c>
      <c r="B32" s="46">
        <v>0</v>
      </c>
      <c r="C32" s="46">
        <v>0</v>
      </c>
      <c r="D32" s="54">
        <v>0</v>
      </c>
      <c r="E32" s="197">
        <f t="shared" si="18"/>
        <v>0</v>
      </c>
      <c r="F32" s="198">
        <v>0</v>
      </c>
      <c r="G32" s="198">
        <v>0</v>
      </c>
      <c r="H32" s="198">
        <v>0</v>
      </c>
      <c r="I32" s="197">
        <v>0</v>
      </c>
      <c r="J32" s="198">
        <v>0</v>
      </c>
      <c r="K32" s="198">
        <v>0</v>
      </c>
      <c r="L32" s="198">
        <v>0</v>
      </c>
      <c r="M32" s="197">
        <v>0</v>
      </c>
      <c r="N32" s="197">
        <v>0</v>
      </c>
      <c r="O32" s="198">
        <v>0</v>
      </c>
      <c r="P32" s="198">
        <v>0</v>
      </c>
      <c r="Q32" s="198">
        <v>0</v>
      </c>
      <c r="R32" s="197">
        <v>0</v>
      </c>
      <c r="S32" s="197">
        <v>0</v>
      </c>
      <c r="T32" s="204">
        <v>0</v>
      </c>
      <c r="U32" s="204">
        <v>0</v>
      </c>
      <c r="V32" s="204">
        <v>0</v>
      </c>
      <c r="W32" s="197">
        <v>0</v>
      </c>
    </row>
    <row r="33" spans="1:23" ht="15.75" thickBot="1" x14ac:dyDescent="0.3">
      <c r="A33" s="18" t="s">
        <v>38</v>
      </c>
      <c r="B33" s="46">
        <v>0</v>
      </c>
      <c r="C33" s="46">
        <v>0</v>
      </c>
      <c r="D33" s="54">
        <v>0</v>
      </c>
      <c r="E33" s="197">
        <f t="shared" si="18"/>
        <v>0</v>
      </c>
      <c r="F33" s="198">
        <v>0</v>
      </c>
      <c r="G33" s="198">
        <v>0</v>
      </c>
      <c r="H33" s="198">
        <v>0</v>
      </c>
      <c r="I33" s="197">
        <v>0</v>
      </c>
      <c r="J33" s="198">
        <v>0</v>
      </c>
      <c r="K33" s="198">
        <v>0</v>
      </c>
      <c r="L33" s="198">
        <v>0</v>
      </c>
      <c r="M33" s="197">
        <v>0</v>
      </c>
      <c r="N33" s="197">
        <v>0</v>
      </c>
      <c r="O33" s="198">
        <v>0</v>
      </c>
      <c r="P33" s="198">
        <v>0</v>
      </c>
      <c r="Q33" s="198">
        <v>0</v>
      </c>
      <c r="R33" s="197">
        <v>0</v>
      </c>
      <c r="S33" s="197">
        <v>0</v>
      </c>
      <c r="T33" s="204">
        <v>0</v>
      </c>
      <c r="U33" s="204">
        <v>0</v>
      </c>
      <c r="V33" s="204">
        <v>0</v>
      </c>
      <c r="W33" s="197">
        <v>0</v>
      </c>
    </row>
    <row r="34" spans="1:23" ht="15.75" thickBot="1" x14ac:dyDescent="0.3">
      <c r="A34" s="19" t="s">
        <v>39</v>
      </c>
      <c r="B34" s="46">
        <v>0</v>
      </c>
      <c r="C34" s="46">
        <v>0</v>
      </c>
      <c r="D34" s="54">
        <v>0</v>
      </c>
      <c r="E34" s="197">
        <f t="shared" si="18"/>
        <v>0</v>
      </c>
      <c r="F34" s="198">
        <v>0</v>
      </c>
      <c r="G34" s="198">
        <v>0</v>
      </c>
      <c r="H34" s="198">
        <v>0</v>
      </c>
      <c r="I34" s="197">
        <v>0</v>
      </c>
      <c r="J34" s="198">
        <v>0</v>
      </c>
      <c r="K34" s="198">
        <v>0</v>
      </c>
      <c r="L34" s="198">
        <v>0</v>
      </c>
      <c r="M34" s="197">
        <v>0</v>
      </c>
      <c r="N34" s="197">
        <v>0</v>
      </c>
      <c r="O34" s="198">
        <v>0</v>
      </c>
      <c r="P34" s="198">
        <v>0</v>
      </c>
      <c r="Q34" s="198">
        <v>0</v>
      </c>
      <c r="R34" s="197">
        <v>0</v>
      </c>
      <c r="S34" s="197">
        <v>0</v>
      </c>
      <c r="T34" s="204">
        <v>0</v>
      </c>
      <c r="U34" s="204">
        <v>0</v>
      </c>
      <c r="V34" s="204">
        <v>0</v>
      </c>
      <c r="W34" s="197">
        <v>0</v>
      </c>
    </row>
    <row r="35" spans="1:23" ht="30.75" thickBot="1" x14ac:dyDescent="0.3">
      <c r="A35" s="17" t="s">
        <v>40</v>
      </c>
      <c r="B35" s="46">
        <v>0</v>
      </c>
      <c r="C35" s="46">
        <v>0</v>
      </c>
      <c r="D35" s="54">
        <v>0</v>
      </c>
      <c r="E35" s="197">
        <f t="shared" si="18"/>
        <v>0</v>
      </c>
      <c r="F35" s="198">
        <v>0</v>
      </c>
      <c r="G35" s="198">
        <v>0</v>
      </c>
      <c r="H35" s="198">
        <v>0</v>
      </c>
      <c r="I35" s="197">
        <v>0</v>
      </c>
      <c r="J35" s="198">
        <v>0</v>
      </c>
      <c r="K35" s="198">
        <v>0</v>
      </c>
      <c r="L35" s="198">
        <v>0</v>
      </c>
      <c r="M35" s="197">
        <v>0</v>
      </c>
      <c r="N35" s="197">
        <v>0</v>
      </c>
      <c r="O35" s="198">
        <v>0</v>
      </c>
      <c r="P35" s="198">
        <v>0</v>
      </c>
      <c r="Q35" s="198">
        <v>0</v>
      </c>
      <c r="R35" s="197">
        <v>0</v>
      </c>
      <c r="S35" s="197">
        <v>0</v>
      </c>
      <c r="T35" s="204">
        <v>0</v>
      </c>
      <c r="U35" s="204">
        <v>0</v>
      </c>
      <c r="V35" s="204">
        <v>0</v>
      </c>
      <c r="W35" s="197">
        <v>0</v>
      </c>
    </row>
    <row r="36" spans="1:23" ht="16.5" thickBot="1" x14ac:dyDescent="0.3">
      <c r="A36" s="21" t="s">
        <v>41</v>
      </c>
      <c r="B36" s="51">
        <f>B37+B38+B41+B46+B47+B48+B49+B53+B54+B55+B56+B57</f>
        <v>199.15</v>
      </c>
      <c r="C36" s="51">
        <f t="shared" si="19"/>
        <v>-123.39000000000001</v>
      </c>
      <c r="D36" s="54">
        <v>75.759999999999991</v>
      </c>
      <c r="E36" s="197">
        <f>E37+E38+E41+E46+E47+E48+E49+E53+E54+E55</f>
        <v>1056.604312329315</v>
      </c>
      <c r="F36" s="198">
        <f>F37+F38+F41+F46+F47+F48+F49+F53+F54+F55</f>
        <v>226.82996581835619</v>
      </c>
      <c r="G36" s="198">
        <f t="shared" ref="G36:H36" si="21">G37+G38+G41+G46+G47+G48+G49+G53+G54+G55</f>
        <v>167.44652116082187</v>
      </c>
      <c r="H36" s="198">
        <f t="shared" si="21"/>
        <v>153.03566543479451</v>
      </c>
      <c r="I36" s="197">
        <f t="shared" si="2"/>
        <v>547.31215241397263</v>
      </c>
      <c r="J36" s="198">
        <f>J37+J38+J41+J46+J47+J48+J49+J53+J54+J55</f>
        <v>151.45226781835618</v>
      </c>
      <c r="K36" s="198">
        <f t="shared" ref="K36:L36" si="22">K37+K38+K41+K46+K47+K48+K49+K57+K54+K55</f>
        <v>0</v>
      </c>
      <c r="L36" s="198">
        <f t="shared" si="22"/>
        <v>0</v>
      </c>
      <c r="M36" s="197">
        <f t="shared" si="4"/>
        <v>151.45226781835618</v>
      </c>
      <c r="N36" s="197">
        <f t="shared" si="5"/>
        <v>698.7644202323288</v>
      </c>
      <c r="O36" s="198">
        <f t="shared" ref="O36:Q36" si="23">O37+O38+O41+O46+O47+O48+O49+O57+O54+O55</f>
        <v>0</v>
      </c>
      <c r="P36" s="198">
        <f t="shared" si="23"/>
        <v>0</v>
      </c>
      <c r="Q36" s="198">
        <f t="shared" si="23"/>
        <v>0</v>
      </c>
      <c r="R36" s="197">
        <f t="shared" si="7"/>
        <v>0</v>
      </c>
      <c r="S36" s="197">
        <f t="shared" si="8"/>
        <v>698.7644202323288</v>
      </c>
      <c r="T36" s="204">
        <f t="shared" ref="T36:V36" si="24">T37+T38+T41+T46+T47+T48+T49+T53+T54+T55</f>
        <v>64.719427008219185</v>
      </c>
      <c r="U36" s="204">
        <f t="shared" si="24"/>
        <v>127.8572101471233</v>
      </c>
      <c r="V36" s="204">
        <f t="shared" si="24"/>
        <v>165.26325494164382</v>
      </c>
      <c r="W36" s="197">
        <f t="shared" si="10"/>
        <v>357.83989209698632</v>
      </c>
    </row>
    <row r="37" spans="1:23" ht="16.5" thickBot="1" x14ac:dyDescent="0.3">
      <c r="A37" s="22" t="s">
        <v>42</v>
      </c>
      <c r="B37" s="52">
        <v>0</v>
      </c>
      <c r="C37" s="52">
        <v>0</v>
      </c>
      <c r="D37" s="54">
        <v>0</v>
      </c>
      <c r="E37" s="197">
        <f t="shared" si="18"/>
        <v>0</v>
      </c>
      <c r="F37" s="198">
        <v>0</v>
      </c>
      <c r="G37" s="198">
        <v>0</v>
      </c>
      <c r="H37" s="198">
        <v>0</v>
      </c>
      <c r="I37" s="197">
        <v>0</v>
      </c>
      <c r="J37" s="198">
        <v>0</v>
      </c>
      <c r="K37" s="198">
        <v>0</v>
      </c>
      <c r="L37" s="198">
        <v>0</v>
      </c>
      <c r="M37" s="197">
        <v>0</v>
      </c>
      <c r="N37" s="197">
        <v>0</v>
      </c>
      <c r="O37" s="198">
        <v>0</v>
      </c>
      <c r="P37" s="198">
        <v>0</v>
      </c>
      <c r="Q37" s="198">
        <v>0</v>
      </c>
      <c r="R37" s="197">
        <v>0</v>
      </c>
      <c r="S37" s="197">
        <v>0</v>
      </c>
      <c r="T37" s="204">
        <v>0</v>
      </c>
      <c r="U37" s="204">
        <v>0</v>
      </c>
      <c r="V37" s="204">
        <v>0</v>
      </c>
      <c r="W37" s="197">
        <v>0</v>
      </c>
    </row>
    <row r="38" spans="1:23" ht="16.5" thickBot="1" x14ac:dyDescent="0.3">
      <c r="A38" s="22" t="s">
        <v>43</v>
      </c>
      <c r="B38" s="52">
        <v>87.76</v>
      </c>
      <c r="C38" s="52">
        <f t="shared" si="19"/>
        <v>-87.76</v>
      </c>
      <c r="D38" s="54">
        <v>0</v>
      </c>
      <c r="E38" s="197">
        <f t="shared" si="18"/>
        <v>0</v>
      </c>
      <c r="F38" s="198">
        <f>F39+F40</f>
        <v>0</v>
      </c>
      <c r="G38" s="198">
        <f t="shared" ref="G38:V38" si="25">G39+G40</f>
        <v>0</v>
      </c>
      <c r="H38" s="198">
        <f t="shared" si="25"/>
        <v>0</v>
      </c>
      <c r="I38" s="197">
        <f t="shared" si="2"/>
        <v>0</v>
      </c>
      <c r="J38" s="198">
        <f t="shared" si="25"/>
        <v>0</v>
      </c>
      <c r="K38" s="198">
        <f t="shared" si="25"/>
        <v>0</v>
      </c>
      <c r="L38" s="198">
        <f t="shared" si="25"/>
        <v>0</v>
      </c>
      <c r="M38" s="197">
        <f t="shared" si="4"/>
        <v>0</v>
      </c>
      <c r="N38" s="197">
        <f t="shared" si="5"/>
        <v>0</v>
      </c>
      <c r="O38" s="198">
        <f t="shared" si="25"/>
        <v>0</v>
      </c>
      <c r="P38" s="198">
        <f t="shared" si="25"/>
        <v>0</v>
      </c>
      <c r="Q38" s="198">
        <f t="shared" si="25"/>
        <v>0</v>
      </c>
      <c r="R38" s="197">
        <f t="shared" si="7"/>
        <v>0</v>
      </c>
      <c r="S38" s="197">
        <f t="shared" si="8"/>
        <v>0</v>
      </c>
      <c r="T38" s="204">
        <f t="shared" si="25"/>
        <v>0</v>
      </c>
      <c r="U38" s="204">
        <f t="shared" si="25"/>
        <v>0</v>
      </c>
      <c r="V38" s="204">
        <f t="shared" si="25"/>
        <v>0</v>
      </c>
      <c r="W38" s="197">
        <f t="shared" si="10"/>
        <v>0</v>
      </c>
    </row>
    <row r="39" spans="1:23" ht="15.75" thickBot="1" x14ac:dyDescent="0.3">
      <c r="A39" s="37" t="s">
        <v>44</v>
      </c>
      <c r="B39" s="56">
        <v>87.76</v>
      </c>
      <c r="C39" s="56">
        <f t="shared" si="19"/>
        <v>-87.76</v>
      </c>
      <c r="D39" s="54">
        <v>0</v>
      </c>
      <c r="E39" s="197">
        <f t="shared" si="18"/>
        <v>0</v>
      </c>
      <c r="F39" s="198">
        <v>0</v>
      </c>
      <c r="G39" s="198">
        <v>0</v>
      </c>
      <c r="H39" s="198">
        <v>0</v>
      </c>
      <c r="I39" s="197">
        <f t="shared" si="2"/>
        <v>0</v>
      </c>
      <c r="J39" s="198">
        <v>0</v>
      </c>
      <c r="K39" s="198">
        <v>0</v>
      </c>
      <c r="L39" s="198">
        <v>0</v>
      </c>
      <c r="M39" s="197">
        <f t="shared" si="4"/>
        <v>0</v>
      </c>
      <c r="N39" s="197">
        <f t="shared" si="5"/>
        <v>0</v>
      </c>
      <c r="O39" s="198">
        <v>0</v>
      </c>
      <c r="P39" s="198">
        <v>0</v>
      </c>
      <c r="Q39" s="198">
        <v>0</v>
      </c>
      <c r="R39" s="197">
        <f t="shared" si="7"/>
        <v>0</v>
      </c>
      <c r="S39" s="197">
        <f t="shared" si="8"/>
        <v>0</v>
      </c>
      <c r="T39" s="204">
        <v>0</v>
      </c>
      <c r="U39" s="204">
        <v>0</v>
      </c>
      <c r="V39" s="204">
        <v>0</v>
      </c>
      <c r="W39" s="197">
        <f t="shared" si="10"/>
        <v>0</v>
      </c>
    </row>
    <row r="40" spans="1:23" ht="15.75" thickBot="1" x14ac:dyDescent="0.3">
      <c r="A40" s="37" t="s">
        <v>45</v>
      </c>
      <c r="B40" s="56"/>
      <c r="C40" s="56">
        <f t="shared" si="19"/>
        <v>0</v>
      </c>
      <c r="D40" s="54">
        <v>0</v>
      </c>
      <c r="E40" s="197">
        <f t="shared" si="18"/>
        <v>0</v>
      </c>
      <c r="F40" s="198">
        <v>0</v>
      </c>
      <c r="G40" s="198">
        <v>0</v>
      </c>
      <c r="H40" s="198">
        <v>0</v>
      </c>
      <c r="I40" s="197">
        <f t="shared" si="2"/>
        <v>0</v>
      </c>
      <c r="J40" s="198">
        <v>0</v>
      </c>
      <c r="K40" s="198">
        <v>0</v>
      </c>
      <c r="L40" s="198">
        <v>0</v>
      </c>
      <c r="M40" s="197">
        <f t="shared" si="4"/>
        <v>0</v>
      </c>
      <c r="N40" s="197">
        <f t="shared" si="5"/>
        <v>0</v>
      </c>
      <c r="O40" s="198">
        <v>0</v>
      </c>
      <c r="P40" s="198">
        <v>0</v>
      </c>
      <c r="Q40" s="198">
        <v>0</v>
      </c>
      <c r="R40" s="197">
        <f t="shared" si="7"/>
        <v>0</v>
      </c>
      <c r="S40" s="197">
        <f t="shared" si="8"/>
        <v>0</v>
      </c>
      <c r="T40" s="204">
        <v>0</v>
      </c>
      <c r="U40" s="204">
        <v>0</v>
      </c>
      <c r="V40" s="204">
        <v>0</v>
      </c>
      <c r="W40" s="197">
        <f t="shared" si="10"/>
        <v>0</v>
      </c>
    </row>
    <row r="41" spans="1:23" ht="16.5" thickBot="1" x14ac:dyDescent="0.3">
      <c r="A41" s="22" t="s">
        <v>46</v>
      </c>
      <c r="B41" s="52">
        <f>B42+B43+B44+B45</f>
        <v>1.95</v>
      </c>
      <c r="C41" s="52">
        <f t="shared" si="19"/>
        <v>73.809999999999988</v>
      </c>
      <c r="D41" s="54">
        <v>75.759999999999991</v>
      </c>
      <c r="E41" s="197">
        <f t="shared" si="18"/>
        <v>141.90799999999999</v>
      </c>
      <c r="F41" s="198">
        <f>F42+F43+F44+F45</f>
        <v>21.228999999999999</v>
      </c>
      <c r="G41" s="198">
        <f t="shared" ref="G41:H41" si="26">G42+G43+G44+G45</f>
        <v>21.228999999999999</v>
      </c>
      <c r="H41" s="198">
        <f t="shared" si="26"/>
        <v>21.228999999999999</v>
      </c>
      <c r="I41" s="197">
        <f t="shared" si="2"/>
        <v>63.686999999999998</v>
      </c>
      <c r="J41" s="198">
        <f>J42+J43+J44+J45</f>
        <v>21.228999999999999</v>
      </c>
      <c r="K41" s="198">
        <f t="shared" ref="K41:Q41" si="27">K42+K43+K44+K45</f>
        <v>0</v>
      </c>
      <c r="L41" s="198">
        <f t="shared" si="27"/>
        <v>0</v>
      </c>
      <c r="M41" s="197">
        <f t="shared" si="4"/>
        <v>21.228999999999999</v>
      </c>
      <c r="N41" s="197">
        <f t="shared" si="5"/>
        <v>84.915999999999997</v>
      </c>
      <c r="O41" s="198">
        <f t="shared" si="27"/>
        <v>0</v>
      </c>
      <c r="P41" s="198">
        <f t="shared" si="27"/>
        <v>0</v>
      </c>
      <c r="Q41" s="198">
        <f t="shared" si="27"/>
        <v>0</v>
      </c>
      <c r="R41" s="197">
        <f t="shared" si="7"/>
        <v>0</v>
      </c>
      <c r="S41" s="197">
        <f t="shared" si="8"/>
        <v>84.915999999999997</v>
      </c>
      <c r="T41" s="204">
        <f t="shared" ref="T41:V41" si="28">T42+T43+T44+T45</f>
        <v>14.534000000000001</v>
      </c>
      <c r="U41" s="204">
        <f t="shared" si="28"/>
        <v>21.228999999999999</v>
      </c>
      <c r="V41" s="204">
        <f t="shared" si="28"/>
        <v>21.228999999999999</v>
      </c>
      <c r="W41" s="197">
        <f t="shared" si="10"/>
        <v>56.991999999999997</v>
      </c>
    </row>
    <row r="42" spans="1:23" ht="15.75" thickBot="1" x14ac:dyDescent="0.3">
      <c r="A42" s="37" t="s">
        <v>47</v>
      </c>
      <c r="B42" s="56">
        <v>0</v>
      </c>
      <c r="C42" s="56">
        <f t="shared" si="19"/>
        <v>46.41</v>
      </c>
      <c r="D42" s="54">
        <v>46.41</v>
      </c>
      <c r="E42" s="197">
        <f t="shared" si="18"/>
        <v>0</v>
      </c>
      <c r="F42" s="198"/>
      <c r="G42" s="198"/>
      <c r="H42" s="198"/>
      <c r="I42" s="197">
        <f t="shared" si="2"/>
        <v>0</v>
      </c>
      <c r="J42" s="198"/>
      <c r="K42" s="198"/>
      <c r="L42" s="198"/>
      <c r="M42" s="197">
        <f t="shared" si="4"/>
        <v>0</v>
      </c>
      <c r="N42" s="197">
        <f t="shared" si="5"/>
        <v>0</v>
      </c>
      <c r="O42" s="198">
        <v>0</v>
      </c>
      <c r="P42" s="198">
        <v>0</v>
      </c>
      <c r="Q42" s="198">
        <v>0</v>
      </c>
      <c r="R42" s="197">
        <f t="shared" si="7"/>
        <v>0</v>
      </c>
      <c r="S42" s="197">
        <f t="shared" si="8"/>
        <v>0</v>
      </c>
      <c r="T42" s="204"/>
      <c r="U42" s="204"/>
      <c r="V42" s="204"/>
      <c r="W42" s="197">
        <f t="shared" si="10"/>
        <v>0</v>
      </c>
    </row>
    <row r="43" spans="1:23" ht="15.75" thickBot="1" x14ac:dyDescent="0.3">
      <c r="A43" s="37" t="s">
        <v>48</v>
      </c>
      <c r="B43" s="56">
        <v>0</v>
      </c>
      <c r="C43" s="56">
        <f t="shared" si="19"/>
        <v>7</v>
      </c>
      <c r="D43" s="54">
        <v>7</v>
      </c>
      <c r="E43" s="197">
        <f t="shared" si="18"/>
        <v>0</v>
      </c>
      <c r="F43" s="198"/>
      <c r="G43" s="198"/>
      <c r="H43" s="198"/>
      <c r="I43" s="197">
        <f t="shared" si="2"/>
        <v>0</v>
      </c>
      <c r="J43" s="198"/>
      <c r="K43" s="198"/>
      <c r="L43" s="198"/>
      <c r="M43" s="197">
        <f t="shared" si="4"/>
        <v>0</v>
      </c>
      <c r="N43" s="197">
        <f t="shared" si="5"/>
        <v>0</v>
      </c>
      <c r="O43" s="198">
        <v>0</v>
      </c>
      <c r="P43" s="198">
        <v>0</v>
      </c>
      <c r="Q43" s="198">
        <v>0</v>
      </c>
      <c r="R43" s="197">
        <f t="shared" si="7"/>
        <v>0</v>
      </c>
      <c r="S43" s="197">
        <f t="shared" si="8"/>
        <v>0</v>
      </c>
      <c r="T43" s="204"/>
      <c r="U43" s="204"/>
      <c r="V43" s="204"/>
      <c r="W43" s="197">
        <f t="shared" si="10"/>
        <v>0</v>
      </c>
    </row>
    <row r="44" spans="1:23" ht="15.75" thickBot="1" x14ac:dyDescent="0.3">
      <c r="A44" s="37" t="s">
        <v>49</v>
      </c>
      <c r="B44" s="56">
        <v>0</v>
      </c>
      <c r="C44" s="56">
        <v>0</v>
      </c>
      <c r="D44" s="54">
        <v>0</v>
      </c>
      <c r="E44" s="197">
        <f t="shared" si="18"/>
        <v>0</v>
      </c>
      <c r="F44" s="198"/>
      <c r="G44" s="198"/>
      <c r="H44" s="198"/>
      <c r="I44" s="197">
        <f t="shared" si="2"/>
        <v>0</v>
      </c>
      <c r="J44" s="198"/>
      <c r="K44" s="198"/>
      <c r="L44" s="198"/>
      <c r="M44" s="197">
        <f t="shared" si="4"/>
        <v>0</v>
      </c>
      <c r="N44" s="197">
        <f t="shared" si="5"/>
        <v>0</v>
      </c>
      <c r="O44" s="198">
        <v>0</v>
      </c>
      <c r="P44" s="198">
        <v>0</v>
      </c>
      <c r="Q44" s="198">
        <v>0</v>
      </c>
      <c r="R44" s="197">
        <f t="shared" si="7"/>
        <v>0</v>
      </c>
      <c r="S44" s="197">
        <f t="shared" si="8"/>
        <v>0</v>
      </c>
      <c r="T44" s="204"/>
      <c r="U44" s="204"/>
      <c r="V44" s="204"/>
      <c r="W44" s="197">
        <f t="shared" si="10"/>
        <v>0</v>
      </c>
    </row>
    <row r="45" spans="1:23" ht="15.75" thickBot="1" x14ac:dyDescent="0.3">
      <c r="A45" s="37" t="s">
        <v>50</v>
      </c>
      <c r="B45" s="56">
        <v>1.95</v>
      </c>
      <c r="C45" s="56">
        <f t="shared" si="19"/>
        <v>20.400000000000002</v>
      </c>
      <c r="D45" s="54">
        <v>22.35</v>
      </c>
      <c r="E45" s="197">
        <f t="shared" si="18"/>
        <v>141.90799999999999</v>
      </c>
      <c r="F45" s="198">
        <f>новокачалинск!E54+первомайское!E54+Троицкое!E54+октябрьское!E54+Майское!E54</f>
        <v>21.228999999999999</v>
      </c>
      <c r="G45" s="198">
        <f>новокачалинск!F54+первомайское!F54+Троицкое!F54+октябрьское!F54+Майское!F54</f>
        <v>21.228999999999999</v>
      </c>
      <c r="H45" s="198">
        <f>новокачалинск!G54+первомайское!G54+Троицкое!G54+октябрьское!G54+Майское!G54</f>
        <v>21.228999999999999</v>
      </c>
      <c r="I45" s="197">
        <f t="shared" si="2"/>
        <v>63.686999999999998</v>
      </c>
      <c r="J45" s="198">
        <f>новокачалинск!I54+первомайское!I54+Троицкое!I54+октябрьское!I54+Майское!I54</f>
        <v>21.228999999999999</v>
      </c>
      <c r="K45" s="198">
        <f>новокачалинск!J54+первомайское!J54+Троицкое!J54+октябрьское!J54+Майское!J54</f>
        <v>0</v>
      </c>
      <c r="L45" s="198">
        <f>новокачалинск!K54+первомайское!K54+Троицкое!K54+октябрьское!K54+Майское!K54</f>
        <v>0</v>
      </c>
      <c r="M45" s="197">
        <f t="shared" si="4"/>
        <v>21.228999999999999</v>
      </c>
      <c r="N45" s="197">
        <f t="shared" si="5"/>
        <v>84.915999999999997</v>
      </c>
      <c r="O45" s="198">
        <v>0</v>
      </c>
      <c r="P45" s="198">
        <v>0</v>
      </c>
      <c r="Q45" s="198">
        <v>0</v>
      </c>
      <c r="R45" s="197">
        <f t="shared" si="7"/>
        <v>0</v>
      </c>
      <c r="S45" s="197">
        <f t="shared" si="8"/>
        <v>84.915999999999997</v>
      </c>
      <c r="T45" s="204">
        <f>новокачалинск!S54+первомайское!S54+Троицкое!S54+октябрьское!S54+Майское!S54</f>
        <v>14.534000000000001</v>
      </c>
      <c r="U45" s="204">
        <f>новокачалинск!T54+первомайское!T54+Троицкое!T54+октябрьское!T54+Майское!T54</f>
        <v>21.228999999999999</v>
      </c>
      <c r="V45" s="204">
        <f>новокачалинск!U54+первомайское!U54+Троицкое!U54+октябрьское!U54+Майское!U54</f>
        <v>21.228999999999999</v>
      </c>
      <c r="W45" s="197">
        <f t="shared" si="10"/>
        <v>56.991999999999997</v>
      </c>
    </row>
    <row r="46" spans="1:23" ht="16.5" thickBot="1" x14ac:dyDescent="0.3">
      <c r="A46" s="22" t="s">
        <v>51</v>
      </c>
      <c r="B46" s="52">
        <v>0</v>
      </c>
      <c r="C46" s="52">
        <f t="shared" si="19"/>
        <v>0</v>
      </c>
      <c r="D46" s="54">
        <v>0</v>
      </c>
      <c r="E46" s="197">
        <f t="shared" si="18"/>
        <v>0</v>
      </c>
      <c r="F46" s="198">
        <v>0</v>
      </c>
      <c r="G46" s="198">
        <v>0</v>
      </c>
      <c r="H46" s="198">
        <v>0</v>
      </c>
      <c r="I46" s="197">
        <f t="shared" si="2"/>
        <v>0</v>
      </c>
      <c r="J46" s="198">
        <v>0</v>
      </c>
      <c r="K46" s="198">
        <v>0</v>
      </c>
      <c r="L46" s="198">
        <v>0</v>
      </c>
      <c r="M46" s="197">
        <f t="shared" si="4"/>
        <v>0</v>
      </c>
      <c r="N46" s="197">
        <f t="shared" si="5"/>
        <v>0</v>
      </c>
      <c r="O46" s="198">
        <v>0</v>
      </c>
      <c r="P46" s="198">
        <v>0</v>
      </c>
      <c r="Q46" s="198">
        <v>0</v>
      </c>
      <c r="R46" s="197">
        <f t="shared" si="7"/>
        <v>0</v>
      </c>
      <c r="S46" s="197">
        <f t="shared" si="8"/>
        <v>0</v>
      </c>
      <c r="T46" s="204">
        <v>0</v>
      </c>
      <c r="U46" s="204">
        <v>0</v>
      </c>
      <c r="V46" s="204">
        <v>0</v>
      </c>
      <c r="W46" s="197">
        <f t="shared" si="10"/>
        <v>0</v>
      </c>
    </row>
    <row r="47" spans="1:23" ht="32.25" thickBot="1" x14ac:dyDescent="0.3">
      <c r="A47" s="22" t="s">
        <v>88</v>
      </c>
      <c r="B47" s="52">
        <v>0</v>
      </c>
      <c r="C47" s="52">
        <v>0</v>
      </c>
      <c r="D47" s="54">
        <v>0</v>
      </c>
      <c r="E47" s="197">
        <f t="shared" si="18"/>
        <v>0</v>
      </c>
      <c r="F47" s="198">
        <v>0</v>
      </c>
      <c r="G47" s="198">
        <v>0</v>
      </c>
      <c r="H47" s="198">
        <v>0</v>
      </c>
      <c r="I47" s="197">
        <f t="shared" si="2"/>
        <v>0</v>
      </c>
      <c r="J47" s="198">
        <v>0</v>
      </c>
      <c r="K47" s="198">
        <v>0</v>
      </c>
      <c r="L47" s="198">
        <v>0</v>
      </c>
      <c r="M47" s="197">
        <f t="shared" si="4"/>
        <v>0</v>
      </c>
      <c r="N47" s="197">
        <f t="shared" si="5"/>
        <v>0</v>
      </c>
      <c r="O47" s="198">
        <v>0</v>
      </c>
      <c r="P47" s="198">
        <v>0</v>
      </c>
      <c r="Q47" s="198">
        <v>0</v>
      </c>
      <c r="R47" s="197">
        <f t="shared" si="7"/>
        <v>0</v>
      </c>
      <c r="S47" s="197">
        <f t="shared" si="8"/>
        <v>0</v>
      </c>
      <c r="T47" s="204">
        <v>0</v>
      </c>
      <c r="U47" s="204">
        <v>0</v>
      </c>
      <c r="V47" s="204">
        <v>0</v>
      </c>
      <c r="W47" s="197">
        <f t="shared" si="10"/>
        <v>0</v>
      </c>
    </row>
    <row r="48" spans="1:23" ht="16.5" thickBot="1" x14ac:dyDescent="0.3">
      <c r="A48" s="22" t="s">
        <v>81</v>
      </c>
      <c r="B48" s="52">
        <v>0</v>
      </c>
      <c r="C48" s="52">
        <v>0</v>
      </c>
      <c r="D48" s="54">
        <v>0</v>
      </c>
      <c r="E48" s="197">
        <f t="shared" si="18"/>
        <v>0</v>
      </c>
      <c r="F48" s="198">
        <v>0</v>
      </c>
      <c r="G48" s="198">
        <v>0</v>
      </c>
      <c r="H48" s="198">
        <v>0</v>
      </c>
      <c r="I48" s="197">
        <f t="shared" si="2"/>
        <v>0</v>
      </c>
      <c r="J48" s="198">
        <v>0</v>
      </c>
      <c r="K48" s="198">
        <v>0</v>
      </c>
      <c r="L48" s="198">
        <v>0</v>
      </c>
      <c r="M48" s="197">
        <f t="shared" si="4"/>
        <v>0</v>
      </c>
      <c r="N48" s="197">
        <f t="shared" si="5"/>
        <v>0</v>
      </c>
      <c r="O48" s="198">
        <v>0</v>
      </c>
      <c r="P48" s="198">
        <v>0</v>
      </c>
      <c r="Q48" s="198">
        <v>0</v>
      </c>
      <c r="R48" s="197">
        <f t="shared" si="7"/>
        <v>0</v>
      </c>
      <c r="S48" s="197">
        <f t="shared" si="8"/>
        <v>0</v>
      </c>
      <c r="T48" s="204">
        <v>0</v>
      </c>
      <c r="U48" s="204">
        <v>0</v>
      </c>
      <c r="V48" s="204">
        <v>0</v>
      </c>
      <c r="W48" s="197">
        <f t="shared" si="10"/>
        <v>0</v>
      </c>
    </row>
    <row r="49" spans="1:23" ht="16.5" thickBot="1" x14ac:dyDescent="0.3">
      <c r="A49" s="22" t="s">
        <v>52</v>
      </c>
      <c r="B49" s="52">
        <f>B50+B51+B52</f>
        <v>0</v>
      </c>
      <c r="C49" s="52">
        <v>0</v>
      </c>
      <c r="D49" s="54">
        <v>0</v>
      </c>
      <c r="E49" s="197">
        <f t="shared" si="18"/>
        <v>0</v>
      </c>
      <c r="F49" s="198">
        <f>F50+F51+F52</f>
        <v>0</v>
      </c>
      <c r="G49" s="198">
        <f t="shared" ref="G49:V49" si="29">G50+G51+G52</f>
        <v>0</v>
      </c>
      <c r="H49" s="198">
        <f t="shared" si="29"/>
        <v>0</v>
      </c>
      <c r="I49" s="197">
        <f t="shared" si="2"/>
        <v>0</v>
      </c>
      <c r="J49" s="198">
        <f t="shared" si="29"/>
        <v>0</v>
      </c>
      <c r="K49" s="198">
        <f t="shared" si="29"/>
        <v>0</v>
      </c>
      <c r="L49" s="198">
        <f t="shared" si="29"/>
        <v>0</v>
      </c>
      <c r="M49" s="197">
        <f t="shared" si="4"/>
        <v>0</v>
      </c>
      <c r="N49" s="197">
        <f t="shared" si="5"/>
        <v>0</v>
      </c>
      <c r="O49" s="198">
        <f t="shared" si="29"/>
        <v>0</v>
      </c>
      <c r="P49" s="198">
        <f t="shared" si="29"/>
        <v>0</v>
      </c>
      <c r="Q49" s="198">
        <f t="shared" si="29"/>
        <v>0</v>
      </c>
      <c r="R49" s="197">
        <f t="shared" si="7"/>
        <v>0</v>
      </c>
      <c r="S49" s="197">
        <f t="shared" si="8"/>
        <v>0</v>
      </c>
      <c r="T49" s="204">
        <f t="shared" si="29"/>
        <v>0</v>
      </c>
      <c r="U49" s="204">
        <f t="shared" si="29"/>
        <v>0</v>
      </c>
      <c r="V49" s="204">
        <f t="shared" si="29"/>
        <v>0</v>
      </c>
      <c r="W49" s="197">
        <f t="shared" si="10"/>
        <v>0</v>
      </c>
    </row>
    <row r="50" spans="1:23" ht="15.75" thickBot="1" x14ac:dyDescent="0.3">
      <c r="A50" s="39" t="s">
        <v>53</v>
      </c>
      <c r="B50" s="56">
        <v>0</v>
      </c>
      <c r="C50" s="56">
        <v>0</v>
      </c>
      <c r="D50" s="54">
        <v>0</v>
      </c>
      <c r="E50" s="197">
        <f t="shared" si="18"/>
        <v>0</v>
      </c>
      <c r="F50" s="198">
        <v>0</v>
      </c>
      <c r="G50" s="198">
        <v>0</v>
      </c>
      <c r="H50" s="198">
        <v>0</v>
      </c>
      <c r="I50" s="197">
        <f t="shared" si="2"/>
        <v>0</v>
      </c>
      <c r="J50" s="198">
        <v>0</v>
      </c>
      <c r="K50" s="198">
        <v>0</v>
      </c>
      <c r="L50" s="198">
        <v>0</v>
      </c>
      <c r="M50" s="197">
        <f t="shared" si="4"/>
        <v>0</v>
      </c>
      <c r="N50" s="197">
        <f t="shared" si="5"/>
        <v>0</v>
      </c>
      <c r="O50" s="198">
        <v>0</v>
      </c>
      <c r="P50" s="198">
        <v>0</v>
      </c>
      <c r="Q50" s="198">
        <v>0</v>
      </c>
      <c r="R50" s="197">
        <f t="shared" si="7"/>
        <v>0</v>
      </c>
      <c r="S50" s="197">
        <f t="shared" si="8"/>
        <v>0</v>
      </c>
      <c r="T50" s="204">
        <v>0</v>
      </c>
      <c r="U50" s="204">
        <v>0</v>
      </c>
      <c r="V50" s="204">
        <v>0</v>
      </c>
      <c r="W50" s="197">
        <f t="shared" si="10"/>
        <v>0</v>
      </c>
    </row>
    <row r="51" spans="1:23" ht="15.75" thickBot="1" x14ac:dyDescent="0.3">
      <c r="A51" s="40" t="s">
        <v>86</v>
      </c>
      <c r="B51" s="56">
        <v>0</v>
      </c>
      <c r="C51" s="56">
        <v>0</v>
      </c>
      <c r="D51" s="54">
        <v>0</v>
      </c>
      <c r="E51" s="197">
        <f t="shared" si="18"/>
        <v>0</v>
      </c>
      <c r="F51" s="198">
        <v>0</v>
      </c>
      <c r="G51" s="198">
        <v>0</v>
      </c>
      <c r="H51" s="198">
        <v>0</v>
      </c>
      <c r="I51" s="197">
        <f t="shared" si="2"/>
        <v>0</v>
      </c>
      <c r="J51" s="198">
        <v>0</v>
      </c>
      <c r="K51" s="198">
        <v>0</v>
      </c>
      <c r="L51" s="198">
        <v>0</v>
      </c>
      <c r="M51" s="197">
        <f t="shared" si="4"/>
        <v>0</v>
      </c>
      <c r="N51" s="197">
        <f t="shared" si="5"/>
        <v>0</v>
      </c>
      <c r="O51" s="198">
        <v>0</v>
      </c>
      <c r="P51" s="198">
        <v>0</v>
      </c>
      <c r="Q51" s="198">
        <v>0</v>
      </c>
      <c r="R51" s="197">
        <f t="shared" si="7"/>
        <v>0</v>
      </c>
      <c r="S51" s="197">
        <f t="shared" si="8"/>
        <v>0</v>
      </c>
      <c r="T51" s="204">
        <v>0</v>
      </c>
      <c r="U51" s="204">
        <v>0</v>
      </c>
      <c r="V51" s="204">
        <v>0</v>
      </c>
      <c r="W51" s="197">
        <f t="shared" si="10"/>
        <v>0</v>
      </c>
    </row>
    <row r="52" spans="1:23" x14ac:dyDescent="0.25">
      <c r="A52" s="41" t="s">
        <v>89</v>
      </c>
      <c r="B52" s="56">
        <v>0</v>
      </c>
      <c r="C52" s="56">
        <v>0</v>
      </c>
      <c r="D52" s="54">
        <v>0</v>
      </c>
      <c r="E52" s="197">
        <f t="shared" si="18"/>
        <v>0</v>
      </c>
      <c r="F52" s="198">
        <v>0</v>
      </c>
      <c r="G52" s="198">
        <v>0</v>
      </c>
      <c r="H52" s="198">
        <v>0</v>
      </c>
      <c r="I52" s="197">
        <f t="shared" si="2"/>
        <v>0</v>
      </c>
      <c r="J52" s="198">
        <v>0</v>
      </c>
      <c r="K52" s="198">
        <v>0</v>
      </c>
      <c r="L52" s="198">
        <v>0</v>
      </c>
      <c r="M52" s="197">
        <f t="shared" si="4"/>
        <v>0</v>
      </c>
      <c r="N52" s="197">
        <f t="shared" si="5"/>
        <v>0</v>
      </c>
      <c r="O52" s="198">
        <v>0</v>
      </c>
      <c r="P52" s="198">
        <v>0</v>
      </c>
      <c r="Q52" s="198">
        <v>0</v>
      </c>
      <c r="R52" s="197">
        <f t="shared" si="7"/>
        <v>0</v>
      </c>
      <c r="S52" s="197">
        <f t="shared" si="8"/>
        <v>0</v>
      </c>
      <c r="T52" s="204">
        <v>0</v>
      </c>
      <c r="U52" s="204">
        <v>0</v>
      </c>
      <c r="V52" s="204">
        <v>0</v>
      </c>
      <c r="W52" s="197">
        <f t="shared" si="10"/>
        <v>0</v>
      </c>
    </row>
    <row r="53" spans="1:23" x14ac:dyDescent="0.25">
      <c r="A53" s="5" t="s">
        <v>87</v>
      </c>
      <c r="B53" s="46">
        <v>0</v>
      </c>
      <c r="C53" s="46">
        <v>0</v>
      </c>
      <c r="D53" s="54">
        <v>0</v>
      </c>
      <c r="E53" s="197">
        <f t="shared" si="18"/>
        <v>0</v>
      </c>
      <c r="F53" s="200">
        <v>0</v>
      </c>
      <c r="G53" s="200">
        <v>0</v>
      </c>
      <c r="H53" s="200">
        <v>0</v>
      </c>
      <c r="I53" s="197">
        <f t="shared" si="2"/>
        <v>0</v>
      </c>
      <c r="J53" s="200">
        <v>0</v>
      </c>
      <c r="K53" s="200">
        <v>0</v>
      </c>
      <c r="L53" s="200">
        <v>0</v>
      </c>
      <c r="M53" s="197">
        <f t="shared" si="4"/>
        <v>0</v>
      </c>
      <c r="N53" s="197">
        <f t="shared" si="5"/>
        <v>0</v>
      </c>
      <c r="O53" s="200">
        <v>0</v>
      </c>
      <c r="P53" s="200">
        <v>0</v>
      </c>
      <c r="Q53" s="200">
        <v>0</v>
      </c>
      <c r="R53" s="197">
        <f t="shared" si="7"/>
        <v>0</v>
      </c>
      <c r="S53" s="197">
        <f t="shared" si="8"/>
        <v>0</v>
      </c>
      <c r="T53" s="205">
        <v>0</v>
      </c>
      <c r="U53" s="205">
        <v>0</v>
      </c>
      <c r="V53" s="205">
        <v>0</v>
      </c>
      <c r="W53" s="197">
        <f t="shared" si="10"/>
        <v>0</v>
      </c>
    </row>
    <row r="54" spans="1:23" x14ac:dyDescent="0.25">
      <c r="A54" s="208" t="s">
        <v>301</v>
      </c>
      <c r="B54" s="56">
        <v>40</v>
      </c>
      <c r="C54" s="56">
        <f t="shared" si="19"/>
        <v>-40</v>
      </c>
      <c r="D54" s="54">
        <v>0</v>
      </c>
      <c r="E54" s="197">
        <f t="shared" si="18"/>
        <v>0</v>
      </c>
      <c r="F54" s="200">
        <v>0</v>
      </c>
      <c r="G54" s="200">
        <v>0</v>
      </c>
      <c r="H54" s="200">
        <v>0</v>
      </c>
      <c r="I54" s="197">
        <f t="shared" si="2"/>
        <v>0</v>
      </c>
      <c r="J54" s="200">
        <v>0</v>
      </c>
      <c r="K54" s="200">
        <v>0</v>
      </c>
      <c r="L54" s="200">
        <v>0</v>
      </c>
      <c r="M54" s="197">
        <f t="shared" si="4"/>
        <v>0</v>
      </c>
      <c r="N54" s="197">
        <f t="shared" si="5"/>
        <v>0</v>
      </c>
      <c r="O54" s="200">
        <v>0</v>
      </c>
      <c r="P54" s="200">
        <v>0</v>
      </c>
      <c r="Q54" s="200">
        <v>0</v>
      </c>
      <c r="R54" s="197">
        <f t="shared" si="7"/>
        <v>0</v>
      </c>
      <c r="S54" s="197">
        <f t="shared" si="8"/>
        <v>0</v>
      </c>
      <c r="T54" s="205">
        <v>0</v>
      </c>
      <c r="U54" s="205">
        <v>0</v>
      </c>
      <c r="V54" s="205">
        <v>0</v>
      </c>
      <c r="W54" s="197">
        <f t="shared" si="10"/>
        <v>0</v>
      </c>
    </row>
    <row r="55" spans="1:23" x14ac:dyDescent="0.25">
      <c r="A55" s="38" t="s">
        <v>105</v>
      </c>
      <c r="B55" s="56">
        <v>69.44</v>
      </c>
      <c r="C55" s="56">
        <f t="shared" si="19"/>
        <v>-69.44</v>
      </c>
      <c r="D55" s="54">
        <v>0</v>
      </c>
      <c r="E55" s="197">
        <f t="shared" si="18"/>
        <v>914.69631232931511</v>
      </c>
      <c r="F55" s="200">
        <f>новокачалинск!E49+первомайское!E49+Троицкое!E49+октябрьское!E49+Майское!E49</f>
        <v>205.60096581835617</v>
      </c>
      <c r="G55" s="200">
        <f>новокачалинск!F49+первомайское!F49+Троицкое!F49+октябрьское!F49+Майское!F49</f>
        <v>146.21752116082189</v>
      </c>
      <c r="H55" s="200">
        <f>новокачалинск!G49+первомайское!G49+Троицкое!G49+октябрьское!G49+Майское!G49</f>
        <v>131.80666543479452</v>
      </c>
      <c r="I55" s="197">
        <f t="shared" si="2"/>
        <v>483.62515241397256</v>
      </c>
      <c r="J55" s="200">
        <f>новокачалинск!I49+первомайское!I49+Троицкое!I49+октябрьское!I49+Майское!I49</f>
        <v>130.22326781835619</v>
      </c>
      <c r="K55" s="200">
        <f>новокачалинск!J49+первомайское!J49+Троицкое!J49+октябрьское!J49+Майское!J49</f>
        <v>0</v>
      </c>
      <c r="L55" s="200">
        <f>новокачалинск!K49+первомайское!K49+Троицкое!K49+октябрьское!K49+Майское!K49</f>
        <v>0</v>
      </c>
      <c r="M55" s="197">
        <f t="shared" si="4"/>
        <v>130.22326781835619</v>
      </c>
      <c r="N55" s="197">
        <f t="shared" si="5"/>
        <v>613.84842023232875</v>
      </c>
      <c r="O55" s="200">
        <f>новокачалинск!N49+первомайское!N49+Троицкое!N49+октябрьское!N49+Майское!N49</f>
        <v>0</v>
      </c>
      <c r="P55" s="200">
        <f>новокачалинск!O49+первомайское!O49+Троицкое!O49+октябрьское!O49+Майское!O49</f>
        <v>0</v>
      </c>
      <c r="Q55" s="200">
        <f>новокачалинск!P49+первомайское!P49+Троицкое!P49+октябрьское!P49+Майское!P49</f>
        <v>0</v>
      </c>
      <c r="R55" s="197">
        <f t="shared" si="7"/>
        <v>0</v>
      </c>
      <c r="S55" s="197">
        <f t="shared" si="8"/>
        <v>613.84842023232875</v>
      </c>
      <c r="T55" s="205">
        <f>новокачалинск!S49+первомайское!S49+Троицкое!S49+октябрьское!S49+Майское!S49</f>
        <v>50.185427008219179</v>
      </c>
      <c r="U55" s="205">
        <f>новокачалинск!T49+первомайское!T49+Троицкое!T49+октябрьское!T49+Майское!T49</f>
        <v>106.6282101471233</v>
      </c>
      <c r="V55" s="205">
        <f>новокачалинск!U49+первомайское!U49+Троицкое!U49+октябрьское!U49+Майское!U49</f>
        <v>144.03425494164384</v>
      </c>
      <c r="W55" s="197">
        <f t="shared" si="10"/>
        <v>300.8478920969863</v>
      </c>
    </row>
    <row r="56" spans="1:23" ht="1.5" customHeight="1" x14ac:dyDescent="0.25">
      <c r="A56" s="38"/>
      <c r="B56" s="56">
        <v>0</v>
      </c>
      <c r="C56" s="56">
        <f t="shared" si="19"/>
        <v>0</v>
      </c>
      <c r="D56" s="54">
        <v>0</v>
      </c>
      <c r="E56" s="197">
        <f t="shared" si="18"/>
        <v>0</v>
      </c>
      <c r="F56" s="200">
        <v>0</v>
      </c>
      <c r="G56" s="200">
        <v>0</v>
      </c>
      <c r="H56" s="200">
        <v>0</v>
      </c>
      <c r="I56" s="197">
        <f t="shared" si="2"/>
        <v>0</v>
      </c>
      <c r="J56" s="200">
        <v>0</v>
      </c>
      <c r="K56" s="200">
        <v>0</v>
      </c>
      <c r="L56" s="200">
        <v>0</v>
      </c>
      <c r="M56" s="197">
        <f t="shared" si="4"/>
        <v>0</v>
      </c>
      <c r="N56" s="197">
        <f t="shared" si="5"/>
        <v>0</v>
      </c>
      <c r="O56" s="200">
        <v>0</v>
      </c>
      <c r="P56" s="200">
        <v>0</v>
      </c>
      <c r="Q56" s="200">
        <v>0</v>
      </c>
      <c r="R56" s="197">
        <f t="shared" si="7"/>
        <v>0</v>
      </c>
      <c r="S56" s="197">
        <f t="shared" si="8"/>
        <v>0</v>
      </c>
      <c r="T56" s="205">
        <v>0</v>
      </c>
      <c r="U56" s="205">
        <v>0</v>
      </c>
      <c r="V56" s="205">
        <v>0</v>
      </c>
      <c r="W56" s="197">
        <f t="shared" si="10"/>
        <v>0</v>
      </c>
    </row>
    <row r="57" spans="1:23" x14ac:dyDescent="0.25">
      <c r="A57" s="20"/>
      <c r="B57" s="46">
        <v>0</v>
      </c>
      <c r="C57" s="46">
        <f t="shared" si="19"/>
        <v>0</v>
      </c>
      <c r="D57" s="54">
        <v>0</v>
      </c>
      <c r="E57" s="197">
        <f t="shared" si="18"/>
        <v>0</v>
      </c>
      <c r="F57" s="200">
        <v>0</v>
      </c>
      <c r="G57" s="200">
        <v>0</v>
      </c>
      <c r="H57" s="200">
        <v>0</v>
      </c>
      <c r="I57" s="197">
        <f t="shared" si="2"/>
        <v>0</v>
      </c>
      <c r="J57" s="200">
        <v>0</v>
      </c>
      <c r="K57" s="200">
        <v>0</v>
      </c>
      <c r="L57" s="200">
        <v>0</v>
      </c>
      <c r="M57" s="197">
        <f t="shared" si="4"/>
        <v>0</v>
      </c>
      <c r="N57" s="197">
        <f t="shared" si="5"/>
        <v>0</v>
      </c>
      <c r="O57" s="200">
        <v>0</v>
      </c>
      <c r="P57" s="200">
        <v>0</v>
      </c>
      <c r="Q57" s="200">
        <v>0</v>
      </c>
      <c r="R57" s="197">
        <f t="shared" si="7"/>
        <v>0</v>
      </c>
      <c r="S57" s="197">
        <f t="shared" si="8"/>
        <v>0</v>
      </c>
      <c r="T57" s="205">
        <v>0</v>
      </c>
      <c r="U57" s="205">
        <v>0</v>
      </c>
      <c r="V57" s="205">
        <v>0</v>
      </c>
      <c r="W57" s="197">
        <f t="shared" si="10"/>
        <v>0</v>
      </c>
    </row>
    <row r="58" spans="1:23" ht="31.5" x14ac:dyDescent="0.25">
      <c r="A58" s="16" t="s">
        <v>54</v>
      </c>
      <c r="B58" s="51">
        <f>B59+B60+B61+B62+B63+B64+B65+B66+B71+B72+B73+B79</f>
        <v>-4.1700000000000008</v>
      </c>
      <c r="C58" s="51">
        <f t="shared" si="19"/>
        <v>387.39000000000004</v>
      </c>
      <c r="D58" s="51">
        <v>383.22</v>
      </c>
      <c r="E58" s="199">
        <f t="shared" si="18"/>
        <v>171.04910000000001</v>
      </c>
      <c r="F58" s="199">
        <f>F59+F60+F61+F62+F63+F64+F65+F66+F71+F72+F73+F79</f>
        <v>25.721</v>
      </c>
      <c r="G58" s="199">
        <f t="shared" ref="G58:H58" si="30">G59+G60+G61+G62+G63+G64+G65+G66+G71+G72+G73+G79</f>
        <v>25.721</v>
      </c>
      <c r="H58" s="199">
        <f t="shared" si="30"/>
        <v>31.210999999999999</v>
      </c>
      <c r="I58" s="199">
        <f t="shared" ref="I58:W58" si="31">I59+I60+I61+I62+I63+I64+I65+I66+I71+I72+I73+I79</f>
        <v>82.653000000000006</v>
      </c>
      <c r="J58" s="199">
        <f>J59+J60+J61+J62+J63+J64+J65+J66+J71+J72+J73+J79</f>
        <v>25.721</v>
      </c>
      <c r="K58" s="199">
        <f t="shared" si="31"/>
        <v>0</v>
      </c>
      <c r="L58" s="199">
        <f t="shared" si="31"/>
        <v>0</v>
      </c>
      <c r="M58" s="199">
        <f t="shared" si="31"/>
        <v>25.721</v>
      </c>
      <c r="N58" s="199">
        <f t="shared" si="31"/>
        <v>108.374</v>
      </c>
      <c r="O58" s="199">
        <f t="shared" si="31"/>
        <v>0</v>
      </c>
      <c r="P58" s="199">
        <f t="shared" si="31"/>
        <v>0</v>
      </c>
      <c r="Q58" s="199">
        <f t="shared" si="31"/>
        <v>0</v>
      </c>
      <c r="R58" s="199">
        <f t="shared" si="31"/>
        <v>0</v>
      </c>
      <c r="S58" s="199">
        <f t="shared" si="31"/>
        <v>108.374</v>
      </c>
      <c r="T58" s="206">
        <f t="shared" si="31"/>
        <v>12.543099999999999</v>
      </c>
      <c r="U58" s="206">
        <f t="shared" si="31"/>
        <v>25.100999999999999</v>
      </c>
      <c r="V58" s="206">
        <f t="shared" si="31"/>
        <v>25.030999999999999</v>
      </c>
      <c r="W58" s="199">
        <f t="shared" si="31"/>
        <v>62.6751</v>
      </c>
    </row>
    <row r="59" spans="1:23" x14ac:dyDescent="0.25">
      <c r="A59" s="42" t="s">
        <v>55</v>
      </c>
      <c r="B59" s="56"/>
      <c r="C59" s="56">
        <f t="shared" si="19"/>
        <v>0</v>
      </c>
      <c r="D59" s="54">
        <v>0</v>
      </c>
      <c r="E59" s="197">
        <f t="shared" si="18"/>
        <v>29.241999999999997</v>
      </c>
      <c r="F59" s="198">
        <f>новокачалинск!E63+первомайское!E63+Троицкое!E63+октябрьское!E63+Майское!E63</f>
        <v>4.4949999999999992</v>
      </c>
      <c r="G59" s="198">
        <f>новокачалинск!F63+первомайское!F63+Троицкое!F63+октябрьское!F63+Майское!F63</f>
        <v>4.4949999999999992</v>
      </c>
      <c r="H59" s="198">
        <f>новокачалинск!G63+первомайское!G63+Троицкое!G63+октябрьское!G63+Майское!G63</f>
        <v>4.4949999999999992</v>
      </c>
      <c r="I59" s="197">
        <f t="shared" si="2"/>
        <v>13.484999999999998</v>
      </c>
      <c r="J59" s="198">
        <f>новокачалинск!I63+первомайское!I63+Троицкое!I63+октябрьское!I63+Майское!I63</f>
        <v>4.4949999999999992</v>
      </c>
      <c r="K59" s="198">
        <f>новокачалинск!J63+первомайское!J63+Троицкое!J63+октябрьское!J63+Майское!J63</f>
        <v>0</v>
      </c>
      <c r="L59" s="198">
        <f>новокачалинск!K63+первомайское!K63+Троицкое!K63+октябрьское!K63+Майское!K63</f>
        <v>0</v>
      </c>
      <c r="M59" s="197">
        <f t="shared" si="4"/>
        <v>4.4949999999999992</v>
      </c>
      <c r="N59" s="197">
        <f t="shared" si="5"/>
        <v>17.979999999999997</v>
      </c>
      <c r="O59" s="198">
        <f>новокачалинск!N63+первомайское!N63+Троицкое!N63+октябрьское!N63+Майское!N63</f>
        <v>0</v>
      </c>
      <c r="P59" s="198">
        <f>новокачалинск!O63+первомайское!O63+Троицкое!O63+октябрьское!O63+Майское!O63</f>
        <v>0</v>
      </c>
      <c r="Q59" s="198">
        <f>новокачалинск!P63+первомайское!P63+Троицкое!P63+октябрьское!P63+Майское!P63</f>
        <v>0</v>
      </c>
      <c r="R59" s="197">
        <f t="shared" si="7"/>
        <v>0</v>
      </c>
      <c r="S59" s="197">
        <f t="shared" si="8"/>
        <v>17.979999999999997</v>
      </c>
      <c r="T59" s="204">
        <f>новокачалинск!S63+первомайское!S63+Троицкое!S63+октябрьское!S63+Майское!S63</f>
        <v>2.2720000000000002</v>
      </c>
      <c r="U59" s="204">
        <f>новокачалинск!T63+первомайское!T63+Троицкое!T63+октябрьское!T63+Майское!T63</f>
        <v>4.4949999999999992</v>
      </c>
      <c r="V59" s="204">
        <f>новокачалинск!U63+первомайское!U63+Троицкое!U63+октябрьское!U63+Майское!U63</f>
        <v>4.4949999999999992</v>
      </c>
      <c r="W59" s="197">
        <f t="shared" si="10"/>
        <v>11.261999999999999</v>
      </c>
    </row>
    <row r="60" spans="1:23" ht="30" x14ac:dyDescent="0.25">
      <c r="A60" s="42" t="s">
        <v>56</v>
      </c>
      <c r="B60" s="56">
        <v>-31.05</v>
      </c>
      <c r="C60" s="56">
        <f>D60-B60</f>
        <v>31.05</v>
      </c>
      <c r="D60" s="54">
        <v>0</v>
      </c>
      <c r="E60" s="197">
        <f t="shared" si="18"/>
        <v>2.9962</v>
      </c>
      <c r="F60" s="198">
        <f>новокачалинск!E74+первомайское!E74+Троицкое!E74+октябрьское!E74+Майское!E74</f>
        <v>0.46100000000000002</v>
      </c>
      <c r="G60" s="198">
        <f>новокачалинск!F74+первомайское!F74+Троицкое!F74+октябрьское!F74+Майское!F74</f>
        <v>0.46100000000000002</v>
      </c>
      <c r="H60" s="198">
        <f>новокачалинск!G74+первомайское!G74+Троицкое!G74+октябрьское!G74+Майское!G74</f>
        <v>0.46100000000000002</v>
      </c>
      <c r="I60" s="197">
        <f t="shared" si="2"/>
        <v>1.383</v>
      </c>
      <c r="J60" s="198">
        <f>новокачалинск!I74+первомайское!I74+Троицкое!I74+октябрьское!I74+Майское!I74</f>
        <v>0.46100000000000002</v>
      </c>
      <c r="K60" s="198">
        <f>новокачалинск!J74+первомайское!J74+Троицкое!J74+октябрьское!J74+Майское!J74</f>
        <v>0</v>
      </c>
      <c r="L60" s="198">
        <f>новокачалинск!K74+первомайское!K74+Троицкое!K74+октябрьское!K74+Майское!K74</f>
        <v>0</v>
      </c>
      <c r="M60" s="197">
        <f t="shared" si="4"/>
        <v>0.46100000000000002</v>
      </c>
      <c r="N60" s="197">
        <f t="shared" si="5"/>
        <v>1.8440000000000001</v>
      </c>
      <c r="O60" s="198">
        <f>новокачалинск!N74+первомайское!N74+Троицкое!N74+октябрьское!N74+Майское!N74</f>
        <v>0</v>
      </c>
      <c r="P60" s="198">
        <f>новокачалинск!O74+первомайское!O74+Троицкое!O74+октябрьское!O74+Майское!O74</f>
        <v>0</v>
      </c>
      <c r="Q60" s="198">
        <f>новокачалинск!P74+первомайское!P74+Троицкое!P74+октябрьское!P74+Майское!P74</f>
        <v>0</v>
      </c>
      <c r="R60" s="197">
        <f t="shared" si="7"/>
        <v>0</v>
      </c>
      <c r="S60" s="197">
        <f t="shared" si="8"/>
        <v>1.8440000000000001</v>
      </c>
      <c r="T60" s="204">
        <f>новокачалинск!S74+первомайское!S74+Троицкое!S74+октябрьское!S74+Майское!S74</f>
        <v>0.23019999999999999</v>
      </c>
      <c r="U60" s="204">
        <f>новокачалинск!T74+первомайское!T74+Троицкое!T74+октябрьское!T74+Майское!T74</f>
        <v>0.46100000000000002</v>
      </c>
      <c r="V60" s="204">
        <f>новокачалинск!U74+первомайское!U74+Троицкое!U74+октябрьское!U74+Майское!U74</f>
        <v>0.46100000000000002</v>
      </c>
      <c r="W60" s="197">
        <f t="shared" si="10"/>
        <v>1.1522000000000001</v>
      </c>
    </row>
    <row r="61" spans="1:23" ht="30" x14ac:dyDescent="0.25">
      <c r="A61" s="42" t="s">
        <v>57</v>
      </c>
      <c r="B61" s="56">
        <v>18</v>
      </c>
      <c r="C61" s="56">
        <f t="shared" si="19"/>
        <v>-18</v>
      </c>
      <c r="D61" s="54">
        <v>0</v>
      </c>
      <c r="E61" s="197">
        <f t="shared" si="18"/>
        <v>0</v>
      </c>
      <c r="F61" s="198">
        <v>0</v>
      </c>
      <c r="G61" s="198">
        <v>0</v>
      </c>
      <c r="H61" s="198">
        <v>0</v>
      </c>
      <c r="I61" s="197">
        <f t="shared" si="2"/>
        <v>0</v>
      </c>
      <c r="J61" s="198">
        <v>0</v>
      </c>
      <c r="K61" s="198">
        <v>0</v>
      </c>
      <c r="L61" s="198">
        <v>0</v>
      </c>
      <c r="M61" s="197">
        <f t="shared" si="4"/>
        <v>0</v>
      </c>
      <c r="N61" s="197">
        <f t="shared" si="5"/>
        <v>0</v>
      </c>
      <c r="O61" s="198">
        <v>0</v>
      </c>
      <c r="P61" s="198">
        <v>0</v>
      </c>
      <c r="Q61" s="198">
        <v>0</v>
      </c>
      <c r="R61" s="197">
        <f t="shared" si="7"/>
        <v>0</v>
      </c>
      <c r="S61" s="197">
        <f t="shared" si="8"/>
        <v>0</v>
      </c>
      <c r="T61" s="204">
        <v>0</v>
      </c>
      <c r="U61" s="204">
        <v>0</v>
      </c>
      <c r="V61" s="204">
        <v>0</v>
      </c>
      <c r="W61" s="197">
        <f t="shared" si="10"/>
        <v>0</v>
      </c>
    </row>
    <row r="62" spans="1:23" x14ac:dyDescent="0.25">
      <c r="A62" s="42" t="s">
        <v>58</v>
      </c>
      <c r="B62" s="56"/>
      <c r="C62" s="56">
        <f t="shared" si="19"/>
        <v>18</v>
      </c>
      <c r="D62" s="54">
        <v>18</v>
      </c>
      <c r="E62" s="197">
        <f t="shared" si="18"/>
        <v>0</v>
      </c>
      <c r="F62" s="198"/>
      <c r="G62" s="198"/>
      <c r="H62" s="198"/>
      <c r="I62" s="197">
        <f t="shared" si="2"/>
        <v>0</v>
      </c>
      <c r="J62" s="198"/>
      <c r="K62" s="198"/>
      <c r="L62" s="198"/>
      <c r="M62" s="197">
        <f t="shared" si="4"/>
        <v>0</v>
      </c>
      <c r="N62" s="197">
        <f t="shared" si="5"/>
        <v>0</v>
      </c>
      <c r="O62" s="198"/>
      <c r="P62" s="198"/>
      <c r="Q62" s="198"/>
      <c r="R62" s="197">
        <f t="shared" si="7"/>
        <v>0</v>
      </c>
      <c r="S62" s="197">
        <f t="shared" si="8"/>
        <v>0</v>
      </c>
      <c r="T62" s="204"/>
      <c r="U62" s="204"/>
      <c r="V62" s="204"/>
      <c r="W62" s="197">
        <f t="shared" si="10"/>
        <v>0</v>
      </c>
    </row>
    <row r="63" spans="1:23" x14ac:dyDescent="0.25">
      <c r="A63" s="42" t="s">
        <v>59</v>
      </c>
      <c r="B63" s="56"/>
      <c r="C63" s="56">
        <f t="shared" si="19"/>
        <v>13.440000000000001</v>
      </c>
      <c r="D63" s="54">
        <v>13.440000000000001</v>
      </c>
      <c r="E63" s="197">
        <f t="shared" si="18"/>
        <v>0</v>
      </c>
      <c r="F63" s="198"/>
      <c r="G63" s="198"/>
      <c r="H63" s="198"/>
      <c r="I63" s="197">
        <f t="shared" si="2"/>
        <v>0</v>
      </c>
      <c r="J63" s="198"/>
      <c r="K63" s="198"/>
      <c r="L63" s="198"/>
      <c r="M63" s="197">
        <f t="shared" si="4"/>
        <v>0</v>
      </c>
      <c r="N63" s="197">
        <f t="shared" si="5"/>
        <v>0</v>
      </c>
      <c r="O63" s="198"/>
      <c r="P63" s="198"/>
      <c r="Q63" s="198"/>
      <c r="R63" s="197">
        <f t="shared" si="7"/>
        <v>0</v>
      </c>
      <c r="S63" s="197">
        <f t="shared" si="8"/>
        <v>0</v>
      </c>
      <c r="T63" s="204"/>
      <c r="U63" s="204"/>
      <c r="V63" s="204"/>
      <c r="W63" s="197">
        <f t="shared" si="10"/>
        <v>0</v>
      </c>
    </row>
    <row r="64" spans="1:23" x14ac:dyDescent="0.25">
      <c r="A64" s="42" t="s">
        <v>60</v>
      </c>
      <c r="B64" s="56"/>
      <c r="C64" s="56">
        <f t="shared" si="19"/>
        <v>81.400000000000006</v>
      </c>
      <c r="D64" s="54">
        <v>81.400000000000006</v>
      </c>
      <c r="E64" s="197">
        <f t="shared" si="18"/>
        <v>42.768999999999998</v>
      </c>
      <c r="F64" s="198">
        <f>новокачалинск!E67+первомайское!E67+Троицкое!E67+октябрьское!E67+Майское!E67</f>
        <v>6.58</v>
      </c>
      <c r="G64" s="198">
        <f>новокачалинск!F67+первомайское!F67+Троицкое!F67+октябрьское!F67+Майское!F67</f>
        <v>6.58</v>
      </c>
      <c r="H64" s="198">
        <f>новокачалинск!G67+первомайское!G67+Троицкое!G67+октябрьское!G67+Майское!G67</f>
        <v>6.58</v>
      </c>
      <c r="I64" s="197">
        <f t="shared" si="2"/>
        <v>19.740000000000002</v>
      </c>
      <c r="J64" s="198">
        <f>новокачалинск!I67+первомайское!I67+Троицкое!I67+октябрьское!I67+Майское!I67</f>
        <v>6.58</v>
      </c>
      <c r="K64" s="198">
        <f>новокачалинск!J67+первомайское!J67+Троицкое!J67+октябрьское!J67+Майское!J67</f>
        <v>0</v>
      </c>
      <c r="L64" s="198">
        <f>новокачалинск!K67+первомайское!K67+Троицкое!K67+октябрьское!K67+Майское!K67</f>
        <v>0</v>
      </c>
      <c r="M64" s="197">
        <f t="shared" si="4"/>
        <v>6.58</v>
      </c>
      <c r="N64" s="197">
        <f t="shared" si="5"/>
        <v>26.32</v>
      </c>
      <c r="O64" s="198">
        <f>новокачалинск!N67+первомайское!N67+Троицкое!N67+октябрьское!N67+Майское!N67</f>
        <v>0</v>
      </c>
      <c r="P64" s="198">
        <f>новокачалинск!O67+первомайское!O67+Троицкое!O67+октябрьское!O67+Майское!O67</f>
        <v>0</v>
      </c>
      <c r="Q64" s="198">
        <f>новокачалинск!P67+первомайское!P67+Троицкое!P67+октябрьское!P67+Майское!P67</f>
        <v>0</v>
      </c>
      <c r="R64" s="197">
        <f t="shared" si="7"/>
        <v>0</v>
      </c>
      <c r="S64" s="197">
        <f t="shared" si="8"/>
        <v>26.32</v>
      </c>
      <c r="T64" s="204">
        <f>новокачалинск!S67+первомайское!S67+Троицкое!S67+октябрьское!S67+Майское!S67</f>
        <v>3.2890000000000006</v>
      </c>
      <c r="U64" s="204">
        <f>новокачалинск!T67+первомайское!T67+Троицкое!T67+октябрьское!T67+Майское!T67</f>
        <v>6.58</v>
      </c>
      <c r="V64" s="204">
        <f>новокачалинск!U67+первомайское!U67+Троицкое!U67+октябрьское!U67+Майское!U67</f>
        <v>6.58</v>
      </c>
      <c r="W64" s="197">
        <f t="shared" si="10"/>
        <v>16.448999999999998</v>
      </c>
    </row>
    <row r="65" spans="1:23" ht="30" x14ac:dyDescent="0.25">
      <c r="A65" s="42" t="s">
        <v>61</v>
      </c>
      <c r="B65" s="56"/>
      <c r="C65" s="56">
        <f t="shared" si="19"/>
        <v>60.5</v>
      </c>
      <c r="D65" s="54">
        <v>60.5</v>
      </c>
      <c r="E65" s="197">
        <f t="shared" si="18"/>
        <v>27.124000000000002</v>
      </c>
      <c r="F65" s="198">
        <f>новокачалинск!E68+первомайское!E68+Троицкое!E68+октябрьское!E68+Майское!E68</f>
        <v>4.173</v>
      </c>
      <c r="G65" s="198">
        <f>новокачалинск!F68+первомайское!F68+Троицкое!F68+октябрьское!F68+Майское!F68</f>
        <v>4.173</v>
      </c>
      <c r="H65" s="198">
        <f>новокачалинск!G68+первомайское!G68+Троицкое!G68+октябрьское!G68+Майское!G68</f>
        <v>4.173</v>
      </c>
      <c r="I65" s="197">
        <f t="shared" si="2"/>
        <v>12.519</v>
      </c>
      <c r="J65" s="198">
        <f>новокачалинск!I68+первомайское!I68+Троицкое!I68+октябрьское!I68+Майское!I68</f>
        <v>4.173</v>
      </c>
      <c r="K65" s="198">
        <f>новокачалинск!J68+первомайское!J68+Троицкое!J68+октябрьское!J68+Майское!J68</f>
        <v>0</v>
      </c>
      <c r="L65" s="198">
        <f>новокачалинск!K68+первомайское!K68+Троицкое!K68+октябрьское!K68+Майское!K68</f>
        <v>0</v>
      </c>
      <c r="M65" s="197">
        <f t="shared" si="4"/>
        <v>4.173</v>
      </c>
      <c r="N65" s="197">
        <f t="shared" si="5"/>
        <v>16.692</v>
      </c>
      <c r="O65" s="198">
        <f>новокачалинск!N68+первомайское!N68+Троицкое!N68+октябрьское!N68+Майское!N68</f>
        <v>0</v>
      </c>
      <c r="P65" s="198">
        <f>новокачалинск!O68+первомайское!O68+Троицкое!O68+октябрьское!O68+Майское!O68</f>
        <v>0</v>
      </c>
      <c r="Q65" s="198">
        <f>новокачалинск!P68+первомайское!P68+Троицкое!P68+октябрьское!P68+Майское!P68</f>
        <v>0</v>
      </c>
      <c r="R65" s="197">
        <f t="shared" si="7"/>
        <v>0</v>
      </c>
      <c r="S65" s="197">
        <f t="shared" si="8"/>
        <v>16.692</v>
      </c>
      <c r="T65" s="204">
        <f>новокачалинск!S68+первомайское!S68+Троицкое!S68+октябрьское!S68+Майское!S68</f>
        <v>2.0859999999999999</v>
      </c>
      <c r="U65" s="204">
        <f>новокачалинск!T68+первомайское!T68+Троицкое!T68+октябрьское!T68+Майское!T68</f>
        <v>4.173</v>
      </c>
      <c r="V65" s="204">
        <f>новокачалинск!U68+первомайское!U68+Троицкое!U68+октябрьское!U68+Майское!U68</f>
        <v>4.173</v>
      </c>
      <c r="W65" s="197">
        <f t="shared" si="10"/>
        <v>10.432</v>
      </c>
    </row>
    <row r="66" spans="1:23" ht="23.25" customHeight="1" x14ac:dyDescent="0.25">
      <c r="A66" s="28" t="s">
        <v>62</v>
      </c>
      <c r="B66" s="46">
        <f>B67+B68+B69+B70</f>
        <v>0</v>
      </c>
      <c r="C66" s="46">
        <f t="shared" si="19"/>
        <v>0</v>
      </c>
      <c r="D66" s="54">
        <v>0</v>
      </c>
      <c r="E66" s="197">
        <f t="shared" si="18"/>
        <v>0</v>
      </c>
      <c r="F66" s="198">
        <f t="shared" ref="F66:Q66" si="32">F67+F68+F69+F70</f>
        <v>0</v>
      </c>
      <c r="G66" s="198">
        <f t="shared" si="32"/>
        <v>0</v>
      </c>
      <c r="H66" s="198">
        <f t="shared" si="32"/>
        <v>0</v>
      </c>
      <c r="I66" s="198">
        <f>F66+G66+H66</f>
        <v>0</v>
      </c>
      <c r="J66" s="198">
        <f t="shared" si="32"/>
        <v>0</v>
      </c>
      <c r="K66" s="198">
        <f t="shared" si="32"/>
        <v>0</v>
      </c>
      <c r="L66" s="198">
        <f t="shared" si="32"/>
        <v>0</v>
      </c>
      <c r="M66" s="198">
        <f>J66+K66+L66</f>
        <v>0</v>
      </c>
      <c r="N66" s="197">
        <f t="shared" si="5"/>
        <v>0</v>
      </c>
      <c r="O66" s="198">
        <f t="shared" si="32"/>
        <v>0</v>
      </c>
      <c r="P66" s="198">
        <f t="shared" si="32"/>
        <v>0</v>
      </c>
      <c r="Q66" s="198">
        <f t="shared" si="32"/>
        <v>0</v>
      </c>
      <c r="R66" s="197">
        <f t="shared" si="7"/>
        <v>0</v>
      </c>
      <c r="S66" s="197">
        <f t="shared" si="8"/>
        <v>0</v>
      </c>
      <c r="T66" s="204">
        <v>0</v>
      </c>
      <c r="U66" s="204">
        <v>0</v>
      </c>
      <c r="V66" s="204">
        <v>0</v>
      </c>
      <c r="W66" s="197">
        <f t="shared" si="10"/>
        <v>0</v>
      </c>
    </row>
    <row r="67" spans="1:23" x14ac:dyDescent="0.25">
      <c r="A67" s="42" t="s">
        <v>84</v>
      </c>
      <c r="B67" s="56">
        <v>0</v>
      </c>
      <c r="C67" s="56">
        <f t="shared" si="19"/>
        <v>0</v>
      </c>
      <c r="D67" s="54">
        <v>0</v>
      </c>
      <c r="E67" s="197">
        <f t="shared" si="18"/>
        <v>0</v>
      </c>
      <c r="F67" s="198">
        <v>0</v>
      </c>
      <c r="G67" s="198">
        <v>0</v>
      </c>
      <c r="H67" s="198">
        <v>0</v>
      </c>
      <c r="I67" s="197">
        <f t="shared" si="2"/>
        <v>0</v>
      </c>
      <c r="J67" s="198">
        <v>0</v>
      </c>
      <c r="K67" s="198">
        <v>0</v>
      </c>
      <c r="L67" s="198">
        <v>0</v>
      </c>
      <c r="M67" s="197">
        <f t="shared" si="4"/>
        <v>0</v>
      </c>
      <c r="N67" s="197">
        <f t="shared" si="5"/>
        <v>0</v>
      </c>
      <c r="O67" s="198">
        <v>0</v>
      </c>
      <c r="P67" s="198">
        <v>0</v>
      </c>
      <c r="Q67" s="198">
        <v>0</v>
      </c>
      <c r="R67" s="197">
        <f t="shared" si="7"/>
        <v>0</v>
      </c>
      <c r="S67" s="197">
        <f t="shared" si="8"/>
        <v>0</v>
      </c>
      <c r="T67" s="204">
        <v>0</v>
      </c>
      <c r="U67" s="204">
        <v>0</v>
      </c>
      <c r="V67" s="204">
        <v>0</v>
      </c>
      <c r="W67" s="197">
        <f t="shared" si="10"/>
        <v>0</v>
      </c>
    </row>
    <row r="68" spans="1:23" x14ac:dyDescent="0.25">
      <c r="A68" s="42" t="s">
        <v>83</v>
      </c>
      <c r="B68" s="56">
        <v>0</v>
      </c>
      <c r="C68" s="56">
        <f t="shared" si="19"/>
        <v>0</v>
      </c>
      <c r="D68" s="54">
        <v>0</v>
      </c>
      <c r="E68" s="197">
        <f t="shared" si="18"/>
        <v>0</v>
      </c>
      <c r="F68" s="198">
        <v>0</v>
      </c>
      <c r="G68" s="198">
        <v>0</v>
      </c>
      <c r="H68" s="198">
        <v>0</v>
      </c>
      <c r="I68" s="197">
        <f t="shared" si="2"/>
        <v>0</v>
      </c>
      <c r="J68" s="198">
        <v>0</v>
      </c>
      <c r="K68" s="198">
        <v>0</v>
      </c>
      <c r="L68" s="198">
        <v>0</v>
      </c>
      <c r="M68" s="197">
        <f t="shared" si="4"/>
        <v>0</v>
      </c>
      <c r="N68" s="197">
        <f t="shared" si="5"/>
        <v>0</v>
      </c>
      <c r="O68" s="198">
        <v>0</v>
      </c>
      <c r="P68" s="198">
        <v>0</v>
      </c>
      <c r="Q68" s="198">
        <v>0</v>
      </c>
      <c r="R68" s="197">
        <f t="shared" si="7"/>
        <v>0</v>
      </c>
      <c r="S68" s="197">
        <f t="shared" si="8"/>
        <v>0</v>
      </c>
      <c r="T68" s="204">
        <v>0</v>
      </c>
      <c r="U68" s="204">
        <v>0</v>
      </c>
      <c r="V68" s="204">
        <v>0</v>
      </c>
      <c r="W68" s="197">
        <f t="shared" si="10"/>
        <v>0</v>
      </c>
    </row>
    <row r="69" spans="1:23" x14ac:dyDescent="0.25">
      <c r="A69" s="42" t="s">
        <v>63</v>
      </c>
      <c r="B69" s="56">
        <v>0</v>
      </c>
      <c r="C69" s="56">
        <f t="shared" si="19"/>
        <v>0</v>
      </c>
      <c r="D69" s="54">
        <v>0</v>
      </c>
      <c r="E69" s="197">
        <f t="shared" si="18"/>
        <v>0</v>
      </c>
      <c r="F69" s="198">
        <v>0</v>
      </c>
      <c r="G69" s="198">
        <v>0</v>
      </c>
      <c r="H69" s="198">
        <v>0</v>
      </c>
      <c r="I69" s="197">
        <f t="shared" si="2"/>
        <v>0</v>
      </c>
      <c r="J69" s="198">
        <v>0</v>
      </c>
      <c r="K69" s="198">
        <v>0</v>
      </c>
      <c r="L69" s="198">
        <v>0</v>
      </c>
      <c r="M69" s="197">
        <f t="shared" si="4"/>
        <v>0</v>
      </c>
      <c r="N69" s="197">
        <f t="shared" si="5"/>
        <v>0</v>
      </c>
      <c r="O69" s="198">
        <v>0</v>
      </c>
      <c r="P69" s="198">
        <v>0</v>
      </c>
      <c r="Q69" s="198">
        <v>0</v>
      </c>
      <c r="R69" s="197">
        <f t="shared" si="7"/>
        <v>0</v>
      </c>
      <c r="S69" s="197">
        <f t="shared" si="8"/>
        <v>0</v>
      </c>
      <c r="T69" s="204">
        <v>0</v>
      </c>
      <c r="U69" s="204">
        <v>0</v>
      </c>
      <c r="V69" s="204">
        <v>0</v>
      </c>
      <c r="W69" s="197">
        <f t="shared" si="10"/>
        <v>0</v>
      </c>
    </row>
    <row r="70" spans="1:23" x14ac:dyDescent="0.25">
      <c r="A70" s="42" t="s">
        <v>64</v>
      </c>
      <c r="B70" s="56">
        <v>0</v>
      </c>
      <c r="C70" s="56">
        <f t="shared" si="19"/>
        <v>0</v>
      </c>
      <c r="D70" s="54">
        <v>0</v>
      </c>
      <c r="E70" s="197">
        <f t="shared" si="18"/>
        <v>0</v>
      </c>
      <c r="F70" s="198">
        <v>0</v>
      </c>
      <c r="G70" s="198">
        <v>0</v>
      </c>
      <c r="H70" s="198">
        <v>0</v>
      </c>
      <c r="I70" s="197">
        <f t="shared" si="2"/>
        <v>0</v>
      </c>
      <c r="J70" s="198">
        <v>0</v>
      </c>
      <c r="K70" s="198">
        <v>0</v>
      </c>
      <c r="L70" s="198">
        <v>0</v>
      </c>
      <c r="M70" s="197">
        <f t="shared" si="4"/>
        <v>0</v>
      </c>
      <c r="N70" s="197">
        <f t="shared" si="5"/>
        <v>0</v>
      </c>
      <c r="O70" s="198">
        <v>0</v>
      </c>
      <c r="P70" s="198">
        <v>0</v>
      </c>
      <c r="Q70" s="198">
        <v>0</v>
      </c>
      <c r="R70" s="197">
        <f t="shared" si="7"/>
        <v>0</v>
      </c>
      <c r="S70" s="197">
        <f t="shared" si="8"/>
        <v>0</v>
      </c>
      <c r="T70" s="204">
        <v>0</v>
      </c>
      <c r="U70" s="204">
        <v>0</v>
      </c>
      <c r="V70" s="204">
        <v>0</v>
      </c>
      <c r="W70" s="197">
        <f t="shared" si="10"/>
        <v>0</v>
      </c>
    </row>
    <row r="71" spans="1:23" ht="30" x14ac:dyDescent="0.25">
      <c r="A71" s="42" t="s">
        <v>106</v>
      </c>
      <c r="B71" s="56">
        <v>0</v>
      </c>
      <c r="C71" s="56">
        <f t="shared" si="19"/>
        <v>0</v>
      </c>
      <c r="D71" s="54">
        <v>0</v>
      </c>
      <c r="E71" s="197">
        <f t="shared" si="18"/>
        <v>0</v>
      </c>
      <c r="F71" s="198">
        <v>0</v>
      </c>
      <c r="G71" s="198">
        <v>0</v>
      </c>
      <c r="H71" s="198">
        <v>0</v>
      </c>
      <c r="I71" s="197">
        <v>0</v>
      </c>
      <c r="J71" s="198">
        <v>0</v>
      </c>
      <c r="K71" s="198">
        <v>0</v>
      </c>
      <c r="L71" s="198">
        <v>0</v>
      </c>
      <c r="M71" s="197">
        <v>0</v>
      </c>
      <c r="N71" s="197">
        <v>0</v>
      </c>
      <c r="O71" s="198">
        <v>0</v>
      </c>
      <c r="P71" s="198">
        <v>0</v>
      </c>
      <c r="Q71" s="198">
        <v>0</v>
      </c>
      <c r="R71" s="198">
        <v>0</v>
      </c>
      <c r="S71" s="198">
        <v>0</v>
      </c>
      <c r="T71" s="204">
        <v>0</v>
      </c>
      <c r="U71" s="204">
        <v>0</v>
      </c>
      <c r="V71" s="204">
        <v>0</v>
      </c>
      <c r="W71" s="197">
        <v>0</v>
      </c>
    </row>
    <row r="72" spans="1:23" x14ac:dyDescent="0.25">
      <c r="A72" s="42" t="s">
        <v>65</v>
      </c>
      <c r="B72" s="56">
        <v>5.42</v>
      </c>
      <c r="C72" s="56">
        <f t="shared" si="19"/>
        <v>44.78</v>
      </c>
      <c r="D72" s="54">
        <v>50.2</v>
      </c>
      <c r="E72" s="197">
        <f t="shared" si="18"/>
        <v>0</v>
      </c>
      <c r="F72" s="198"/>
      <c r="G72" s="198"/>
      <c r="H72" s="198"/>
      <c r="I72" s="197">
        <f t="shared" si="2"/>
        <v>0</v>
      </c>
      <c r="J72" s="198"/>
      <c r="K72" s="198"/>
      <c r="L72" s="198"/>
      <c r="M72" s="197">
        <f t="shared" si="4"/>
        <v>0</v>
      </c>
      <c r="N72" s="197">
        <f t="shared" si="5"/>
        <v>0</v>
      </c>
      <c r="O72" s="198"/>
      <c r="P72" s="198"/>
      <c r="Q72" s="198"/>
      <c r="R72" s="197">
        <f t="shared" si="7"/>
        <v>0</v>
      </c>
      <c r="S72" s="197">
        <f t="shared" si="8"/>
        <v>0</v>
      </c>
      <c r="T72" s="204"/>
      <c r="U72" s="204"/>
      <c r="V72" s="204"/>
      <c r="W72" s="197">
        <f t="shared" si="10"/>
        <v>0</v>
      </c>
    </row>
    <row r="73" spans="1:23" x14ac:dyDescent="0.25">
      <c r="A73" s="28" t="s">
        <v>66</v>
      </c>
      <c r="B73" s="46">
        <f>B74+B75+B76+B77</f>
        <v>0</v>
      </c>
      <c r="C73" s="46">
        <f>D73-B73</f>
        <v>159.68</v>
      </c>
      <c r="D73" s="54">
        <v>159.68</v>
      </c>
      <c r="E73" s="197">
        <f t="shared" si="18"/>
        <v>68.917900000000003</v>
      </c>
      <c r="F73" s="198">
        <f>F74+F75+F76+F77</f>
        <v>10.012</v>
      </c>
      <c r="G73" s="198">
        <f t="shared" ref="G73:V73" si="33">G74+G75+G76+G77</f>
        <v>10.012</v>
      </c>
      <c r="H73" s="198">
        <f t="shared" si="33"/>
        <v>15.502000000000001</v>
      </c>
      <c r="I73" s="197">
        <f t="shared" si="2"/>
        <v>35.526000000000003</v>
      </c>
      <c r="J73" s="198">
        <f t="shared" si="33"/>
        <v>10.012</v>
      </c>
      <c r="K73" s="198">
        <f t="shared" si="33"/>
        <v>0</v>
      </c>
      <c r="L73" s="198">
        <f t="shared" si="33"/>
        <v>0</v>
      </c>
      <c r="M73" s="197">
        <f t="shared" si="4"/>
        <v>10.012</v>
      </c>
      <c r="N73" s="197">
        <f t="shared" si="5"/>
        <v>45.538000000000004</v>
      </c>
      <c r="O73" s="198">
        <f t="shared" si="33"/>
        <v>0</v>
      </c>
      <c r="P73" s="198">
        <f t="shared" si="33"/>
        <v>0</v>
      </c>
      <c r="Q73" s="198">
        <f t="shared" si="33"/>
        <v>0</v>
      </c>
      <c r="R73" s="197">
        <f t="shared" si="7"/>
        <v>0</v>
      </c>
      <c r="S73" s="197">
        <f t="shared" si="8"/>
        <v>45.538000000000004</v>
      </c>
      <c r="T73" s="204">
        <f>SUM(T74:T77)</f>
        <v>4.6658999999999988</v>
      </c>
      <c r="U73" s="204">
        <f t="shared" si="33"/>
        <v>9.3920000000000012</v>
      </c>
      <c r="V73" s="204">
        <f t="shared" si="33"/>
        <v>9.322000000000001</v>
      </c>
      <c r="W73" s="197">
        <f t="shared" si="10"/>
        <v>23.379899999999999</v>
      </c>
    </row>
    <row r="74" spans="1:23" x14ac:dyDescent="0.25">
      <c r="A74" s="42" t="s">
        <v>67</v>
      </c>
      <c r="B74" s="56">
        <v>0</v>
      </c>
      <c r="C74" s="56">
        <f t="shared" si="19"/>
        <v>0</v>
      </c>
      <c r="D74" s="54">
        <v>0</v>
      </c>
      <c r="E74" s="197">
        <f t="shared" si="18"/>
        <v>0</v>
      </c>
      <c r="F74" s="198">
        <v>0</v>
      </c>
      <c r="G74" s="198">
        <v>0</v>
      </c>
      <c r="H74" s="198">
        <v>0</v>
      </c>
      <c r="I74" s="197">
        <f t="shared" si="2"/>
        <v>0</v>
      </c>
      <c r="J74" s="198">
        <v>0</v>
      </c>
      <c r="K74" s="198">
        <f t="shared" ref="K74:L74" si="34">K75+K76+K77</f>
        <v>0</v>
      </c>
      <c r="L74" s="198">
        <f t="shared" si="34"/>
        <v>0</v>
      </c>
      <c r="M74" s="197">
        <f t="shared" si="4"/>
        <v>0</v>
      </c>
      <c r="N74" s="197">
        <f t="shared" si="5"/>
        <v>0</v>
      </c>
      <c r="O74" s="198">
        <v>0</v>
      </c>
      <c r="P74" s="198">
        <v>0</v>
      </c>
      <c r="Q74" s="198">
        <v>0</v>
      </c>
      <c r="R74" s="197">
        <f t="shared" si="7"/>
        <v>0</v>
      </c>
      <c r="S74" s="197">
        <f t="shared" si="8"/>
        <v>0</v>
      </c>
      <c r="T74" s="204">
        <v>0</v>
      </c>
      <c r="U74" s="204">
        <v>0</v>
      </c>
      <c r="V74" s="204">
        <v>0</v>
      </c>
      <c r="W74" s="197">
        <f t="shared" si="10"/>
        <v>0</v>
      </c>
    </row>
    <row r="75" spans="1:23" x14ac:dyDescent="0.25">
      <c r="A75" s="42" t="s">
        <v>68</v>
      </c>
      <c r="B75" s="56">
        <v>0</v>
      </c>
      <c r="C75" s="56">
        <f t="shared" si="19"/>
        <v>89.68</v>
      </c>
      <c r="D75" s="54">
        <v>89.68</v>
      </c>
      <c r="E75" s="197">
        <f t="shared" si="18"/>
        <v>63.427900000000001</v>
      </c>
      <c r="F75" s="198">
        <f>новокачалинск!E81+первомайское!E81+Троицкое!E81+октябрьское!E81+Майское!E81</f>
        <v>10.012</v>
      </c>
      <c r="G75" s="198">
        <f>новокачалинск!F81+первомайское!F81+Троицкое!F81+октябрьское!F81+Майское!F81</f>
        <v>10.012</v>
      </c>
      <c r="H75" s="198">
        <f>новокачалинск!G81+первомайское!G81+Троицкое!G81+октябрьское!G81+Майское!G81</f>
        <v>10.012</v>
      </c>
      <c r="I75" s="197">
        <f t="shared" si="2"/>
        <v>30.036000000000001</v>
      </c>
      <c r="J75" s="198">
        <f>новокачалинск!I81+первомайское!I81+Троицкое!I81+октябрьское!I81+Майское!I81</f>
        <v>10.012</v>
      </c>
      <c r="K75" s="198">
        <f>новокачалинск!J81+первомайское!J81+Троицкое!J81+октябрьское!J81+Майское!J81</f>
        <v>0</v>
      </c>
      <c r="L75" s="198">
        <f>новокачалинск!K81+первомайское!K81+Троицкое!K81+октябрьское!K81+Майское!K81</f>
        <v>0</v>
      </c>
      <c r="M75" s="197">
        <f t="shared" si="4"/>
        <v>10.012</v>
      </c>
      <c r="N75" s="197">
        <f t="shared" si="5"/>
        <v>40.048000000000002</v>
      </c>
      <c r="O75" s="198">
        <v>0</v>
      </c>
      <c r="P75" s="198">
        <v>0</v>
      </c>
      <c r="Q75" s="198">
        <v>0</v>
      </c>
      <c r="R75" s="197">
        <f t="shared" si="7"/>
        <v>0</v>
      </c>
      <c r="S75" s="197">
        <f t="shared" si="8"/>
        <v>40.048000000000002</v>
      </c>
      <c r="T75" s="204">
        <f>новокачалинск!S81+первомайское!S81+Троицкое!S81+октябрьское!S81+Майское!S81-0.34</f>
        <v>4.6658999999999988</v>
      </c>
      <c r="U75" s="204">
        <f>новокачалинск!T81+первомайское!T81+Троицкое!T81+октябрьское!T81+Майское!T81-0.62</f>
        <v>9.3920000000000012</v>
      </c>
      <c r="V75" s="204">
        <f>новокачалинск!U81+первомайское!U81+Троицкое!U81+октябрьское!U81+Майское!U81-0.69</f>
        <v>9.322000000000001</v>
      </c>
      <c r="W75" s="197">
        <f t="shared" si="10"/>
        <v>23.379899999999999</v>
      </c>
    </row>
    <row r="76" spans="1:23" x14ac:dyDescent="0.25">
      <c r="A76" s="42" t="s">
        <v>69</v>
      </c>
      <c r="B76" s="56"/>
      <c r="C76" s="56">
        <f t="shared" si="19"/>
        <v>70</v>
      </c>
      <c r="D76" s="54">
        <v>70</v>
      </c>
      <c r="E76" s="197">
        <f t="shared" si="18"/>
        <v>5.49</v>
      </c>
      <c r="F76" s="198">
        <f>новокачалинск!E80+первомайское!E80+Троицкое!E80+октябрьское!E80+Майское!E80</f>
        <v>0</v>
      </c>
      <c r="G76" s="198">
        <f>новокачалинск!F80+первомайское!F80+Троицкое!F80+октябрьское!F80+Майское!F80</f>
        <v>0</v>
      </c>
      <c r="H76" s="198">
        <f>новокачалинск!G80+первомайское!G80+Троицкое!G80+октябрьское!G80+Майское!G80</f>
        <v>5.49</v>
      </c>
      <c r="I76" s="197">
        <f t="shared" si="2"/>
        <v>5.49</v>
      </c>
      <c r="J76" s="198">
        <f>новокачалинск!I80+первомайское!I80+Троицкое!I80+октябрьское!I80+Майское!I80</f>
        <v>0</v>
      </c>
      <c r="K76" s="198">
        <f>новокачалинск!J80+первомайское!J80+Троицкое!J80+октябрьское!J80+Майское!J80</f>
        <v>0</v>
      </c>
      <c r="L76" s="198">
        <f>новокачалинск!K80+первомайское!K80+Троицкое!K80+октябрьское!K80+Майское!K80</f>
        <v>0</v>
      </c>
      <c r="M76" s="197">
        <f t="shared" si="4"/>
        <v>0</v>
      </c>
      <c r="N76" s="197">
        <f t="shared" si="5"/>
        <v>5.49</v>
      </c>
      <c r="O76" s="198">
        <f>новокачалинск!N80+первомайское!N80+Троицкое!N80+октябрьское!N80+Майское!N80</f>
        <v>0</v>
      </c>
      <c r="P76" s="198">
        <f>новокачалинск!O80+первомайское!O80+Троицкое!O80+октябрьское!O80+Майское!O80</f>
        <v>0</v>
      </c>
      <c r="Q76" s="198">
        <f>новокачалинск!P80+первомайское!P80+Троицкое!P80+октябрьское!P80+Майское!P80</f>
        <v>0</v>
      </c>
      <c r="R76" s="197">
        <f t="shared" si="7"/>
        <v>0</v>
      </c>
      <c r="S76" s="197">
        <f t="shared" si="8"/>
        <v>5.49</v>
      </c>
      <c r="T76" s="204">
        <f>новокачалинск!S80+первомайское!S80+Троицкое!S80+октябрьское!S80+Майское!S80</f>
        <v>0</v>
      </c>
      <c r="U76" s="204">
        <f>новокачалинск!T80+первомайское!T80+Троицкое!T80+октябрьское!T80+Майское!T80</f>
        <v>0</v>
      </c>
      <c r="V76" s="204">
        <f>новокачалинск!U80+первомайское!U80+Троицкое!U80+октябрьское!U80+Майское!U80</f>
        <v>0</v>
      </c>
      <c r="W76" s="197">
        <f t="shared" si="10"/>
        <v>0</v>
      </c>
    </row>
    <row r="77" spans="1:23" x14ac:dyDescent="0.25">
      <c r="A77" s="42" t="s">
        <v>82</v>
      </c>
      <c r="B77" s="56">
        <v>0</v>
      </c>
      <c r="C77" s="56">
        <f t="shared" si="19"/>
        <v>0</v>
      </c>
      <c r="D77" s="54">
        <v>0</v>
      </c>
      <c r="E77" s="197">
        <f t="shared" si="18"/>
        <v>0</v>
      </c>
      <c r="F77" s="198">
        <v>0</v>
      </c>
      <c r="G77" s="198">
        <v>0</v>
      </c>
      <c r="H77" s="198">
        <v>0</v>
      </c>
      <c r="I77" s="197">
        <f t="shared" si="2"/>
        <v>0</v>
      </c>
      <c r="J77" s="198">
        <f t="shared" ref="J77:L77" si="35">J79+J80+J81</f>
        <v>0</v>
      </c>
      <c r="K77" s="198">
        <f t="shared" si="35"/>
        <v>0</v>
      </c>
      <c r="L77" s="198">
        <f t="shared" si="35"/>
        <v>0</v>
      </c>
      <c r="M77" s="197">
        <f t="shared" si="4"/>
        <v>0</v>
      </c>
      <c r="N77" s="197">
        <f t="shared" si="5"/>
        <v>0</v>
      </c>
      <c r="O77" s="198">
        <v>0</v>
      </c>
      <c r="P77" s="198">
        <v>0</v>
      </c>
      <c r="Q77" s="198">
        <v>0</v>
      </c>
      <c r="R77" s="197">
        <f t="shared" si="7"/>
        <v>0</v>
      </c>
      <c r="S77" s="197">
        <f t="shared" si="8"/>
        <v>0</v>
      </c>
      <c r="T77" s="204">
        <v>0</v>
      </c>
      <c r="U77" s="204">
        <v>0</v>
      </c>
      <c r="V77" s="204">
        <v>0</v>
      </c>
      <c r="W77" s="197">
        <f t="shared" si="10"/>
        <v>0</v>
      </c>
    </row>
    <row r="78" spans="1:23" x14ac:dyDescent="0.25">
      <c r="A78" s="203" t="s">
        <v>299</v>
      </c>
      <c r="B78" s="56"/>
      <c r="C78" s="56"/>
      <c r="D78" s="54"/>
      <c r="E78" s="197"/>
      <c r="F78" s="198"/>
      <c r="G78" s="198"/>
      <c r="H78" s="198"/>
      <c r="I78" s="197"/>
      <c r="J78" s="198"/>
      <c r="K78" s="198"/>
      <c r="L78" s="198"/>
      <c r="M78" s="197"/>
      <c r="N78" s="197"/>
      <c r="O78" s="198"/>
      <c r="P78" s="198"/>
      <c r="Q78" s="198"/>
      <c r="R78" s="197"/>
      <c r="S78" s="197"/>
      <c r="T78" s="204"/>
      <c r="U78" s="204"/>
      <c r="V78" s="204"/>
      <c r="W78" s="197"/>
    </row>
    <row r="79" spans="1:23" x14ac:dyDescent="0.25">
      <c r="A79" s="28" t="s">
        <v>70</v>
      </c>
      <c r="B79" s="46">
        <f>B80+B81+B82</f>
        <v>3.46</v>
      </c>
      <c r="C79" s="46">
        <f t="shared" si="19"/>
        <v>-3.46</v>
      </c>
      <c r="D79" s="54">
        <v>0</v>
      </c>
      <c r="E79" s="197">
        <f t="shared" si="18"/>
        <v>0</v>
      </c>
      <c r="F79" s="198">
        <f>F80+F81+F82</f>
        <v>0</v>
      </c>
      <c r="G79" s="198">
        <f t="shared" ref="G79:V79" si="36">G80+G81+G82</f>
        <v>0</v>
      </c>
      <c r="H79" s="198">
        <f t="shared" si="36"/>
        <v>0</v>
      </c>
      <c r="I79" s="197">
        <f t="shared" si="2"/>
        <v>0</v>
      </c>
      <c r="J79" s="198">
        <f t="shared" si="36"/>
        <v>0</v>
      </c>
      <c r="K79" s="198">
        <f t="shared" si="36"/>
        <v>0</v>
      </c>
      <c r="L79" s="198">
        <f t="shared" si="36"/>
        <v>0</v>
      </c>
      <c r="M79" s="197">
        <f t="shared" si="4"/>
        <v>0</v>
      </c>
      <c r="N79" s="197">
        <f t="shared" si="5"/>
        <v>0</v>
      </c>
      <c r="O79" s="198">
        <f t="shared" si="36"/>
        <v>0</v>
      </c>
      <c r="P79" s="198">
        <f t="shared" si="36"/>
        <v>0</v>
      </c>
      <c r="Q79" s="198">
        <f t="shared" si="36"/>
        <v>0</v>
      </c>
      <c r="R79" s="197">
        <f t="shared" si="7"/>
        <v>0</v>
      </c>
      <c r="S79" s="197">
        <f t="shared" si="8"/>
        <v>0</v>
      </c>
      <c r="T79" s="204">
        <f t="shared" si="36"/>
        <v>0</v>
      </c>
      <c r="U79" s="204">
        <f t="shared" si="36"/>
        <v>0</v>
      </c>
      <c r="V79" s="204">
        <f t="shared" si="36"/>
        <v>0</v>
      </c>
      <c r="W79" s="197">
        <f t="shared" si="10"/>
        <v>0</v>
      </c>
    </row>
    <row r="80" spans="1:23" x14ac:dyDescent="0.25">
      <c r="A80" s="42" t="s">
        <v>72</v>
      </c>
      <c r="B80" s="56">
        <v>3.46</v>
      </c>
      <c r="C80" s="56">
        <f t="shared" si="19"/>
        <v>-3.46</v>
      </c>
      <c r="D80" s="54">
        <v>0</v>
      </c>
      <c r="E80" s="197">
        <f t="shared" si="18"/>
        <v>0</v>
      </c>
      <c r="F80" s="198">
        <v>0</v>
      </c>
      <c r="G80" s="198">
        <v>0</v>
      </c>
      <c r="H80" s="198">
        <v>0</v>
      </c>
      <c r="I80" s="197">
        <f t="shared" si="2"/>
        <v>0</v>
      </c>
      <c r="J80" s="198">
        <v>0</v>
      </c>
      <c r="K80" s="198">
        <v>0</v>
      </c>
      <c r="L80" s="198">
        <v>0</v>
      </c>
      <c r="M80" s="197">
        <f t="shared" si="4"/>
        <v>0</v>
      </c>
      <c r="N80" s="197">
        <f t="shared" si="5"/>
        <v>0</v>
      </c>
      <c r="O80" s="198">
        <v>0</v>
      </c>
      <c r="P80" s="198">
        <v>0</v>
      </c>
      <c r="Q80" s="198">
        <v>0</v>
      </c>
      <c r="R80" s="197">
        <f t="shared" si="7"/>
        <v>0</v>
      </c>
      <c r="S80" s="197">
        <f t="shared" si="8"/>
        <v>0</v>
      </c>
      <c r="T80" s="204">
        <v>0</v>
      </c>
      <c r="U80" s="204">
        <v>0</v>
      </c>
      <c r="V80" s="204">
        <v>0</v>
      </c>
      <c r="W80" s="197">
        <f t="shared" si="10"/>
        <v>0</v>
      </c>
    </row>
    <row r="81" spans="1:23" x14ac:dyDescent="0.25">
      <c r="A81" s="42" t="s">
        <v>71</v>
      </c>
      <c r="B81" s="56">
        <v>0</v>
      </c>
      <c r="C81" s="56">
        <f t="shared" si="19"/>
        <v>0</v>
      </c>
      <c r="D81" s="54">
        <v>0</v>
      </c>
      <c r="E81" s="197">
        <f t="shared" si="18"/>
        <v>0</v>
      </c>
      <c r="F81" s="198">
        <v>0</v>
      </c>
      <c r="G81" s="198">
        <v>0</v>
      </c>
      <c r="H81" s="198">
        <v>0</v>
      </c>
      <c r="I81" s="197">
        <f t="shared" si="2"/>
        <v>0</v>
      </c>
      <c r="J81" s="198">
        <v>0</v>
      </c>
      <c r="K81" s="198">
        <v>0</v>
      </c>
      <c r="L81" s="198">
        <v>0</v>
      </c>
      <c r="M81" s="197">
        <f t="shared" si="4"/>
        <v>0</v>
      </c>
      <c r="N81" s="197">
        <f t="shared" si="5"/>
        <v>0</v>
      </c>
      <c r="O81" s="198">
        <v>0</v>
      </c>
      <c r="P81" s="198">
        <v>0</v>
      </c>
      <c r="Q81" s="198">
        <v>0</v>
      </c>
      <c r="R81" s="197">
        <f t="shared" si="7"/>
        <v>0</v>
      </c>
      <c r="S81" s="197">
        <f t="shared" si="8"/>
        <v>0</v>
      </c>
      <c r="T81" s="204">
        <v>0</v>
      </c>
      <c r="U81" s="204">
        <v>0</v>
      </c>
      <c r="V81" s="204">
        <v>0</v>
      </c>
      <c r="W81" s="197">
        <f t="shared" si="10"/>
        <v>0</v>
      </c>
    </row>
    <row r="82" spans="1:23" x14ac:dyDescent="0.25">
      <c r="A82" s="42" t="s">
        <v>107</v>
      </c>
      <c r="B82" s="56">
        <v>0</v>
      </c>
      <c r="C82" s="56">
        <f>D82-B82</f>
        <v>0</v>
      </c>
      <c r="D82" s="54">
        <v>0</v>
      </c>
      <c r="E82" s="197">
        <f t="shared" si="18"/>
        <v>0</v>
      </c>
      <c r="F82" s="198">
        <v>0</v>
      </c>
      <c r="G82" s="198">
        <v>0</v>
      </c>
      <c r="H82" s="198">
        <v>0</v>
      </c>
      <c r="I82" s="197">
        <f t="shared" si="2"/>
        <v>0</v>
      </c>
      <c r="J82" s="198">
        <v>0</v>
      </c>
      <c r="K82" s="198">
        <v>0</v>
      </c>
      <c r="L82" s="198">
        <v>0</v>
      </c>
      <c r="M82" s="197">
        <f t="shared" si="4"/>
        <v>0</v>
      </c>
      <c r="N82" s="197">
        <f t="shared" si="5"/>
        <v>0</v>
      </c>
      <c r="O82" s="198">
        <v>0</v>
      </c>
      <c r="P82" s="198">
        <v>0</v>
      </c>
      <c r="Q82" s="198">
        <v>0</v>
      </c>
      <c r="R82" s="197">
        <f t="shared" si="7"/>
        <v>0</v>
      </c>
      <c r="S82" s="197">
        <f t="shared" si="8"/>
        <v>0</v>
      </c>
      <c r="T82" s="204">
        <v>0</v>
      </c>
      <c r="U82" s="204">
        <v>0</v>
      </c>
      <c r="V82" s="204">
        <v>0</v>
      </c>
      <c r="W82" s="197">
        <f t="shared" si="10"/>
        <v>0</v>
      </c>
    </row>
    <row r="83" spans="1:23" x14ac:dyDescent="0.25">
      <c r="A83" s="30" t="s">
        <v>75</v>
      </c>
      <c r="B83" s="197">
        <f>B84+B88</f>
        <v>4555.8500000000004</v>
      </c>
      <c r="C83" s="197">
        <f t="shared" si="19"/>
        <v>2142.1552064799998</v>
      </c>
      <c r="D83" s="209">
        <v>6698.0052064800002</v>
      </c>
      <c r="E83" s="197">
        <f t="shared" si="18"/>
        <v>4777.7517680000001</v>
      </c>
      <c r="F83" s="198">
        <f t="shared" ref="F83:V83" si="37">F84+F88</f>
        <v>672.03709000000003</v>
      </c>
      <c r="G83" s="198">
        <f t="shared" si="37"/>
        <v>627.63125300000002</v>
      </c>
      <c r="H83" s="198">
        <f t="shared" si="37"/>
        <v>627.63125300000002</v>
      </c>
      <c r="I83" s="197">
        <f t="shared" si="2"/>
        <v>1927.2995960000001</v>
      </c>
      <c r="J83" s="198">
        <f t="shared" si="37"/>
        <v>803.36544800000001</v>
      </c>
      <c r="K83" s="198">
        <f t="shared" si="37"/>
        <v>86.910652999999996</v>
      </c>
      <c r="L83" s="198">
        <f t="shared" si="37"/>
        <v>86.910652999999996</v>
      </c>
      <c r="M83" s="197">
        <f t="shared" si="4"/>
        <v>977.18675400000006</v>
      </c>
      <c r="N83" s="197">
        <f t="shared" si="5"/>
        <v>2904.4863500000001</v>
      </c>
      <c r="O83" s="198">
        <f t="shared" si="37"/>
        <v>86.910652999999996</v>
      </c>
      <c r="P83" s="198">
        <f t="shared" si="37"/>
        <v>86.910652999999996</v>
      </c>
      <c r="Q83" s="198">
        <f t="shared" si="37"/>
        <v>86.910652999999996</v>
      </c>
      <c r="R83" s="197">
        <f t="shared" si="7"/>
        <v>260.73195899999996</v>
      </c>
      <c r="S83" s="197">
        <f t="shared" si="8"/>
        <v>3165.2183089999999</v>
      </c>
      <c r="T83" s="204">
        <f t="shared" si="37"/>
        <v>357.27095300000002</v>
      </c>
      <c r="U83" s="204">
        <f t="shared" si="37"/>
        <v>627.63125300000002</v>
      </c>
      <c r="V83" s="204">
        <f t="shared" si="37"/>
        <v>627.63125300000002</v>
      </c>
      <c r="W83" s="197">
        <f t="shared" si="10"/>
        <v>1612.533459</v>
      </c>
    </row>
    <row r="84" spans="1:23" x14ac:dyDescent="0.25">
      <c r="A84" s="42" t="s">
        <v>80</v>
      </c>
      <c r="B84" s="210">
        <f>B85+B86</f>
        <v>3489.2240000000002</v>
      </c>
      <c r="C84" s="210">
        <f t="shared" si="19"/>
        <v>1655.1732400000001</v>
      </c>
      <c r="D84" s="209">
        <v>5144.3972400000002</v>
      </c>
      <c r="E84" s="197">
        <f t="shared" si="18"/>
        <v>3670.8361730000001</v>
      </c>
      <c r="F84" s="198">
        <f t="shared" ref="F84:V84" si="38">F85+F86+F87</f>
        <v>516.31249000000003</v>
      </c>
      <c r="G84" s="198">
        <f t="shared" si="38"/>
        <v>482.154653</v>
      </c>
      <c r="H84" s="198">
        <f t="shared" si="38"/>
        <v>482.154653</v>
      </c>
      <c r="I84" s="197">
        <f t="shared" si="2"/>
        <v>1480.6217960000001</v>
      </c>
      <c r="J84" s="198">
        <f t="shared" si="38"/>
        <v>617.12715300000002</v>
      </c>
      <c r="K84" s="198">
        <f t="shared" si="38"/>
        <v>66.854652999999999</v>
      </c>
      <c r="L84" s="198">
        <f t="shared" si="38"/>
        <v>66.854652999999999</v>
      </c>
      <c r="M84" s="197">
        <f t="shared" si="4"/>
        <v>750.83645899999999</v>
      </c>
      <c r="N84" s="197">
        <f t="shared" si="5"/>
        <v>2231.458255</v>
      </c>
      <c r="O84" s="198">
        <f t="shared" si="38"/>
        <v>66.854652999999999</v>
      </c>
      <c r="P84" s="198">
        <f t="shared" si="38"/>
        <v>66.854652999999999</v>
      </c>
      <c r="Q84" s="198">
        <f t="shared" si="38"/>
        <v>66.854652999999999</v>
      </c>
      <c r="R84" s="197">
        <f t="shared" si="7"/>
        <v>200.56395900000001</v>
      </c>
      <c r="S84" s="197">
        <f t="shared" si="8"/>
        <v>2432.0222140000001</v>
      </c>
      <c r="T84" s="204">
        <f t="shared" si="38"/>
        <v>274.50465300000002</v>
      </c>
      <c r="U84" s="204">
        <f t="shared" si="38"/>
        <v>482.154653</v>
      </c>
      <c r="V84" s="204">
        <f t="shared" si="38"/>
        <v>482.154653</v>
      </c>
      <c r="W84" s="197">
        <f t="shared" si="10"/>
        <v>1238.8139590000001</v>
      </c>
    </row>
    <row r="85" spans="1:23" x14ac:dyDescent="0.25">
      <c r="A85" s="43" t="s">
        <v>76</v>
      </c>
      <c r="B85" s="211">
        <f>3489.228-631.13</f>
        <v>2858.098</v>
      </c>
      <c r="C85" s="211">
        <f t="shared" si="19"/>
        <v>1128.05924</v>
      </c>
      <c r="D85" s="209">
        <v>3986.15724</v>
      </c>
      <c r="E85" s="197">
        <f t="shared" si="18"/>
        <v>2834.4225000000001</v>
      </c>
      <c r="F85" s="198">
        <f>новокачалинск!E36+первомайское!E36+Троицкое!E36+октябрьское!E36+Майское!E36</f>
        <v>415.3</v>
      </c>
      <c r="G85" s="198">
        <f>новокачалинск!F36+первомайское!F36+Троицкое!F36+октябрьское!F36+Майское!F36</f>
        <v>415.3</v>
      </c>
      <c r="H85" s="198">
        <f>новокачалинск!G36+первомайское!G36+Троицкое!G36+октябрьское!G36+Майское!G36</f>
        <v>415.3</v>
      </c>
      <c r="I85" s="197">
        <f t="shared" si="2"/>
        <v>1245.9000000000001</v>
      </c>
      <c r="J85" s="198">
        <f>новокачалинск!I36+первомайское!I36+Троицкое!I36+октябрьское!I36+Майское!I36</f>
        <v>550.27250000000004</v>
      </c>
      <c r="K85" s="198">
        <f>новокачалинск!J36+первомайское!J39+Троицкое!J39+октябрьское!J39+Майское!J36</f>
        <v>0</v>
      </c>
      <c r="L85" s="198">
        <f>новокачалинск!K36+первомайское!K39+Троицкое!K39+октябрьское!K39+Майское!K36</f>
        <v>0</v>
      </c>
      <c r="M85" s="197">
        <f t="shared" si="4"/>
        <v>550.27250000000004</v>
      </c>
      <c r="N85" s="197">
        <f t="shared" si="5"/>
        <v>1796.1725000000001</v>
      </c>
      <c r="O85" s="198">
        <f>новокачалинск!N36+первомайское!N39+Троицкое!N39+октябрьское!N39+Майское!N36</f>
        <v>0</v>
      </c>
      <c r="P85" s="198">
        <f>новокачалинск!O36+первомайское!O39+Троицкое!O39+октябрьское!O39+Майское!O36</f>
        <v>0</v>
      </c>
      <c r="Q85" s="198">
        <f>новокачалинск!P36+первомайское!P39+Троицкое!P39+октябрьское!P39+Майское!P36</f>
        <v>0</v>
      </c>
      <c r="R85" s="197">
        <f t="shared" si="7"/>
        <v>0</v>
      </c>
      <c r="S85" s="197">
        <f t="shared" si="8"/>
        <v>1796.1725000000001</v>
      </c>
      <c r="T85" s="204">
        <f>новокачалинск!S36+первомайское!S36+Троицкое!S36+октябрьское!S36+Майское!S36</f>
        <v>207.65</v>
      </c>
      <c r="U85" s="204">
        <f>новокачалинск!T36+первомайское!T36+Троицкое!T36+октябрьское!T36+Майское!T36</f>
        <v>415.3</v>
      </c>
      <c r="V85" s="204">
        <f>новокачалинск!U36+первомайское!U36+Троицкое!U36+октябрьское!U36+Майское!U36</f>
        <v>415.3</v>
      </c>
      <c r="W85" s="197">
        <f t="shared" si="10"/>
        <v>1038.25</v>
      </c>
    </row>
    <row r="86" spans="1:23" x14ac:dyDescent="0.25">
      <c r="A86" s="43" t="s">
        <v>77</v>
      </c>
      <c r="B86" s="211">
        <v>631.12599999999998</v>
      </c>
      <c r="C86" s="211">
        <f t="shared" si="19"/>
        <v>527.11400000000003</v>
      </c>
      <c r="D86" s="209">
        <v>1158.24</v>
      </c>
      <c r="E86" s="197">
        <f t="shared" si="18"/>
        <v>836.41367300000002</v>
      </c>
      <c r="F86" s="198">
        <f>новокачалинск!E37+первомайское!E37+Троицкое!E37+октябрьское!E37+Майское!E37</f>
        <v>101.01248999999999</v>
      </c>
      <c r="G86" s="198">
        <f>новокачалинск!F37+первомайское!F37+Троицкое!F37+октябрьское!F37+Майское!F37</f>
        <v>66.854652999999999</v>
      </c>
      <c r="H86" s="198">
        <f>новокачалинск!G37+первомайское!G37+Троицкое!G37+октябрьское!G37+Майское!G37</f>
        <v>66.854652999999999</v>
      </c>
      <c r="I86" s="197">
        <f t="shared" si="2"/>
        <v>234.72179599999998</v>
      </c>
      <c r="J86" s="198">
        <f>новокачалинск!I37+первомайское!I37+Троицкое!I37+октябрьское!I37+Майское!I37</f>
        <v>66.854652999999999</v>
      </c>
      <c r="K86" s="198">
        <f>новокачалинск!J37+первомайское!J37+Троицкое!J37+октябрьское!J37+Майское!J37</f>
        <v>66.854652999999999</v>
      </c>
      <c r="L86" s="198">
        <f>новокачалинск!K37+первомайское!K37+Троицкое!K37+октябрьское!K37+Майское!K37</f>
        <v>66.854652999999999</v>
      </c>
      <c r="M86" s="197">
        <f t="shared" si="4"/>
        <v>200.56395900000001</v>
      </c>
      <c r="N86" s="197">
        <f t="shared" si="5"/>
        <v>435.28575499999999</v>
      </c>
      <c r="O86" s="198">
        <f>новокачалинск!N37+первомайское!N37+Троицкое!N37+октябрьское!N37+Майское!N37</f>
        <v>66.854652999999999</v>
      </c>
      <c r="P86" s="198">
        <f>новокачалинск!O37+первомайское!O37+Троицкое!O37+октябрьское!O37+Майское!O37</f>
        <v>66.854652999999999</v>
      </c>
      <c r="Q86" s="198">
        <f>новокачалинск!P37+первомайское!P37+Троицкое!P37+октябрьское!P37+Майское!P37</f>
        <v>66.854652999999999</v>
      </c>
      <c r="R86" s="197">
        <f t="shared" si="7"/>
        <v>200.56395900000001</v>
      </c>
      <c r="S86" s="197">
        <f t="shared" si="8"/>
        <v>635.84971399999995</v>
      </c>
      <c r="T86" s="204">
        <f>новокачалинск!S37+первомайское!S37+Троицкое!S37+октябрьское!S37+Майское!S37</f>
        <v>66.854652999999999</v>
      </c>
      <c r="U86" s="204">
        <f>новокачалинск!T37+первомайское!T37+Троицкое!T37+октябрьское!T37+Майское!T37</f>
        <v>66.854652999999999</v>
      </c>
      <c r="V86" s="204">
        <f>новокачалинск!U37+первомайское!U37+Троицкое!U37+октябрьское!U37+Майское!U37</f>
        <v>66.854652999999999</v>
      </c>
      <c r="W86" s="197">
        <f t="shared" si="10"/>
        <v>200.56395900000001</v>
      </c>
    </row>
    <row r="87" spans="1:23" ht="12" customHeight="1" x14ac:dyDescent="0.25">
      <c r="A87" s="43" t="s">
        <v>78</v>
      </c>
      <c r="B87" s="211">
        <v>0</v>
      </c>
      <c r="C87" s="211">
        <f t="shared" si="19"/>
        <v>0</v>
      </c>
      <c r="D87" s="209">
        <v>0</v>
      </c>
      <c r="E87" s="197">
        <f t="shared" si="18"/>
        <v>0</v>
      </c>
      <c r="F87" s="198">
        <v>0</v>
      </c>
      <c r="G87" s="198">
        <v>0</v>
      </c>
      <c r="H87" s="198">
        <v>0</v>
      </c>
      <c r="I87" s="197">
        <f t="shared" si="2"/>
        <v>0</v>
      </c>
      <c r="J87" s="198">
        <v>0</v>
      </c>
      <c r="K87" s="198">
        <v>0</v>
      </c>
      <c r="L87" s="198">
        <v>0</v>
      </c>
      <c r="M87" s="197">
        <f t="shared" si="4"/>
        <v>0</v>
      </c>
      <c r="N87" s="197">
        <f t="shared" si="5"/>
        <v>0</v>
      </c>
      <c r="O87" s="198">
        <v>0</v>
      </c>
      <c r="P87" s="198">
        <v>0</v>
      </c>
      <c r="Q87" s="198">
        <v>0</v>
      </c>
      <c r="R87" s="197">
        <f t="shared" si="7"/>
        <v>0</v>
      </c>
      <c r="S87" s="197">
        <f t="shared" si="8"/>
        <v>0</v>
      </c>
      <c r="T87" s="204">
        <v>0</v>
      </c>
      <c r="U87" s="204">
        <v>0</v>
      </c>
      <c r="V87" s="204">
        <v>0</v>
      </c>
      <c r="W87" s="197">
        <f t="shared" si="10"/>
        <v>0</v>
      </c>
    </row>
    <row r="88" spans="1:23" x14ac:dyDescent="0.25">
      <c r="A88" s="42" t="s">
        <v>79</v>
      </c>
      <c r="B88" s="210">
        <f>B89+B90</f>
        <v>1066.6260000000002</v>
      </c>
      <c r="C88" s="210">
        <f t="shared" si="19"/>
        <v>486.98196647999976</v>
      </c>
      <c r="D88" s="209">
        <v>1553.60796648</v>
      </c>
      <c r="E88" s="197">
        <f t="shared" si="18"/>
        <v>1106.9155949999999</v>
      </c>
      <c r="F88" s="198">
        <f t="shared" ref="F88:V88" si="39">F89+F90+F91</f>
        <v>155.72459999999998</v>
      </c>
      <c r="G88" s="198">
        <f t="shared" si="39"/>
        <v>145.47659999999999</v>
      </c>
      <c r="H88" s="198">
        <f t="shared" si="39"/>
        <v>145.47659999999999</v>
      </c>
      <c r="I88" s="197">
        <f t="shared" ref="I88:I103" si="40">F88+G88+H88</f>
        <v>446.67779999999993</v>
      </c>
      <c r="J88" s="198">
        <f t="shared" si="39"/>
        <v>186.23829500000002</v>
      </c>
      <c r="K88" s="198">
        <f t="shared" si="39"/>
        <v>20.056000000000001</v>
      </c>
      <c r="L88" s="198">
        <f t="shared" si="39"/>
        <v>20.056000000000001</v>
      </c>
      <c r="M88" s="197">
        <f t="shared" ref="M88:M103" si="41">J88+K88+L88</f>
        <v>226.35029500000005</v>
      </c>
      <c r="N88" s="197">
        <f t="shared" ref="N88:N103" si="42">I88+M88</f>
        <v>673.02809500000001</v>
      </c>
      <c r="O88" s="198">
        <f t="shared" si="39"/>
        <v>20.056000000000001</v>
      </c>
      <c r="P88" s="198">
        <f t="shared" si="39"/>
        <v>20.056000000000001</v>
      </c>
      <c r="Q88" s="198">
        <f t="shared" si="39"/>
        <v>20.056000000000001</v>
      </c>
      <c r="R88" s="197">
        <f t="shared" ref="R88:R103" si="43">O88+P88+Q88</f>
        <v>60.168000000000006</v>
      </c>
      <c r="S88" s="197">
        <f t="shared" ref="S88:S103" si="44">N88+R88</f>
        <v>733.19609500000001</v>
      </c>
      <c r="T88" s="204">
        <f t="shared" si="39"/>
        <v>82.766300000000001</v>
      </c>
      <c r="U88" s="204">
        <f t="shared" si="39"/>
        <v>145.47659999999999</v>
      </c>
      <c r="V88" s="204">
        <f t="shared" si="39"/>
        <v>145.47659999999999</v>
      </c>
      <c r="W88" s="197">
        <f t="shared" ref="W88:W103" si="45">T88+U88+V88</f>
        <v>373.71949999999998</v>
      </c>
    </row>
    <row r="89" spans="1:23" x14ac:dyDescent="0.25">
      <c r="A89" s="43" t="s">
        <v>76</v>
      </c>
      <c r="B89" s="211">
        <f>1066.631-198.99</f>
        <v>867.64100000000008</v>
      </c>
      <c r="C89" s="211">
        <f t="shared" si="19"/>
        <v>336.17848647999995</v>
      </c>
      <c r="D89" s="209">
        <v>1203.81948648</v>
      </c>
      <c r="E89" s="197">
        <f t="shared" si="18"/>
        <v>855.99559500000009</v>
      </c>
      <c r="F89" s="198">
        <f>F85*30.2%</f>
        <v>125.42059999999999</v>
      </c>
      <c r="G89" s="198">
        <f t="shared" ref="G89:H89" si="46">G85*30.2%</f>
        <v>125.42059999999999</v>
      </c>
      <c r="H89" s="198">
        <f t="shared" si="46"/>
        <v>125.42059999999999</v>
      </c>
      <c r="I89" s="197">
        <f t="shared" si="40"/>
        <v>376.26179999999999</v>
      </c>
      <c r="J89" s="198">
        <f>J85*30.2%</f>
        <v>166.18229500000001</v>
      </c>
      <c r="K89" s="198">
        <f t="shared" ref="K89:L89" si="47">K85*30.2%</f>
        <v>0</v>
      </c>
      <c r="L89" s="198">
        <f t="shared" si="47"/>
        <v>0</v>
      </c>
      <c r="M89" s="197">
        <f t="shared" si="41"/>
        <v>166.18229500000001</v>
      </c>
      <c r="N89" s="197">
        <f t="shared" si="42"/>
        <v>542.44409500000006</v>
      </c>
      <c r="O89" s="198">
        <f>O85*30.2%</f>
        <v>0</v>
      </c>
      <c r="P89" s="198">
        <f t="shared" ref="P89:Q89" si="48">P85*30.2%</f>
        <v>0</v>
      </c>
      <c r="Q89" s="198">
        <f t="shared" si="48"/>
        <v>0</v>
      </c>
      <c r="R89" s="197">
        <f t="shared" si="43"/>
        <v>0</v>
      </c>
      <c r="S89" s="197">
        <f t="shared" si="44"/>
        <v>542.44409500000006</v>
      </c>
      <c r="T89" s="204">
        <f>T85*30.2%</f>
        <v>62.710299999999997</v>
      </c>
      <c r="U89" s="204">
        <f t="shared" ref="U89:V89" si="49">U85*30.2%</f>
        <v>125.42059999999999</v>
      </c>
      <c r="V89" s="204">
        <f t="shared" si="49"/>
        <v>125.42059999999999</v>
      </c>
      <c r="W89" s="197">
        <f t="shared" si="45"/>
        <v>313.55149999999998</v>
      </c>
    </row>
    <row r="90" spans="1:23" x14ac:dyDescent="0.25">
      <c r="A90" s="43" t="s">
        <v>77</v>
      </c>
      <c r="B90" s="211">
        <v>198.98500000000001</v>
      </c>
      <c r="C90" s="211">
        <f t="shared" si="19"/>
        <v>150.80347999999998</v>
      </c>
      <c r="D90" s="209">
        <v>349.78847999999999</v>
      </c>
      <c r="E90" s="197">
        <f t="shared" ref="E90:E98" si="50">W90+S90</f>
        <v>250.92000000000002</v>
      </c>
      <c r="F90" s="198">
        <v>30.303999999999998</v>
      </c>
      <c r="G90" s="198">
        <v>20.056000000000001</v>
      </c>
      <c r="H90" s="198">
        <v>20.056000000000001</v>
      </c>
      <c r="I90" s="197">
        <f t="shared" si="40"/>
        <v>70.415999999999997</v>
      </c>
      <c r="J90" s="198">
        <v>20.056000000000001</v>
      </c>
      <c r="K90" s="198">
        <v>20.056000000000001</v>
      </c>
      <c r="L90" s="198">
        <v>20.056000000000001</v>
      </c>
      <c r="M90" s="197">
        <f t="shared" si="41"/>
        <v>60.168000000000006</v>
      </c>
      <c r="N90" s="197">
        <f t="shared" si="42"/>
        <v>130.584</v>
      </c>
      <c r="O90" s="198">
        <v>20.056000000000001</v>
      </c>
      <c r="P90" s="198">
        <v>20.056000000000001</v>
      </c>
      <c r="Q90" s="198">
        <v>20.056000000000001</v>
      </c>
      <c r="R90" s="197">
        <f t="shared" si="43"/>
        <v>60.168000000000006</v>
      </c>
      <c r="S90" s="197">
        <f t="shared" si="44"/>
        <v>190.75200000000001</v>
      </c>
      <c r="T90" s="204">
        <v>20.056000000000001</v>
      </c>
      <c r="U90" s="204">
        <v>20.056000000000001</v>
      </c>
      <c r="V90" s="204">
        <v>20.056000000000001</v>
      </c>
      <c r="W90" s="197">
        <f t="shared" si="45"/>
        <v>60.168000000000006</v>
      </c>
    </row>
    <row r="91" spans="1:23" ht="15" customHeight="1" x14ac:dyDescent="0.25">
      <c r="A91" s="43" t="s">
        <v>78</v>
      </c>
      <c r="B91" s="211"/>
      <c r="C91" s="211">
        <f>D91-B91</f>
        <v>0</v>
      </c>
      <c r="D91" s="209">
        <v>0</v>
      </c>
      <c r="E91" s="197">
        <f t="shared" si="50"/>
        <v>0</v>
      </c>
      <c r="F91" s="198">
        <f t="shared" ref="F91:H91" si="51">F87*30.2%</f>
        <v>0</v>
      </c>
      <c r="G91" s="198">
        <f t="shared" si="51"/>
        <v>0</v>
      </c>
      <c r="H91" s="198">
        <f t="shared" si="51"/>
        <v>0</v>
      </c>
      <c r="I91" s="197">
        <f t="shared" si="40"/>
        <v>0</v>
      </c>
      <c r="J91" s="198">
        <f t="shared" ref="J91:L91" si="52">J87*30.2%</f>
        <v>0</v>
      </c>
      <c r="K91" s="198">
        <f t="shared" si="52"/>
        <v>0</v>
      </c>
      <c r="L91" s="198">
        <f t="shared" si="52"/>
        <v>0</v>
      </c>
      <c r="M91" s="197">
        <f t="shared" si="41"/>
        <v>0</v>
      </c>
      <c r="N91" s="197">
        <f t="shared" si="42"/>
        <v>0</v>
      </c>
      <c r="O91" s="198">
        <f t="shared" ref="O91:Q91" si="53">O87*30.2%</f>
        <v>0</v>
      </c>
      <c r="P91" s="198">
        <f t="shared" si="53"/>
        <v>0</v>
      </c>
      <c r="Q91" s="198">
        <f t="shared" si="53"/>
        <v>0</v>
      </c>
      <c r="R91" s="197">
        <f t="shared" si="43"/>
        <v>0</v>
      </c>
      <c r="S91" s="197">
        <f t="shared" si="44"/>
        <v>0</v>
      </c>
      <c r="T91" s="204">
        <f t="shared" ref="T91:V91" si="54">T87*30.2%</f>
        <v>0</v>
      </c>
      <c r="U91" s="204">
        <f t="shared" si="54"/>
        <v>0</v>
      </c>
      <c r="V91" s="204">
        <f t="shared" si="54"/>
        <v>0</v>
      </c>
      <c r="W91" s="197">
        <f t="shared" si="45"/>
        <v>0</v>
      </c>
    </row>
    <row r="92" spans="1:23" x14ac:dyDescent="0.25">
      <c r="A92" s="42"/>
      <c r="B92" s="56">
        <v>0</v>
      </c>
      <c r="C92" s="56">
        <v>0</v>
      </c>
      <c r="D92" s="54">
        <v>0</v>
      </c>
      <c r="E92" s="197">
        <f t="shared" si="50"/>
        <v>0</v>
      </c>
      <c r="F92" s="198">
        <v>0</v>
      </c>
      <c r="G92" s="198">
        <v>0</v>
      </c>
      <c r="H92" s="198">
        <v>0</v>
      </c>
      <c r="I92" s="197">
        <v>0</v>
      </c>
      <c r="J92" s="198">
        <v>0</v>
      </c>
      <c r="K92" s="198">
        <v>0</v>
      </c>
      <c r="L92" s="198">
        <v>0</v>
      </c>
      <c r="M92" s="197">
        <v>0</v>
      </c>
      <c r="N92" s="197">
        <v>0</v>
      </c>
      <c r="O92" s="198">
        <v>0</v>
      </c>
      <c r="P92" s="198">
        <v>0</v>
      </c>
      <c r="Q92" s="198">
        <v>0</v>
      </c>
      <c r="R92" s="197">
        <v>0</v>
      </c>
      <c r="S92" s="197">
        <v>0</v>
      </c>
      <c r="T92" s="204">
        <v>0</v>
      </c>
      <c r="U92" s="204">
        <v>0</v>
      </c>
      <c r="V92" s="204">
        <v>0</v>
      </c>
      <c r="W92" s="197">
        <v>0</v>
      </c>
    </row>
    <row r="93" spans="1:23" ht="21" x14ac:dyDescent="0.25">
      <c r="A93" s="36" t="s">
        <v>99</v>
      </c>
      <c r="B93" s="44">
        <v>0</v>
      </c>
      <c r="C93" s="44">
        <v>0</v>
      </c>
      <c r="D93" s="54">
        <v>0</v>
      </c>
      <c r="E93" s="197">
        <f t="shared" si="50"/>
        <v>0</v>
      </c>
      <c r="F93" s="198">
        <v>0</v>
      </c>
      <c r="G93" s="198">
        <v>0</v>
      </c>
      <c r="H93" s="198">
        <v>0</v>
      </c>
      <c r="I93" s="197">
        <v>0</v>
      </c>
      <c r="J93" s="198">
        <v>0</v>
      </c>
      <c r="K93" s="198">
        <v>0</v>
      </c>
      <c r="L93" s="198">
        <v>0</v>
      </c>
      <c r="M93" s="197">
        <v>0</v>
      </c>
      <c r="N93" s="197">
        <v>0</v>
      </c>
      <c r="O93" s="198">
        <v>0</v>
      </c>
      <c r="P93" s="198">
        <v>0</v>
      </c>
      <c r="Q93" s="198">
        <v>0</v>
      </c>
      <c r="R93" s="197">
        <v>0</v>
      </c>
      <c r="S93" s="197">
        <v>0</v>
      </c>
      <c r="T93" s="204">
        <v>0</v>
      </c>
      <c r="U93" s="204">
        <v>0</v>
      </c>
      <c r="V93" s="204">
        <v>0</v>
      </c>
      <c r="W93" s="197">
        <v>0</v>
      </c>
    </row>
    <row r="94" spans="1:23" ht="22.5" customHeight="1" x14ac:dyDescent="0.25">
      <c r="A94" s="32" t="s">
        <v>93</v>
      </c>
      <c r="B94" s="57">
        <f>B95+B96+B97</f>
        <v>0</v>
      </c>
      <c r="C94" s="57">
        <f>D94-B94</f>
        <v>15.600000000000001</v>
      </c>
      <c r="D94" s="54">
        <v>15.600000000000001</v>
      </c>
      <c r="E94" s="197">
        <f t="shared" si="50"/>
        <v>0</v>
      </c>
      <c r="F94" s="197">
        <f t="shared" ref="F94:V94" si="55">F95+F96</f>
        <v>0</v>
      </c>
      <c r="G94" s="197">
        <f t="shared" si="55"/>
        <v>0</v>
      </c>
      <c r="H94" s="197">
        <f t="shared" si="55"/>
        <v>0</v>
      </c>
      <c r="I94" s="197">
        <f t="shared" si="40"/>
        <v>0</v>
      </c>
      <c r="J94" s="197">
        <f t="shared" si="55"/>
        <v>0</v>
      </c>
      <c r="K94" s="197">
        <f t="shared" si="55"/>
        <v>0</v>
      </c>
      <c r="L94" s="197">
        <f t="shared" si="55"/>
        <v>0</v>
      </c>
      <c r="M94" s="197">
        <f t="shared" si="41"/>
        <v>0</v>
      </c>
      <c r="N94" s="197">
        <f t="shared" si="42"/>
        <v>0</v>
      </c>
      <c r="O94" s="197">
        <f t="shared" si="55"/>
        <v>0</v>
      </c>
      <c r="P94" s="197">
        <f t="shared" si="55"/>
        <v>0</v>
      </c>
      <c r="Q94" s="197">
        <f t="shared" si="55"/>
        <v>0</v>
      </c>
      <c r="R94" s="197">
        <f t="shared" si="43"/>
        <v>0</v>
      </c>
      <c r="S94" s="197">
        <f t="shared" si="44"/>
        <v>0</v>
      </c>
      <c r="T94" s="207">
        <f t="shared" si="55"/>
        <v>0</v>
      </c>
      <c r="U94" s="207">
        <f t="shared" si="55"/>
        <v>0</v>
      </c>
      <c r="V94" s="207">
        <f t="shared" si="55"/>
        <v>0</v>
      </c>
      <c r="W94" s="197">
        <f t="shared" si="45"/>
        <v>0</v>
      </c>
    </row>
    <row r="95" spans="1:23" x14ac:dyDescent="0.25">
      <c r="A95" s="31" t="s">
        <v>73</v>
      </c>
      <c r="B95" s="44"/>
      <c r="C95" s="44">
        <f t="shared" ref="C95:C103" si="56">D95-B95</f>
        <v>15.600000000000001</v>
      </c>
      <c r="D95" s="54">
        <v>15.600000000000001</v>
      </c>
      <c r="E95" s="197">
        <f t="shared" si="50"/>
        <v>0</v>
      </c>
      <c r="F95" s="198"/>
      <c r="G95" s="198"/>
      <c r="H95" s="198"/>
      <c r="I95" s="197">
        <f t="shared" si="40"/>
        <v>0</v>
      </c>
      <c r="J95" s="198"/>
      <c r="K95" s="198"/>
      <c r="L95" s="198"/>
      <c r="M95" s="197">
        <f t="shared" si="41"/>
        <v>0</v>
      </c>
      <c r="N95" s="197">
        <f t="shared" si="42"/>
        <v>0</v>
      </c>
      <c r="O95" s="198"/>
      <c r="P95" s="198"/>
      <c r="Q95" s="198"/>
      <c r="R95" s="197">
        <f t="shared" si="43"/>
        <v>0</v>
      </c>
      <c r="S95" s="197">
        <f t="shared" si="44"/>
        <v>0</v>
      </c>
      <c r="T95" s="204"/>
      <c r="U95" s="204"/>
      <c r="V95" s="204"/>
      <c r="W95" s="197">
        <f t="shared" si="45"/>
        <v>0</v>
      </c>
    </row>
    <row r="96" spans="1:23" x14ac:dyDescent="0.25">
      <c r="A96" s="31" t="s">
        <v>74</v>
      </c>
      <c r="B96" s="44">
        <v>0</v>
      </c>
      <c r="C96" s="44">
        <v>0</v>
      </c>
      <c r="D96" s="54">
        <v>0</v>
      </c>
      <c r="E96" s="197">
        <f t="shared" si="50"/>
        <v>0</v>
      </c>
      <c r="F96" s="198">
        <v>0</v>
      </c>
      <c r="G96" s="198">
        <v>0</v>
      </c>
      <c r="H96" s="198">
        <v>0</v>
      </c>
      <c r="I96" s="197">
        <f t="shared" si="40"/>
        <v>0</v>
      </c>
      <c r="J96" s="198">
        <v>0</v>
      </c>
      <c r="K96" s="198">
        <v>0</v>
      </c>
      <c r="L96" s="198">
        <v>0</v>
      </c>
      <c r="M96" s="197">
        <f t="shared" si="41"/>
        <v>0</v>
      </c>
      <c r="N96" s="197">
        <f t="shared" si="42"/>
        <v>0</v>
      </c>
      <c r="O96" s="198">
        <v>0</v>
      </c>
      <c r="P96" s="198">
        <v>0</v>
      </c>
      <c r="Q96" s="198">
        <v>0</v>
      </c>
      <c r="R96" s="197">
        <f t="shared" si="43"/>
        <v>0</v>
      </c>
      <c r="S96" s="197">
        <f t="shared" si="44"/>
        <v>0</v>
      </c>
      <c r="T96" s="204">
        <v>0</v>
      </c>
      <c r="U96" s="204">
        <v>0</v>
      </c>
      <c r="V96" s="204">
        <v>0</v>
      </c>
      <c r="W96" s="197">
        <f t="shared" si="45"/>
        <v>0</v>
      </c>
    </row>
    <row r="97" spans="1:23" ht="30.75" thickBot="1" x14ac:dyDescent="0.3">
      <c r="A97" s="30" t="s">
        <v>122</v>
      </c>
      <c r="B97" s="44">
        <v>0</v>
      </c>
      <c r="C97" s="44">
        <v>0</v>
      </c>
      <c r="D97" s="54">
        <v>0</v>
      </c>
      <c r="E97" s="197">
        <f t="shared" si="50"/>
        <v>0</v>
      </c>
      <c r="F97" s="198">
        <v>0</v>
      </c>
      <c r="G97" s="198">
        <v>0</v>
      </c>
      <c r="H97" s="198">
        <v>0</v>
      </c>
      <c r="I97" s="197">
        <f t="shared" si="40"/>
        <v>0</v>
      </c>
      <c r="J97" s="198">
        <v>0</v>
      </c>
      <c r="K97" s="198">
        <v>0</v>
      </c>
      <c r="L97" s="198">
        <v>0</v>
      </c>
      <c r="M97" s="197">
        <f t="shared" si="41"/>
        <v>0</v>
      </c>
      <c r="N97" s="197">
        <f t="shared" si="42"/>
        <v>0</v>
      </c>
      <c r="O97" s="198">
        <v>0</v>
      </c>
      <c r="P97" s="198">
        <v>0</v>
      </c>
      <c r="Q97" s="198">
        <v>0</v>
      </c>
      <c r="R97" s="197">
        <f t="shared" si="43"/>
        <v>0</v>
      </c>
      <c r="S97" s="197">
        <f t="shared" si="44"/>
        <v>0</v>
      </c>
      <c r="T97" s="204">
        <v>0</v>
      </c>
      <c r="U97" s="204">
        <v>0</v>
      </c>
      <c r="V97" s="204">
        <v>0</v>
      </c>
      <c r="W97" s="197">
        <f t="shared" si="45"/>
        <v>0</v>
      </c>
    </row>
    <row r="98" spans="1:23" ht="30.75" thickBot="1" x14ac:dyDescent="0.3">
      <c r="A98" s="33" t="s">
        <v>123</v>
      </c>
      <c r="B98" s="45">
        <v>0</v>
      </c>
      <c r="C98" s="45">
        <v>0</v>
      </c>
      <c r="D98" s="54">
        <v>0</v>
      </c>
      <c r="E98" s="197">
        <f t="shared" si="50"/>
        <v>0</v>
      </c>
      <c r="F98" s="198">
        <v>0</v>
      </c>
      <c r="G98" s="198">
        <v>0</v>
      </c>
      <c r="H98" s="198">
        <v>0</v>
      </c>
      <c r="I98" s="197">
        <f t="shared" si="40"/>
        <v>0</v>
      </c>
      <c r="J98" s="198">
        <v>0</v>
      </c>
      <c r="K98" s="198">
        <v>0</v>
      </c>
      <c r="L98" s="198">
        <v>0</v>
      </c>
      <c r="M98" s="197">
        <f t="shared" si="41"/>
        <v>0</v>
      </c>
      <c r="N98" s="197">
        <f t="shared" si="42"/>
        <v>0</v>
      </c>
      <c r="O98" s="198">
        <v>0</v>
      </c>
      <c r="P98" s="198">
        <v>0</v>
      </c>
      <c r="Q98" s="198">
        <v>0</v>
      </c>
      <c r="R98" s="197">
        <f t="shared" si="43"/>
        <v>0</v>
      </c>
      <c r="S98" s="197">
        <f t="shared" si="44"/>
        <v>0</v>
      </c>
      <c r="T98" s="204">
        <v>0</v>
      </c>
      <c r="U98" s="204">
        <v>0</v>
      </c>
      <c r="V98" s="204">
        <v>0</v>
      </c>
      <c r="W98" s="197">
        <f t="shared" si="45"/>
        <v>0</v>
      </c>
    </row>
    <row r="99" spans="1:23" ht="15.75" thickBot="1" x14ac:dyDescent="0.3">
      <c r="A99" s="34" t="s">
        <v>124</v>
      </c>
      <c r="B99" s="45">
        <f>B10-B23</f>
        <v>-2881.6769999999979</v>
      </c>
      <c r="C99" s="45">
        <f>D99-B99</f>
        <v>-3121.5782064799951</v>
      </c>
      <c r="D99" s="45">
        <v>-6003.2552064799929</v>
      </c>
      <c r="E99" s="197">
        <f t="shared" ref="E99:W99" si="57">E10-E23</f>
        <v>4.7127152829489205E-3</v>
      </c>
      <c r="F99" s="197">
        <f>F10-F23</f>
        <v>433.11434520852072</v>
      </c>
      <c r="G99" s="197">
        <f t="shared" si="57"/>
        <v>74.628400486898499</v>
      </c>
      <c r="H99" s="197">
        <f t="shared" si="57"/>
        <v>-20.474137236586103</v>
      </c>
      <c r="I99" s="197">
        <f t="shared" si="57"/>
        <v>487.26860845883311</v>
      </c>
      <c r="J99" s="197">
        <f t="shared" si="57"/>
        <v>-147.32808884733276</v>
      </c>
      <c r="K99" s="197">
        <f t="shared" si="57"/>
        <v>-96.322653000000003</v>
      </c>
      <c r="L99" s="197">
        <f t="shared" si="57"/>
        <v>-96.322653000000003</v>
      </c>
      <c r="M99" s="197">
        <f t="shared" si="57"/>
        <v>-339.97339484733266</v>
      </c>
      <c r="N99" s="197">
        <f t="shared" si="57"/>
        <v>147.2952136115</v>
      </c>
      <c r="O99" s="197">
        <f t="shared" si="57"/>
        <v>-96.321652999999998</v>
      </c>
      <c r="P99" s="197">
        <f t="shared" si="57"/>
        <v>-96.321652999999998</v>
      </c>
      <c r="Q99" s="197">
        <f t="shared" si="57"/>
        <v>-96.321652999999998</v>
      </c>
      <c r="R99" s="197">
        <f t="shared" si="57"/>
        <v>-288.96495900000002</v>
      </c>
      <c r="S99" s="197">
        <f t="shared" si="57"/>
        <v>-141.6697453884999</v>
      </c>
      <c r="T99" s="207">
        <f t="shared" si="57"/>
        <v>-98.603195392782254</v>
      </c>
      <c r="U99" s="207">
        <f t="shared" si="57"/>
        <v>-92.295611907094099</v>
      </c>
      <c r="V99" s="207">
        <f t="shared" si="57"/>
        <v>332.57326540365966</v>
      </c>
      <c r="W99" s="197">
        <f t="shared" si="57"/>
        <v>141.67445810378331</v>
      </c>
    </row>
    <row r="100" spans="1:23" ht="60.75" thickBot="1" x14ac:dyDescent="0.3">
      <c r="A100" s="34" t="s">
        <v>125</v>
      </c>
      <c r="B100" s="45">
        <v>0</v>
      </c>
      <c r="C100" s="45">
        <f>D100-B100</f>
        <v>0</v>
      </c>
      <c r="D100" s="54">
        <v>0</v>
      </c>
      <c r="E100" s="197">
        <v>0</v>
      </c>
      <c r="F100" s="198">
        <v>0</v>
      </c>
      <c r="G100" s="198">
        <v>0</v>
      </c>
      <c r="H100" s="198">
        <v>0</v>
      </c>
      <c r="I100" s="197">
        <f t="shared" si="40"/>
        <v>0</v>
      </c>
      <c r="J100" s="198">
        <v>0</v>
      </c>
      <c r="K100" s="198">
        <v>0</v>
      </c>
      <c r="L100" s="198">
        <v>0</v>
      </c>
      <c r="M100" s="197">
        <f t="shared" si="41"/>
        <v>0</v>
      </c>
      <c r="N100" s="197">
        <f t="shared" si="42"/>
        <v>0</v>
      </c>
      <c r="O100" s="198">
        <v>0</v>
      </c>
      <c r="P100" s="198">
        <v>0</v>
      </c>
      <c r="Q100" s="198">
        <v>0</v>
      </c>
      <c r="R100" s="197">
        <f t="shared" si="43"/>
        <v>0</v>
      </c>
      <c r="S100" s="197">
        <f t="shared" si="44"/>
        <v>0</v>
      </c>
      <c r="T100" s="204">
        <v>0</v>
      </c>
      <c r="U100" s="204">
        <v>0</v>
      </c>
      <c r="V100" s="204">
        <v>0</v>
      </c>
      <c r="W100" s="197">
        <f t="shared" si="45"/>
        <v>0</v>
      </c>
    </row>
    <row r="101" spans="1:23" ht="30.75" thickBot="1" x14ac:dyDescent="0.3">
      <c r="A101" s="34" t="s">
        <v>126</v>
      </c>
      <c r="B101" s="45">
        <v>11</v>
      </c>
      <c r="C101" s="45"/>
      <c r="D101" s="54">
        <v>19</v>
      </c>
      <c r="E101" s="197">
        <f>(W101+S101)/2</f>
        <v>14.1875</v>
      </c>
      <c r="F101" s="198">
        <v>23</v>
      </c>
      <c r="G101" s="198">
        <v>22.5</v>
      </c>
      <c r="H101" s="198">
        <v>22.5</v>
      </c>
      <c r="I101" s="198">
        <f>(F101+G101+H101)/3</f>
        <v>22.666666666666668</v>
      </c>
      <c r="J101" s="198">
        <v>22.5</v>
      </c>
      <c r="K101" s="198">
        <v>2.5</v>
      </c>
      <c r="L101" s="198">
        <v>2.5</v>
      </c>
      <c r="M101" s="198">
        <f>(J101+K101+L101)/3</f>
        <v>9.1666666666666661</v>
      </c>
      <c r="N101" s="198">
        <f>(M101+I101)/2</f>
        <v>15.916666666666668</v>
      </c>
      <c r="O101" s="198">
        <v>2.5</v>
      </c>
      <c r="P101" s="198">
        <v>2.5</v>
      </c>
      <c r="Q101" s="198">
        <v>2.5</v>
      </c>
      <c r="R101" s="198">
        <f>(O101+P101+Q101)/3</f>
        <v>2.5</v>
      </c>
      <c r="S101" s="198">
        <f>(N101+R101)/2</f>
        <v>9.2083333333333339</v>
      </c>
      <c r="T101" s="204">
        <f>2.5+(20/2)</f>
        <v>12.5</v>
      </c>
      <c r="U101" s="204">
        <v>22.5</v>
      </c>
      <c r="V101" s="204">
        <v>22.5</v>
      </c>
      <c r="W101" s="198">
        <f>(T101+U101+V101)/3</f>
        <v>19.166666666666668</v>
      </c>
    </row>
    <row r="102" spans="1:23" ht="30.75" thickBot="1" x14ac:dyDescent="0.3">
      <c r="A102" s="33" t="s">
        <v>127</v>
      </c>
      <c r="B102" s="45">
        <f>B84/B101/9*1000</f>
        <v>35244.686868686869</v>
      </c>
      <c r="C102" s="45" t="e">
        <f>C84/C101/3*1000</f>
        <v>#DIV/0!</v>
      </c>
      <c r="D102" s="54">
        <v>22563.145789473685</v>
      </c>
      <c r="E102" s="197">
        <f>E84/12/E101*1000</f>
        <v>21561.445950073423</v>
      </c>
      <c r="F102" s="198">
        <f>F84/F101*1000</f>
        <v>22448.369130434785</v>
      </c>
      <c r="G102" s="198">
        <f t="shared" ref="G102:H102" si="58">G84/G101*1000</f>
        <v>21429.09568888889</v>
      </c>
      <c r="H102" s="198">
        <f t="shared" si="58"/>
        <v>21429.09568888889</v>
      </c>
      <c r="I102" s="197">
        <f>I84/3/J101*1000</f>
        <v>21935.137718518523</v>
      </c>
      <c r="J102" s="198">
        <f>J84/J101*1000</f>
        <v>27427.873466666668</v>
      </c>
      <c r="K102" s="198">
        <f t="shared" ref="K102:L102" si="59">K84/K101*1000</f>
        <v>26741.861199999999</v>
      </c>
      <c r="L102" s="198">
        <f t="shared" si="59"/>
        <v>26741.861199999999</v>
      </c>
      <c r="M102" s="197">
        <f>M84/3/N101*1000</f>
        <v>15724.323748691098</v>
      </c>
      <c r="N102" s="197">
        <f>N84/6/N101*1000</f>
        <v>23366.055026178012</v>
      </c>
      <c r="O102" s="198">
        <f>O84/O101*1000</f>
        <v>26741.861199999999</v>
      </c>
      <c r="P102" s="198">
        <f t="shared" ref="P102:Q102" si="60">P84/P101*1000</f>
        <v>26741.861199999999</v>
      </c>
      <c r="Q102" s="198">
        <f t="shared" si="60"/>
        <v>26741.861199999999</v>
      </c>
      <c r="R102" s="197">
        <f>R84/3/S101*1000</f>
        <v>7260.2338099547505</v>
      </c>
      <c r="S102" s="197">
        <f>S84/9/S101*1000</f>
        <v>29345.66774057315</v>
      </c>
      <c r="T102" s="204">
        <f>T84/T101*1000</f>
        <v>21960.372240000001</v>
      </c>
      <c r="U102" s="204">
        <f t="shared" ref="U102:V102" si="61">U84/U101*1000</f>
        <v>21429.09568888889</v>
      </c>
      <c r="V102" s="204">
        <f t="shared" si="61"/>
        <v>21429.09568888889</v>
      </c>
      <c r="W102" s="197">
        <f>W84/3/W101*1000</f>
        <v>21544.59059130435</v>
      </c>
    </row>
    <row r="103" spans="1:23" ht="30.75" thickBot="1" x14ac:dyDescent="0.3">
      <c r="A103" s="34" t="s">
        <v>128</v>
      </c>
      <c r="B103" s="45">
        <v>0</v>
      </c>
      <c r="C103" s="45">
        <f t="shared" si="56"/>
        <v>0</v>
      </c>
      <c r="D103" s="54">
        <v>0</v>
      </c>
      <c r="E103" s="197">
        <v>0</v>
      </c>
      <c r="F103" s="198">
        <v>0</v>
      </c>
      <c r="G103" s="198">
        <v>0</v>
      </c>
      <c r="H103" s="198">
        <v>0</v>
      </c>
      <c r="I103" s="197">
        <f t="shared" si="40"/>
        <v>0</v>
      </c>
      <c r="J103" s="198">
        <v>0</v>
      </c>
      <c r="K103" s="198">
        <v>0</v>
      </c>
      <c r="L103" s="198">
        <v>0</v>
      </c>
      <c r="M103" s="197">
        <f t="shared" si="41"/>
        <v>0</v>
      </c>
      <c r="N103" s="197">
        <f t="shared" si="42"/>
        <v>0</v>
      </c>
      <c r="O103" s="198">
        <v>0</v>
      </c>
      <c r="P103" s="198">
        <v>0</v>
      </c>
      <c r="Q103" s="198">
        <v>0</v>
      </c>
      <c r="R103" s="197">
        <f t="shared" si="43"/>
        <v>0</v>
      </c>
      <c r="S103" s="197">
        <f t="shared" si="44"/>
        <v>0</v>
      </c>
      <c r="T103" s="204">
        <v>0</v>
      </c>
      <c r="U103" s="204">
        <v>0</v>
      </c>
      <c r="V103" s="204">
        <v>0</v>
      </c>
      <c r="W103" s="197">
        <f t="shared" si="45"/>
        <v>0</v>
      </c>
    </row>
    <row r="104" spans="1:23" x14ac:dyDescent="0.25">
      <c r="A104" s="31"/>
      <c r="B104" s="44"/>
      <c r="C104" s="44"/>
      <c r="D104" s="5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204"/>
      <c r="U104" s="204"/>
      <c r="V104" s="204"/>
      <c r="W104" s="198"/>
    </row>
    <row r="105" spans="1:23" x14ac:dyDescent="0.25">
      <c r="F105" s="59"/>
      <c r="G105" t="s">
        <v>298</v>
      </c>
      <c r="T105" s="59">
        <f>98.606+T99</f>
        <v>2.8046072177403403E-3</v>
      </c>
      <c r="U105" s="59">
        <f>92.298+U99</f>
        <v>2.3880929059032496E-3</v>
      </c>
      <c r="V105" s="59">
        <f>332.577-V99</f>
        <v>3.7345963403367932E-3</v>
      </c>
    </row>
    <row r="107" spans="1:23" x14ac:dyDescent="0.25">
      <c r="A107" t="s">
        <v>110</v>
      </c>
      <c r="B107" t="s">
        <v>121</v>
      </c>
    </row>
    <row r="108" spans="1:23" ht="13.5" customHeight="1" x14ac:dyDescent="0.25"/>
    <row r="109" spans="1:23" hidden="1" x14ac:dyDescent="0.25"/>
    <row r="110" spans="1:23" x14ac:dyDescent="0.25">
      <c r="A110" t="s">
        <v>111</v>
      </c>
      <c r="B110" t="s">
        <v>119</v>
      </c>
    </row>
  </sheetData>
  <mergeCells count="10">
    <mergeCell ref="J1:L1"/>
    <mergeCell ref="E2:U2"/>
    <mergeCell ref="E3:T3"/>
    <mergeCell ref="A6:A8"/>
    <mergeCell ref="B6:B8"/>
    <mergeCell ref="C6:C8"/>
    <mergeCell ref="D6:D8"/>
    <mergeCell ref="E6:W6"/>
    <mergeCell ref="E7:E8"/>
    <mergeCell ref="F7:W7"/>
  </mergeCells>
  <pageMargins left="0.11811023622047245" right="0.11811023622047245" top="0.74803149606299213" bottom="0.55118110236220474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3"/>
  <sheetViews>
    <sheetView tabSelected="1" topLeftCell="B1" workbookViewId="0">
      <selection activeCell="I4" sqref="I4:W4"/>
    </sheetView>
  </sheetViews>
  <sheetFormatPr defaultRowHeight="15" x14ac:dyDescent="0.25"/>
  <cols>
    <col min="1" max="1" width="56.7109375" customWidth="1"/>
    <col min="2" max="2" width="15.85546875" customWidth="1"/>
    <col min="3" max="3" width="14.28515625" customWidth="1"/>
    <col min="4" max="4" width="16.28515625" customWidth="1"/>
    <col min="5" max="5" width="16.140625" customWidth="1"/>
    <col min="6" max="6" width="18.85546875" hidden="1" customWidth="1"/>
    <col min="7" max="7" width="18.7109375" hidden="1" customWidth="1"/>
    <col min="8" max="8" width="14.140625" hidden="1" customWidth="1"/>
    <col min="9" max="9" width="14.28515625" customWidth="1"/>
    <col min="10" max="10" width="16.5703125" hidden="1" customWidth="1"/>
    <col min="11" max="11" width="13.42578125" hidden="1" customWidth="1"/>
    <col min="12" max="12" width="14.7109375" hidden="1" customWidth="1"/>
    <col min="13" max="13" width="14.85546875" customWidth="1"/>
    <col min="14" max="14" width="15.42578125" hidden="1" customWidth="1"/>
    <col min="15" max="15" width="16.140625" hidden="1" customWidth="1"/>
    <col min="16" max="16" width="14.5703125" hidden="1" customWidth="1"/>
    <col min="17" max="17" width="12.28515625" hidden="1" customWidth="1"/>
    <col min="18" max="18" width="14.5703125" customWidth="1"/>
    <col min="19" max="19" width="12.42578125" hidden="1" customWidth="1"/>
    <col min="20" max="20" width="15.5703125" hidden="1" customWidth="1"/>
    <col min="21" max="21" width="16.85546875" hidden="1" customWidth="1"/>
    <col min="22" max="22" width="16" hidden="1" customWidth="1"/>
    <col min="23" max="23" width="16.5703125" customWidth="1"/>
  </cols>
  <sheetData>
    <row r="1" spans="1:24" s="225" customFormat="1" ht="18.75" x14ac:dyDescent="0.3">
      <c r="A1" s="223"/>
      <c r="B1" s="223"/>
      <c r="C1" s="223"/>
      <c r="D1" s="223"/>
      <c r="E1" s="223"/>
      <c r="F1" s="223"/>
      <c r="G1" s="223"/>
      <c r="H1" s="223"/>
      <c r="I1" s="239" t="s">
        <v>308</v>
      </c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4" ht="18.75" x14ac:dyDescent="0.3">
      <c r="A2" s="72"/>
      <c r="B2" s="72"/>
      <c r="C2" s="72"/>
      <c r="D2" s="72"/>
      <c r="E2" s="72"/>
      <c r="F2" s="72"/>
      <c r="G2" s="72"/>
      <c r="H2" s="72"/>
      <c r="I2" s="239" t="s">
        <v>309</v>
      </c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4" ht="18.75" x14ac:dyDescent="0.3">
      <c r="A3" s="72"/>
      <c r="B3" s="72"/>
      <c r="C3" s="72"/>
      <c r="D3" s="72"/>
      <c r="E3" s="72"/>
      <c r="F3" s="72"/>
      <c r="G3" s="72"/>
      <c r="H3" s="72"/>
      <c r="I3" s="239" t="s">
        <v>310</v>
      </c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</row>
    <row r="4" spans="1:24" ht="18.75" x14ac:dyDescent="0.3">
      <c r="A4" s="72"/>
      <c r="B4" s="72"/>
      <c r="C4" s="72"/>
      <c r="D4" s="72"/>
      <c r="E4" s="72"/>
      <c r="F4" s="72"/>
      <c r="G4" s="72"/>
      <c r="H4" s="72"/>
      <c r="I4" s="239" t="s">
        <v>311</v>
      </c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</row>
    <row r="5" spans="1:24" ht="18.75" x14ac:dyDescent="0.3">
      <c r="A5" s="240" t="s">
        <v>131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</row>
    <row r="6" spans="1:24" ht="18.75" x14ac:dyDescent="0.3">
      <c r="A6" s="240" t="s">
        <v>306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</row>
    <row r="7" spans="1:24" ht="18.75" x14ac:dyDescent="0.3">
      <c r="A7" s="72"/>
      <c r="B7" s="72"/>
      <c r="C7" s="72"/>
      <c r="D7" s="72"/>
      <c r="E7" s="73"/>
      <c r="F7" s="73"/>
      <c r="G7" s="72"/>
      <c r="H7" s="72"/>
      <c r="I7" s="73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 t="s">
        <v>132</v>
      </c>
    </row>
    <row r="8" spans="1:24" ht="18.75" x14ac:dyDescent="0.25">
      <c r="A8" s="242" t="s">
        <v>22</v>
      </c>
      <c r="B8" s="242" t="s">
        <v>9</v>
      </c>
      <c r="C8" s="242" t="s">
        <v>115</v>
      </c>
      <c r="D8" s="242" t="s">
        <v>302</v>
      </c>
      <c r="E8" s="243" t="s">
        <v>304</v>
      </c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</row>
    <row r="9" spans="1:24" ht="18.75" x14ac:dyDescent="0.25">
      <c r="A9" s="242"/>
      <c r="B9" s="242"/>
      <c r="C9" s="242"/>
      <c r="D9" s="242"/>
      <c r="E9" s="243" t="s">
        <v>307</v>
      </c>
      <c r="F9" s="242" t="s">
        <v>20</v>
      </c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</row>
    <row r="10" spans="1:24" ht="41.25" customHeight="1" x14ac:dyDescent="0.25">
      <c r="A10" s="242"/>
      <c r="B10" s="242"/>
      <c r="C10" s="242"/>
      <c r="D10" s="242"/>
      <c r="E10" s="243"/>
      <c r="F10" s="74" t="s">
        <v>2</v>
      </c>
      <c r="G10" s="74" t="s">
        <v>3</v>
      </c>
      <c r="H10" s="74" t="s">
        <v>4</v>
      </c>
      <c r="I10" s="75" t="s">
        <v>5</v>
      </c>
      <c r="J10" s="74" t="s">
        <v>11</v>
      </c>
      <c r="K10" s="74" t="s">
        <v>12</v>
      </c>
      <c r="L10" s="74" t="s">
        <v>13</v>
      </c>
      <c r="M10" s="75" t="s">
        <v>6</v>
      </c>
      <c r="N10" s="75" t="s">
        <v>7</v>
      </c>
      <c r="O10" s="74" t="s">
        <v>14</v>
      </c>
      <c r="P10" s="74" t="s">
        <v>15</v>
      </c>
      <c r="Q10" s="74" t="s">
        <v>16</v>
      </c>
      <c r="R10" s="75" t="s">
        <v>8</v>
      </c>
      <c r="S10" s="75" t="s">
        <v>9</v>
      </c>
      <c r="T10" s="74" t="s">
        <v>17</v>
      </c>
      <c r="U10" s="74" t="s">
        <v>18</v>
      </c>
      <c r="V10" s="74" t="s">
        <v>19</v>
      </c>
      <c r="W10" s="75" t="s">
        <v>10</v>
      </c>
    </row>
    <row r="11" spans="1:24" ht="9.75" customHeight="1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</row>
    <row r="12" spans="1:24" ht="18.75" x14ac:dyDescent="0.25">
      <c r="A12" s="77" t="s">
        <v>31</v>
      </c>
      <c r="B12" s="78">
        <f t="shared" ref="B12:D12" si="0">B13+B21+B22+B23+B24+B25+B26+B108</f>
        <v>39648.883000000002</v>
      </c>
      <c r="C12" s="78">
        <f t="shared" ref="C12:C26" si="1">D12-B12</f>
        <v>14154.681970000005</v>
      </c>
      <c r="D12" s="78">
        <f t="shared" si="0"/>
        <v>53803.564970000007</v>
      </c>
      <c r="E12" s="78">
        <f>тепло!E10+' ВС'!F12</f>
        <v>45866.627737008639</v>
      </c>
      <c r="F12" s="78">
        <f>тепло!F10+' ВС'!G12</f>
        <v>5382.9464576734299</v>
      </c>
      <c r="G12" s="78">
        <f>тепло!G10+' ВС'!H12</f>
        <v>4343.3516151326294</v>
      </c>
      <c r="H12" s="78">
        <f>тепло!H10+' ВС'!I12</f>
        <v>4127.6871837598292</v>
      </c>
      <c r="I12" s="78">
        <f>тепло!I10+' ВС'!J12</f>
        <v>13853.985256565888</v>
      </c>
      <c r="J12" s="78">
        <f>тепло!J10+' ВС'!K12</f>
        <v>4316.6642061860694</v>
      </c>
      <c r="K12" s="78">
        <f>тепло!K10+' ВС'!L12</f>
        <v>2915.6933333333332</v>
      </c>
      <c r="L12" s="78">
        <f>тепло!L10+' ВС'!M12</f>
        <v>2941.2733333333331</v>
      </c>
      <c r="M12" s="78">
        <f>тепло!M10+' ВС'!N12</f>
        <v>10173.630872852735</v>
      </c>
      <c r="N12" s="78">
        <f>тепло!N10+' ВС'!O12</f>
        <v>24027.616129418624</v>
      </c>
      <c r="O12" s="78">
        <f>тепло!O10+' ВС'!P12</f>
        <v>3244.9713333333334</v>
      </c>
      <c r="P12" s="78">
        <f>тепло!P10+' ВС'!Q12</f>
        <v>3209.7323333333334</v>
      </c>
      <c r="Q12" s="78">
        <f>тепло!Q10+' ВС'!R12</f>
        <v>2955.9933333333329</v>
      </c>
      <c r="R12" s="78">
        <f>тепло!R10+' ВС'!S12</f>
        <v>9410.6970000000001</v>
      </c>
      <c r="S12" s="78">
        <f>тепло!S10+' ВС'!T12</f>
        <v>33438.313129418624</v>
      </c>
      <c r="T12" s="78">
        <f>тепло!T10+' ВС'!U12</f>
        <v>3482.283128084181</v>
      </c>
      <c r="U12" s="78">
        <f>тепло!U10+' ВС'!V12</f>
        <v>4061.2023394509656</v>
      </c>
      <c r="V12" s="78">
        <f>тепло!V10+' ВС'!W12</f>
        <v>4884.8291400548696</v>
      </c>
      <c r="W12" s="78">
        <f>тепло!W10+' ВС'!X12</f>
        <v>12428.314607590017</v>
      </c>
      <c r="X12" s="59"/>
    </row>
    <row r="13" spans="1:24" ht="55.5" customHeight="1" x14ac:dyDescent="0.25">
      <c r="A13" s="77" t="s">
        <v>134</v>
      </c>
      <c r="B13" s="78">
        <f>B14+B15+B16+B17+B18</f>
        <v>26877.239999999998</v>
      </c>
      <c r="C13" s="78">
        <f t="shared" si="1"/>
        <v>13119.741000000002</v>
      </c>
      <c r="D13" s="78">
        <f t="shared" ref="D13" si="2">D14+D15+D16+D17+D18</f>
        <v>39996.981</v>
      </c>
      <c r="E13" s="78">
        <f>тепло!E11+' ВС'!F13</f>
        <v>41547.547737008637</v>
      </c>
      <c r="F13" s="78">
        <f>тепло!F11+' ВС'!G13</f>
        <v>5023.0231243400958</v>
      </c>
      <c r="G13" s="78">
        <f>тепло!G11+' ВС'!H13</f>
        <v>3983.4282817992957</v>
      </c>
      <c r="H13" s="78">
        <f>тепло!H11+' ВС'!I13</f>
        <v>3767.763850426496</v>
      </c>
      <c r="I13" s="78">
        <f>тепло!I11+' ВС'!J13</f>
        <v>12774.215256565889</v>
      </c>
      <c r="J13" s="78">
        <f>тепло!J11+' ВС'!K13</f>
        <v>3956.7408728527362</v>
      </c>
      <c r="K13" s="78">
        <f>тепло!K11+' ВС'!L13</f>
        <v>2555.77</v>
      </c>
      <c r="L13" s="78">
        <f>тепло!L11+' ВС'!M13</f>
        <v>2581.35</v>
      </c>
      <c r="M13" s="78">
        <f>тепло!M11+' ВС'!N13</f>
        <v>9093.8608728527361</v>
      </c>
      <c r="N13" s="78">
        <f>тепло!N11+' ВС'!O13</f>
        <v>21868.076129418627</v>
      </c>
      <c r="O13" s="78">
        <f>тепло!O11+' ВС'!P13</f>
        <v>2885.0480000000002</v>
      </c>
      <c r="P13" s="78">
        <f>тепло!P11+' ВС'!Q13</f>
        <v>2849.8090000000002</v>
      </c>
      <c r="Q13" s="78">
        <f>тепло!Q11+' ВС'!R13</f>
        <v>2596.0699999999997</v>
      </c>
      <c r="R13" s="78">
        <f>тепло!R11+' ВС'!S13</f>
        <v>8330.9269999999997</v>
      </c>
      <c r="S13" s="78">
        <f>тепло!S11+' ВС'!T13</f>
        <v>30199.003129418623</v>
      </c>
      <c r="T13" s="78">
        <f>тепло!T11+' ВС'!U13</f>
        <v>3122.3597947508479</v>
      </c>
      <c r="U13" s="78">
        <f>тепло!U11+' ВС'!V13</f>
        <v>3701.2790061176324</v>
      </c>
      <c r="V13" s="78">
        <f>тепло!V11+' ВС'!W13</f>
        <v>4524.9058067215365</v>
      </c>
      <c r="W13" s="78">
        <f>тепло!W11+' ВС'!X13</f>
        <v>11348.544607590016</v>
      </c>
      <c r="X13" s="59"/>
    </row>
    <row r="14" spans="1:24" ht="37.5" x14ac:dyDescent="0.25">
      <c r="A14" s="79" t="s">
        <v>133</v>
      </c>
      <c r="B14" s="80">
        <f>' ВС'!C14+тепло!B12</f>
        <v>11440.56</v>
      </c>
      <c r="C14" s="80">
        <f t="shared" si="1"/>
        <v>5002.7090000000007</v>
      </c>
      <c r="D14" s="81">
        <f>' ВС'!E14+тепло!D12</f>
        <v>16443.269</v>
      </c>
      <c r="E14" s="82">
        <f>' ВС'!F14+тепло!E12</f>
        <v>18204.690000000002</v>
      </c>
      <c r="F14" s="81">
        <f>' ВС'!G14+тепло!F12</f>
        <v>1637.08</v>
      </c>
      <c r="G14" s="81">
        <f>' ВС'!H14+тепло!G12</f>
        <v>1389.84</v>
      </c>
      <c r="H14" s="81">
        <f>' ВС'!I14+тепло!H12</f>
        <v>1329.59</v>
      </c>
      <c r="I14" s="78">
        <f>' ВС'!J14+тепло!I12</f>
        <v>4356.51</v>
      </c>
      <c r="J14" s="81">
        <f>' ВС'!K14+тепло!J12</f>
        <v>1526.14</v>
      </c>
      <c r="K14" s="81">
        <f>' ВС'!L14+тепло!K12</f>
        <v>1444.13</v>
      </c>
      <c r="L14" s="81">
        <f>' ВС'!M14+тепло!L12</f>
        <v>1460.92</v>
      </c>
      <c r="M14" s="78">
        <f>' ВС'!N14+тепло!M12</f>
        <v>4431.1900000000005</v>
      </c>
      <c r="N14" s="78">
        <f>' ВС'!O14+тепло!N12</f>
        <v>8787.7000000000007</v>
      </c>
      <c r="O14" s="81">
        <f>' ВС'!P14+тепло!O12</f>
        <v>1724.66</v>
      </c>
      <c r="P14" s="81">
        <f>' ВС'!Q14+тепло!P12</f>
        <v>1708.23</v>
      </c>
      <c r="Q14" s="81">
        <f>' ВС'!R14+тепло!Q12</f>
        <v>1443.18</v>
      </c>
      <c r="R14" s="78">
        <f>' ВС'!S14+тепло!R12</f>
        <v>4876.0700000000006</v>
      </c>
      <c r="S14" s="78">
        <f>' ВС'!T14+тепло!S12</f>
        <v>13663.77</v>
      </c>
      <c r="T14" s="81">
        <f>' ВС'!U14+тепло!T12</f>
        <v>1499.93</v>
      </c>
      <c r="U14" s="81">
        <f>' ВС'!V14+тепло!U12</f>
        <v>1463.96</v>
      </c>
      <c r="V14" s="81">
        <f>' ВС'!W14+тепло!V12</f>
        <v>1577.03</v>
      </c>
      <c r="W14" s="78">
        <f>' ВС'!X14+тепло!W12</f>
        <v>4540.92</v>
      </c>
      <c r="X14" s="70"/>
    </row>
    <row r="15" spans="1:24" ht="37.5" x14ac:dyDescent="0.25">
      <c r="A15" s="79" t="s">
        <v>25</v>
      </c>
      <c r="B15" s="80">
        <f>' ВС'!C15+тепло!B13</f>
        <v>4218.53</v>
      </c>
      <c r="C15" s="80">
        <f t="shared" si="1"/>
        <v>2187.1960000000008</v>
      </c>
      <c r="D15" s="81">
        <f>' ВС'!E15+тепло!D13</f>
        <v>6405.7260000000006</v>
      </c>
      <c r="E15" s="82">
        <f>' ВС'!F15+тепло!E13</f>
        <v>6733.91</v>
      </c>
      <c r="F15" s="81">
        <f>' ВС'!G15+тепло!F13</f>
        <v>496.54</v>
      </c>
      <c r="G15" s="81">
        <f>' ВС'!H15+тепло!G13</f>
        <v>496.54</v>
      </c>
      <c r="H15" s="81">
        <f>' ВС'!I15+тепло!H13</f>
        <v>496.54</v>
      </c>
      <c r="I15" s="78">
        <f>' ВС'!J15+тепло!I13</f>
        <v>1489.6200000000001</v>
      </c>
      <c r="J15" s="81">
        <f>' ВС'!K15+тепло!J13</f>
        <v>496.54</v>
      </c>
      <c r="K15" s="81">
        <f>' ВС'!L15+тепло!K13</f>
        <v>617.87</v>
      </c>
      <c r="L15" s="81">
        <f>' ВС'!M15+тепло!L13</f>
        <v>617.87</v>
      </c>
      <c r="M15" s="78">
        <f>' ВС'!N15+тепло!M13</f>
        <v>1732.2800000000002</v>
      </c>
      <c r="N15" s="78">
        <f>' ВС'!O15+тепло!N13</f>
        <v>3221.9000000000005</v>
      </c>
      <c r="O15" s="81">
        <f>' ВС'!P15+тепло!O13</f>
        <v>649.05999999999995</v>
      </c>
      <c r="P15" s="81">
        <f>' ВС'!Q15+тепло!P13</f>
        <v>649.05999999999995</v>
      </c>
      <c r="Q15" s="81">
        <f>' ВС'!R15+тепло!Q13</f>
        <v>649.05999999999995</v>
      </c>
      <c r="R15" s="78">
        <f>' ВС'!S15+тепло!R13</f>
        <v>1947.1799999999998</v>
      </c>
      <c r="S15" s="78">
        <f>' ВС'!T15+тепло!S13</f>
        <v>5169.08</v>
      </c>
      <c r="T15" s="81">
        <f>' ВС'!U15+тепло!T13</f>
        <v>521.61</v>
      </c>
      <c r="U15" s="81">
        <f>' ВС'!V15+тепло!U13</f>
        <v>521.61</v>
      </c>
      <c r="V15" s="81">
        <f>' ВС'!W15+тепло!V13</f>
        <v>521.61</v>
      </c>
      <c r="W15" s="78">
        <f>' ВС'!X15+тепло!W13</f>
        <v>1564.83</v>
      </c>
      <c r="X15" s="71"/>
    </row>
    <row r="16" spans="1:24" ht="21.75" customHeight="1" x14ac:dyDescent="0.25">
      <c r="A16" s="79" t="s">
        <v>26</v>
      </c>
      <c r="B16" s="80">
        <f>' ВС'!C16+тепло!B14</f>
        <v>966.83199999999999</v>
      </c>
      <c r="C16" s="80">
        <f t="shared" si="1"/>
        <v>378.45699999999999</v>
      </c>
      <c r="D16" s="81">
        <f>' ВС'!E16+тепло!D14</f>
        <v>1345.289</v>
      </c>
      <c r="E16" s="82">
        <f>' ВС'!F16+тепло!E14</f>
        <v>1465.0030000000002</v>
      </c>
      <c r="F16" s="81">
        <f>' ВС'!G16+тепло!F14</f>
        <v>129.328</v>
      </c>
      <c r="G16" s="81">
        <f>' ВС'!H16+тепло!G14</f>
        <v>110.53</v>
      </c>
      <c r="H16" s="81">
        <f>' ВС'!I16+тепло!H14</f>
        <v>136.58600000000001</v>
      </c>
      <c r="I16" s="78">
        <f>' ВС'!J16+тепло!I14</f>
        <v>376.44400000000002</v>
      </c>
      <c r="J16" s="81">
        <f>' ВС'!K16+тепло!J14</f>
        <v>98.959000000000003</v>
      </c>
      <c r="K16" s="81">
        <f>' ВС'!L16+тепло!K14</f>
        <v>107.43</v>
      </c>
      <c r="L16" s="81">
        <f>' ВС'!M16+тепло!L14</f>
        <v>116.22</v>
      </c>
      <c r="M16" s="78">
        <f>' ВС'!N16+тепло!M14</f>
        <v>322.60900000000004</v>
      </c>
      <c r="N16" s="78">
        <f>' ВС'!O16+тепло!N14</f>
        <v>699.05300000000011</v>
      </c>
      <c r="O16" s="81">
        <f>' ВС'!P16+тепло!O14</f>
        <v>124.988</v>
      </c>
      <c r="P16" s="81">
        <f>' ВС'!Q16+тепло!P14</f>
        <v>106.179</v>
      </c>
      <c r="Q16" s="81">
        <f>' ВС'!R16+тепло!Q14</f>
        <v>117.49</v>
      </c>
      <c r="R16" s="78">
        <f>' ВС'!S16+тепло!R14</f>
        <v>348.65699999999998</v>
      </c>
      <c r="S16" s="78">
        <f>' ВС'!T16+тепло!S14</f>
        <v>1047.71</v>
      </c>
      <c r="T16" s="81">
        <f>' ВС'!U16+тепло!T14</f>
        <v>119.461</v>
      </c>
      <c r="U16" s="81">
        <f>' ВС'!V16+тепло!U14</f>
        <v>121.514</v>
      </c>
      <c r="V16" s="81">
        <f>' ВС'!W16+тепло!V14</f>
        <v>176.31800000000001</v>
      </c>
      <c r="W16" s="78">
        <f>' ВС'!X16+тепло!W14</f>
        <v>417.29300000000001</v>
      </c>
      <c r="X16" s="70"/>
    </row>
    <row r="17" spans="1:23" ht="18.75" x14ac:dyDescent="0.25">
      <c r="A17" s="79" t="s">
        <v>27</v>
      </c>
      <c r="B17" s="80">
        <f>' ВС'!C17+тепло!B15</f>
        <v>2427.0920000000001</v>
      </c>
      <c r="C17" s="80">
        <f t="shared" si="1"/>
        <v>719.375</v>
      </c>
      <c r="D17" s="81">
        <f>' ВС'!E17+тепло!D15</f>
        <v>3146.4670000000001</v>
      </c>
      <c r="E17" s="82">
        <f>' ВС'!F17+тепло!E15</f>
        <v>4636.08</v>
      </c>
      <c r="F17" s="81">
        <f>' ВС'!G17+тепло!F15</f>
        <v>386.34</v>
      </c>
      <c r="G17" s="81">
        <f>' ВС'!H17+тепло!G15</f>
        <v>386.34</v>
      </c>
      <c r="H17" s="81">
        <f>' ВС'!I17+тепло!H15</f>
        <v>386.34</v>
      </c>
      <c r="I17" s="78">
        <f>' ВС'!J17+тепло!I15</f>
        <v>1159.02</v>
      </c>
      <c r="J17" s="81">
        <f>' ВС'!K17+тепло!J15</f>
        <v>386.34</v>
      </c>
      <c r="K17" s="81">
        <f>' ВС'!L17+тепло!K15</f>
        <v>386.34</v>
      </c>
      <c r="L17" s="81">
        <f>' ВС'!M17+тепло!L15</f>
        <v>386.34</v>
      </c>
      <c r="M17" s="78">
        <f>' ВС'!N17+тепло!M15</f>
        <v>1159.02</v>
      </c>
      <c r="N17" s="78">
        <f>' ВС'!O17+тепло!N15</f>
        <v>2318.04</v>
      </c>
      <c r="O17" s="81">
        <f>' ВС'!P17+тепло!O15</f>
        <v>386.34</v>
      </c>
      <c r="P17" s="81">
        <f>' ВС'!Q17+тепло!P15</f>
        <v>386.34</v>
      </c>
      <c r="Q17" s="81">
        <f>' ВС'!R17+тепло!Q15</f>
        <v>386.34</v>
      </c>
      <c r="R17" s="78">
        <f>' ВС'!S17+тепло!R15</f>
        <v>1159.02</v>
      </c>
      <c r="S17" s="78">
        <f>' ВС'!T17+тепло!S15</f>
        <v>3477.06</v>
      </c>
      <c r="T17" s="81">
        <f>' ВС'!U17+тепло!T15</f>
        <v>386.34</v>
      </c>
      <c r="U17" s="81">
        <f>' ВС'!V17+тепло!U15</f>
        <v>386.34</v>
      </c>
      <c r="V17" s="81">
        <f>' ВС'!W17+тепло!V15</f>
        <v>386.34</v>
      </c>
      <c r="W17" s="78">
        <f>' ВС'!X17+тепло!W15</f>
        <v>1159.02</v>
      </c>
    </row>
    <row r="18" spans="1:23" ht="37.5" customHeight="1" x14ac:dyDescent="0.25">
      <c r="A18" s="79" t="s">
        <v>100</v>
      </c>
      <c r="B18" s="80">
        <f>' ВС'!C18+тепло!B16</f>
        <v>7824.2260000000006</v>
      </c>
      <c r="C18" s="80">
        <f t="shared" si="1"/>
        <v>4832.003999999999</v>
      </c>
      <c r="D18" s="81">
        <f>' ВС'!E18+тепло!D16</f>
        <v>12656.23</v>
      </c>
      <c r="E18" s="78">
        <f>' ВС'!F18+тепло!E16</f>
        <v>10507.86473700864</v>
      </c>
      <c r="F18" s="81">
        <f>' ВС'!G18+тепло!F16</f>
        <v>2373.7351243400963</v>
      </c>
      <c r="G18" s="81">
        <f>' ВС'!H18+тепло!G16</f>
        <v>1600.1782817992957</v>
      </c>
      <c r="H18" s="81">
        <f>' ВС'!I18+тепло!H16</f>
        <v>1418.707850426496</v>
      </c>
      <c r="I18" s="78">
        <f>' ВС'!J18+тепло!I16</f>
        <v>5392.621256565888</v>
      </c>
      <c r="J18" s="81">
        <f>' ВС'!K18+тепло!J16</f>
        <v>1448.7618728527359</v>
      </c>
      <c r="K18" s="81">
        <f>' ВС'!L18+тепло!K16</f>
        <v>0</v>
      </c>
      <c r="L18" s="81">
        <f>' ВС'!M18+тепло!L16</f>
        <v>0</v>
      </c>
      <c r="M18" s="78">
        <f>' ВС'!N18+тепло!M16</f>
        <v>1448.7618728527359</v>
      </c>
      <c r="N18" s="78">
        <f>' ВС'!O18+тепло!N16</f>
        <v>6841.3831294186239</v>
      </c>
      <c r="O18" s="81">
        <f>' ВС'!P18+тепло!O16</f>
        <v>0</v>
      </c>
      <c r="P18" s="81">
        <f>' ВС'!Q18+тепло!P16</f>
        <v>0</v>
      </c>
      <c r="Q18" s="81">
        <f>' ВС'!R18+тепло!Q16</f>
        <v>0</v>
      </c>
      <c r="R18" s="78">
        <f>' ВС'!S18+тепло!R16</f>
        <v>0</v>
      </c>
      <c r="S18" s="78">
        <f>' ВС'!T18+тепло!S16</f>
        <v>6841.3831294186239</v>
      </c>
      <c r="T18" s="81">
        <f>' ВС'!U18+тепло!T16</f>
        <v>595.01879475084797</v>
      </c>
      <c r="U18" s="81">
        <f>' ВС'!V18+тепло!U16</f>
        <v>1207.855006117632</v>
      </c>
      <c r="V18" s="81">
        <f>' ВС'!W18+тепло!V16</f>
        <v>1863.6078067215362</v>
      </c>
      <c r="W18" s="78">
        <f>' ВС'!X18+тепло!W16</f>
        <v>3666.4816075900162</v>
      </c>
    </row>
    <row r="19" spans="1:23" ht="18.75" hidden="1" x14ac:dyDescent="0.25">
      <c r="A19" s="79" t="s">
        <v>108</v>
      </c>
      <c r="B19" s="80">
        <f>' ВС'!C19+тепло!B17</f>
        <v>294.16399999999999</v>
      </c>
      <c r="C19" s="80">
        <f t="shared" si="1"/>
        <v>39.676000000000045</v>
      </c>
      <c r="D19" s="81">
        <f>' ВС'!E19+тепло!D17</f>
        <v>333.84000000000003</v>
      </c>
      <c r="E19" s="78">
        <f>' ВС'!F19+тепло!E17</f>
        <v>0</v>
      </c>
      <c r="F19" s="81">
        <f>' ВС'!G19+тепло!F17</f>
        <v>0</v>
      </c>
      <c r="G19" s="81">
        <f>' ВС'!H19+тепло!G17</f>
        <v>0</v>
      </c>
      <c r="H19" s="81">
        <f>' ВС'!I19+тепло!H17</f>
        <v>0</v>
      </c>
      <c r="I19" s="78">
        <f>' ВС'!J19+тепло!I17</f>
        <v>0</v>
      </c>
      <c r="J19" s="81">
        <f>' ВС'!K19+тепло!J17</f>
        <v>0</v>
      </c>
      <c r="K19" s="81">
        <f>' ВС'!L19+тепло!K17</f>
        <v>0</v>
      </c>
      <c r="L19" s="81">
        <f>' ВС'!M19+тепло!L17</f>
        <v>0</v>
      </c>
      <c r="M19" s="78">
        <f>' ВС'!N19+тепло!M17</f>
        <v>0</v>
      </c>
      <c r="N19" s="78">
        <f>' ВС'!O19+тепло!N17</f>
        <v>0</v>
      </c>
      <c r="O19" s="81">
        <f>' ВС'!P19+тепло!O17</f>
        <v>0</v>
      </c>
      <c r="P19" s="81">
        <f>' ВС'!Q19+тепло!P17</f>
        <v>0</v>
      </c>
      <c r="Q19" s="81">
        <f>' ВС'!R19+тепло!Q17</f>
        <v>0</v>
      </c>
      <c r="R19" s="78">
        <f>' ВС'!S19+тепло!R17</f>
        <v>0</v>
      </c>
      <c r="S19" s="78">
        <f>' ВС'!T19+тепло!S17</f>
        <v>0</v>
      </c>
      <c r="T19" s="81">
        <f>' ВС'!U19+тепло!T17</f>
        <v>0</v>
      </c>
      <c r="U19" s="81">
        <f>' ВС'!V19+тепло!U17</f>
        <v>0</v>
      </c>
      <c r="V19" s="81">
        <f>' ВС'!W19+тепло!V17</f>
        <v>0</v>
      </c>
      <c r="W19" s="78">
        <f>' ВС'!X19+тепло!W17</f>
        <v>0</v>
      </c>
    </row>
    <row r="20" spans="1:23" ht="36.75" hidden="1" customHeight="1" thickBot="1" x14ac:dyDescent="0.3">
      <c r="A20" s="79" t="s">
        <v>109</v>
      </c>
      <c r="B20" s="80">
        <f>' ВС'!C20+тепло!B18</f>
        <v>107.59</v>
      </c>
      <c r="C20" s="80">
        <f t="shared" si="1"/>
        <v>7.5899999999999892</v>
      </c>
      <c r="D20" s="81">
        <f>' ВС'!E20+тепло!D18</f>
        <v>115.17999999999999</v>
      </c>
      <c r="E20" s="78">
        <f>' ВС'!F20+тепло!E18</f>
        <v>0</v>
      </c>
      <c r="F20" s="81">
        <f>' ВС'!G20+тепло!F18</f>
        <v>0</v>
      </c>
      <c r="G20" s="81">
        <f>' ВС'!H20+тепло!G18</f>
        <v>0</v>
      </c>
      <c r="H20" s="81">
        <f>' ВС'!I20+тепло!H18</f>
        <v>0</v>
      </c>
      <c r="I20" s="78">
        <f>' ВС'!J20+тепло!I18</f>
        <v>0</v>
      </c>
      <c r="J20" s="81">
        <f>' ВС'!K20+тепло!J18</f>
        <v>0</v>
      </c>
      <c r="K20" s="81">
        <f>' ВС'!L20+тепло!K18</f>
        <v>0</v>
      </c>
      <c r="L20" s="81">
        <f>' ВС'!M20+тепло!L18</f>
        <v>0</v>
      </c>
      <c r="M20" s="78">
        <f>' ВС'!N20+тепло!M18</f>
        <v>0</v>
      </c>
      <c r="N20" s="78">
        <f>' ВС'!O20+тепло!N18</f>
        <v>0</v>
      </c>
      <c r="O20" s="81">
        <f>' ВС'!P20+тепло!O18</f>
        <v>0</v>
      </c>
      <c r="P20" s="81">
        <f>' ВС'!Q20+тепло!P18</f>
        <v>0</v>
      </c>
      <c r="Q20" s="81">
        <f>' ВС'!R20+тепло!Q18</f>
        <v>0</v>
      </c>
      <c r="R20" s="78">
        <f>' ВС'!S20+тепло!R18</f>
        <v>0</v>
      </c>
      <c r="S20" s="78">
        <f>' ВС'!T20+тепло!S18</f>
        <v>0</v>
      </c>
      <c r="T20" s="81">
        <f>' ВС'!U20+тепло!T18</f>
        <v>0</v>
      </c>
      <c r="U20" s="81">
        <f>' ВС'!V20+тепло!U18</f>
        <v>0</v>
      </c>
      <c r="V20" s="81">
        <f>' ВС'!W20+тепло!V18</f>
        <v>0</v>
      </c>
      <c r="W20" s="78">
        <f>' ВС'!X20+тепло!W18</f>
        <v>0</v>
      </c>
    </row>
    <row r="21" spans="1:23" ht="18.75" x14ac:dyDescent="0.25">
      <c r="A21" s="77" t="s">
        <v>135</v>
      </c>
      <c r="B21" s="78">
        <f>' ВС'!C21+тепло!B19</f>
        <v>4218.6230000000005</v>
      </c>
      <c r="C21" s="78">
        <f t="shared" si="1"/>
        <v>-4218.6230000000005</v>
      </c>
      <c r="D21" s="78">
        <f>' ВС'!E21+тепло!D19</f>
        <v>0</v>
      </c>
      <c r="E21" s="78">
        <f>' ВС'!F21+тепло!E19</f>
        <v>0</v>
      </c>
      <c r="F21" s="81">
        <f>' ВС'!G21+тепло!F19</f>
        <v>0</v>
      </c>
      <c r="G21" s="81">
        <f>' ВС'!H21+тепло!G19</f>
        <v>0</v>
      </c>
      <c r="H21" s="81">
        <f>' ВС'!I21+тепло!H19</f>
        <v>0</v>
      </c>
      <c r="I21" s="78">
        <f>' ВС'!J21+тепло!I19</f>
        <v>0</v>
      </c>
      <c r="J21" s="81">
        <f>' ВС'!K21+тепло!J19</f>
        <v>0</v>
      </c>
      <c r="K21" s="81">
        <f>' ВС'!L21+тепло!K19</f>
        <v>0</v>
      </c>
      <c r="L21" s="81">
        <f>' ВС'!M21+тепло!L19</f>
        <v>0</v>
      </c>
      <c r="M21" s="78">
        <f>' ВС'!N21+тепло!M19</f>
        <v>0</v>
      </c>
      <c r="N21" s="78">
        <f>' ВС'!O21+тепло!N19</f>
        <v>0</v>
      </c>
      <c r="O21" s="81">
        <f>' ВС'!P21+тепло!O19</f>
        <v>0</v>
      </c>
      <c r="P21" s="81">
        <f>' ВС'!Q21+тепло!P19</f>
        <v>0</v>
      </c>
      <c r="Q21" s="81">
        <f>' ВС'!R21+тепло!Q19</f>
        <v>0</v>
      </c>
      <c r="R21" s="78">
        <f>' ВС'!S21+тепло!R19</f>
        <v>0</v>
      </c>
      <c r="S21" s="78">
        <f>' ВС'!T21+тепло!S19</f>
        <v>0</v>
      </c>
      <c r="T21" s="81">
        <f>' ВС'!U21+тепло!T19</f>
        <v>0</v>
      </c>
      <c r="U21" s="81">
        <f>' ВС'!V21+тепло!U19</f>
        <v>0</v>
      </c>
      <c r="V21" s="81">
        <f>' ВС'!W21+тепло!V19</f>
        <v>0</v>
      </c>
      <c r="W21" s="78">
        <f>' ВС'!X21+тепло!W19</f>
        <v>0</v>
      </c>
    </row>
    <row r="22" spans="1:23" ht="18.75" x14ac:dyDescent="0.25">
      <c r="A22" s="77" t="s">
        <v>136</v>
      </c>
      <c r="B22" s="82">
        <f>' ВС'!C22+тепло!B20</f>
        <v>0</v>
      </c>
      <c r="C22" s="78">
        <f t="shared" si="1"/>
        <v>0</v>
      </c>
      <c r="D22" s="78">
        <f>' ВС'!E22+тепло!D20</f>
        <v>0</v>
      </c>
      <c r="E22" s="78">
        <f>' ВС'!F22+тепло!E20</f>
        <v>0</v>
      </c>
      <c r="F22" s="81">
        <f>' ВС'!G22+тепло!F20</f>
        <v>0</v>
      </c>
      <c r="G22" s="81">
        <f>' ВС'!H22+тепло!G20</f>
        <v>0</v>
      </c>
      <c r="H22" s="81">
        <f>' ВС'!I22+тепло!H20</f>
        <v>0</v>
      </c>
      <c r="I22" s="78">
        <f>' ВС'!J22+тепло!I20</f>
        <v>0</v>
      </c>
      <c r="J22" s="81">
        <f>' ВС'!K22+тепло!J20</f>
        <v>0</v>
      </c>
      <c r="K22" s="81">
        <f>' ВС'!L22+тепло!K20</f>
        <v>0</v>
      </c>
      <c r="L22" s="81">
        <f>' ВС'!M22+тепло!L20</f>
        <v>0</v>
      </c>
      <c r="M22" s="78">
        <f>' ВС'!N22+тепло!M20</f>
        <v>0</v>
      </c>
      <c r="N22" s="78">
        <f>' ВС'!O22+тепло!N20</f>
        <v>0</v>
      </c>
      <c r="O22" s="81">
        <f>' ВС'!P22+тепло!O20</f>
        <v>0</v>
      </c>
      <c r="P22" s="81">
        <f>' ВС'!Q22+тепло!P20</f>
        <v>0</v>
      </c>
      <c r="Q22" s="81">
        <f>' ВС'!R22+тепло!Q20</f>
        <v>0</v>
      </c>
      <c r="R22" s="78">
        <f>' ВС'!S22+тепло!R20</f>
        <v>0</v>
      </c>
      <c r="S22" s="78">
        <f>' ВС'!T22+тепло!S20</f>
        <v>0</v>
      </c>
      <c r="T22" s="81">
        <f>' ВС'!U22+тепло!T20</f>
        <v>0</v>
      </c>
      <c r="U22" s="81">
        <f>' ВС'!V22+тепло!U20</f>
        <v>0</v>
      </c>
      <c r="V22" s="81">
        <f>' ВС'!W22+тепло!V20</f>
        <v>0</v>
      </c>
      <c r="W22" s="78">
        <f>' ВС'!X22+тепло!W20</f>
        <v>0</v>
      </c>
    </row>
    <row r="23" spans="1:23" ht="18.75" x14ac:dyDescent="0.25">
      <c r="A23" s="77" t="s">
        <v>137</v>
      </c>
      <c r="B23" s="78">
        <f>' ВС'!C23+тепло!B21</f>
        <v>89.31</v>
      </c>
      <c r="C23" s="78">
        <f t="shared" si="1"/>
        <v>116.48999999999998</v>
      </c>
      <c r="D23" s="78">
        <f>' ВС'!E23+тепло!D21</f>
        <v>205.79999999999998</v>
      </c>
      <c r="E23" s="78">
        <f>' ВС'!F23+тепло!E21</f>
        <v>119.08000000000001</v>
      </c>
      <c r="F23" s="81">
        <f>' ВС'!G23+тепло!F21</f>
        <v>9.9233333333333338</v>
      </c>
      <c r="G23" s="81">
        <f>' ВС'!H23+тепло!G21</f>
        <v>9.9233333333333338</v>
      </c>
      <c r="H23" s="81">
        <f>' ВС'!I23+тепло!H21</f>
        <v>9.9233333333333338</v>
      </c>
      <c r="I23" s="78">
        <f>' ВС'!J23+тепло!I21</f>
        <v>29.770000000000003</v>
      </c>
      <c r="J23" s="81">
        <f>' ВС'!K23+тепло!J21</f>
        <v>9.9233333333333338</v>
      </c>
      <c r="K23" s="81">
        <f>' ВС'!L23+тепло!K21</f>
        <v>9.9233333333333338</v>
      </c>
      <c r="L23" s="81">
        <f>' ВС'!M23+тепло!L21</f>
        <v>9.9233333333333338</v>
      </c>
      <c r="M23" s="78">
        <f>' ВС'!N23+тепло!M21</f>
        <v>29.770000000000003</v>
      </c>
      <c r="N23" s="78">
        <f>' ВС'!O23+тепло!N21</f>
        <v>59.540000000000006</v>
      </c>
      <c r="O23" s="81">
        <f>' ВС'!P23+тепло!O21</f>
        <v>9.9233333333333338</v>
      </c>
      <c r="P23" s="81">
        <f>' ВС'!Q23+тепло!P21</f>
        <v>9.9233333333333338</v>
      </c>
      <c r="Q23" s="81">
        <f>' ВС'!R23+тепло!Q21</f>
        <v>9.9233333333333338</v>
      </c>
      <c r="R23" s="78">
        <f>' ВС'!S23+тепло!R21</f>
        <v>29.770000000000003</v>
      </c>
      <c r="S23" s="78">
        <f>' ВС'!T23+тепло!S21</f>
        <v>89.31</v>
      </c>
      <c r="T23" s="81">
        <f>' ВС'!U23+тепло!T21</f>
        <v>9.9233333333333338</v>
      </c>
      <c r="U23" s="81">
        <f>' ВС'!V23+тепло!U21</f>
        <v>9.9233333333333338</v>
      </c>
      <c r="V23" s="81">
        <f>' ВС'!W23+тепло!V21</f>
        <v>9.9233333333333338</v>
      </c>
      <c r="W23" s="78">
        <f>' ВС'!X23+тепло!W21</f>
        <v>29.770000000000003</v>
      </c>
    </row>
    <row r="24" spans="1:23" ht="37.5" x14ac:dyDescent="0.25">
      <c r="A24" s="77" t="s">
        <v>138</v>
      </c>
      <c r="B24" s="78">
        <f>' ВС'!C24+тепло!B22</f>
        <v>231.24</v>
      </c>
      <c r="C24" s="78">
        <f t="shared" si="1"/>
        <v>-231.24</v>
      </c>
      <c r="D24" s="78">
        <f>' ВС'!E24+тепло!D22</f>
        <v>0</v>
      </c>
      <c r="E24" s="78">
        <f>' ВС'!F24+тепло!E22</f>
        <v>0</v>
      </c>
      <c r="F24" s="81">
        <f>' ВС'!G24+тепло!F22</f>
        <v>0</v>
      </c>
      <c r="G24" s="81">
        <f>' ВС'!H24+тепло!G22</f>
        <v>0</v>
      </c>
      <c r="H24" s="81">
        <f>' ВС'!I24+тепло!H22</f>
        <v>0</v>
      </c>
      <c r="I24" s="78">
        <f>' ВС'!J24+тепло!I22</f>
        <v>0</v>
      </c>
      <c r="J24" s="81">
        <f>' ВС'!K24+тепло!J22</f>
        <v>0</v>
      </c>
      <c r="K24" s="81">
        <f>' ВС'!L24+тепло!K22</f>
        <v>0</v>
      </c>
      <c r="L24" s="81">
        <f>' ВС'!M24+тепло!L22</f>
        <v>0</v>
      </c>
      <c r="M24" s="78">
        <f>' ВС'!N24+тепло!M22</f>
        <v>0</v>
      </c>
      <c r="N24" s="78">
        <f>' ВС'!O24+тепло!N22</f>
        <v>0</v>
      </c>
      <c r="O24" s="81">
        <f>' ВС'!P24+тепло!O22</f>
        <v>0</v>
      </c>
      <c r="P24" s="81">
        <f>' ВС'!Q24+тепло!P22</f>
        <v>0</v>
      </c>
      <c r="Q24" s="81">
        <f>' ВС'!R24+тепло!Q22</f>
        <v>0</v>
      </c>
      <c r="R24" s="78">
        <f>' ВС'!S24+тепло!R22</f>
        <v>0</v>
      </c>
      <c r="S24" s="78">
        <f>' ВС'!T24+тепло!S22</f>
        <v>0</v>
      </c>
      <c r="T24" s="81">
        <f>' ВС'!U24+тепло!T22</f>
        <v>0</v>
      </c>
      <c r="U24" s="81">
        <f>' ВС'!V24+тепло!U22</f>
        <v>0</v>
      </c>
      <c r="V24" s="81">
        <f>' ВС'!W24+тепло!V22</f>
        <v>0</v>
      </c>
      <c r="W24" s="78">
        <f>' ВС'!X24+тепло!W22</f>
        <v>0</v>
      </c>
    </row>
    <row r="25" spans="1:23" ht="37.5" x14ac:dyDescent="0.25">
      <c r="A25" s="77" t="s">
        <v>112</v>
      </c>
      <c r="B25" s="78">
        <f>' ВС'!C25</f>
        <v>4002.31</v>
      </c>
      <c r="C25" s="78">
        <f t="shared" si="1"/>
        <v>197.69000000000005</v>
      </c>
      <c r="D25" s="78">
        <f>' ВС'!E25</f>
        <v>4200</v>
      </c>
      <c r="E25" s="78">
        <f>' ВС'!F25</f>
        <v>4200</v>
      </c>
      <c r="F25" s="81">
        <f>' ВС'!G25</f>
        <v>350</v>
      </c>
      <c r="G25" s="81">
        <f>' ВС'!H25</f>
        <v>350</v>
      </c>
      <c r="H25" s="81">
        <f>' ВС'!I25</f>
        <v>350</v>
      </c>
      <c r="I25" s="78">
        <f>' ВС'!J25</f>
        <v>1050</v>
      </c>
      <c r="J25" s="81">
        <f>' ВС'!K25</f>
        <v>350</v>
      </c>
      <c r="K25" s="81">
        <f>' ВС'!L25</f>
        <v>350</v>
      </c>
      <c r="L25" s="81">
        <f>' ВС'!M25</f>
        <v>350</v>
      </c>
      <c r="M25" s="78">
        <f>' ВС'!N25</f>
        <v>1050</v>
      </c>
      <c r="N25" s="78">
        <f>' ВС'!O25</f>
        <v>2100</v>
      </c>
      <c r="O25" s="81">
        <f>' ВС'!P25</f>
        <v>350</v>
      </c>
      <c r="P25" s="81">
        <f>' ВС'!Q25</f>
        <v>350</v>
      </c>
      <c r="Q25" s="81">
        <f>' ВС'!R25</f>
        <v>350</v>
      </c>
      <c r="R25" s="78">
        <f>' ВС'!S25</f>
        <v>1050</v>
      </c>
      <c r="S25" s="78">
        <f>' ВС'!T25</f>
        <v>3150</v>
      </c>
      <c r="T25" s="81">
        <f>' ВС'!U25</f>
        <v>350</v>
      </c>
      <c r="U25" s="81">
        <f>' ВС'!V25</f>
        <v>350</v>
      </c>
      <c r="V25" s="81">
        <f>' ВС'!W25</f>
        <v>350</v>
      </c>
      <c r="W25" s="78">
        <f>' ВС'!X25</f>
        <v>1050</v>
      </c>
    </row>
    <row r="26" spans="1:23" ht="18.75" x14ac:dyDescent="0.25">
      <c r="A26" s="77" t="s">
        <v>113</v>
      </c>
      <c r="B26" s="78">
        <f>' ВС'!C26</f>
        <v>4230.16</v>
      </c>
      <c r="C26" s="78">
        <f t="shared" si="1"/>
        <v>-429.38002999999981</v>
      </c>
      <c r="D26" s="78">
        <f>' ВС'!E26</f>
        <v>3800.77997</v>
      </c>
      <c r="E26" s="78">
        <v>0</v>
      </c>
      <c r="F26" s="81">
        <f>' ВС'!G26</f>
        <v>0</v>
      </c>
      <c r="G26" s="81">
        <f>' ВС'!H26</f>
        <v>0</v>
      </c>
      <c r="H26" s="81">
        <f>' ВС'!I26</f>
        <v>0</v>
      </c>
      <c r="I26" s="78">
        <f>' ВС'!J26</f>
        <v>0</v>
      </c>
      <c r="J26" s="81">
        <v>0</v>
      </c>
      <c r="K26" s="81">
        <f>' ВС'!L26</f>
        <v>0</v>
      </c>
      <c r="L26" s="81">
        <f>' ВС'!M26</f>
        <v>0</v>
      </c>
      <c r="M26" s="78">
        <f>' ВС'!N26</f>
        <v>0</v>
      </c>
      <c r="N26" s="78">
        <f>' ВС'!O26</f>
        <v>0</v>
      </c>
      <c r="O26" s="81">
        <f>' ВС'!P26</f>
        <v>0</v>
      </c>
      <c r="P26" s="81">
        <f>' ВС'!Q26</f>
        <v>0</v>
      </c>
      <c r="Q26" s="81">
        <f>' ВС'!R26</f>
        <v>0</v>
      </c>
      <c r="R26" s="78">
        <f>' ВС'!S26</f>
        <v>0</v>
      </c>
      <c r="S26" s="78">
        <f>' ВС'!T26</f>
        <v>0</v>
      </c>
      <c r="T26" s="81">
        <f>' ВС'!U26</f>
        <v>0</v>
      </c>
      <c r="U26" s="81">
        <f>' ВС'!V26</f>
        <v>0</v>
      </c>
      <c r="V26" s="81">
        <f>' ВС'!W26</f>
        <v>0</v>
      </c>
      <c r="W26" s="78">
        <f>' ВС'!X26</f>
        <v>0</v>
      </c>
    </row>
    <row r="27" spans="1:23" ht="39.75" customHeight="1" x14ac:dyDescent="0.25">
      <c r="A27" s="77" t="s">
        <v>32</v>
      </c>
      <c r="B27" s="78">
        <f>тепло!B23+' ВС'!C27</f>
        <v>45920.569827288447</v>
      </c>
      <c r="C27" s="78">
        <f>D27-B27</f>
        <v>18665.55801137154</v>
      </c>
      <c r="D27" s="78">
        <f>' ВС'!E27+тепло!D23</f>
        <v>64586.127838659988</v>
      </c>
      <c r="E27" s="78">
        <f>тепло!E23+' ВС'!F27</f>
        <v>53622.082216293362</v>
      </c>
      <c r="F27" s="78">
        <f>тепло!F23+' ВС'!G27</f>
        <v>5613.409045131576</v>
      </c>
      <c r="G27" s="78">
        <f>тепло!G23+' ВС'!H27</f>
        <v>5116.2231473123975</v>
      </c>
      <c r="H27" s="78">
        <f>тепло!H23+' ВС'!I27</f>
        <v>5025.4272536630815</v>
      </c>
      <c r="I27" s="78">
        <f>тепло!I23+' ВС'!J27</f>
        <v>15755.059446107054</v>
      </c>
      <c r="J27" s="78">
        <f>тепло!J23+' ВС'!K27</f>
        <v>5226.3812277000688</v>
      </c>
      <c r="K27" s="78">
        <f>тепло!K23+' ВС'!L27</f>
        <v>3653.7949189999999</v>
      </c>
      <c r="L27" s="78">
        <f>тепло!L23+' ВС'!M27</f>
        <v>3655.004919</v>
      </c>
      <c r="M27" s="78">
        <f>тепло!M23+' ВС'!N27</f>
        <v>12535.18106570007</v>
      </c>
      <c r="N27" s="78">
        <f>тепло!N23+' ВС'!O27</f>
        <v>28290.240511807126</v>
      </c>
      <c r="O27" s="78">
        <f>тепло!O23+' ВС'!P27</f>
        <v>3695.4509189999999</v>
      </c>
      <c r="P27" s="78">
        <f>тепло!P23+' ВС'!Q27</f>
        <v>3691.1629190000003</v>
      </c>
      <c r="Q27" s="78">
        <f>тепло!Q23+' ВС'!R27</f>
        <v>3628.3409190000002</v>
      </c>
      <c r="R27" s="78">
        <f>тепло!R23+' ВС'!S27</f>
        <v>11014.954757000001</v>
      </c>
      <c r="S27" s="78">
        <f>тепло!S23+' ВС'!T27</f>
        <v>39305.195268807125</v>
      </c>
      <c r="T27" s="78">
        <f>тепло!T23+' ВС'!U27</f>
        <v>4269.7782561436306</v>
      </c>
      <c r="U27" s="78">
        <f>тепло!U23+' ВС'!V27</f>
        <v>4892.270884024726</v>
      </c>
      <c r="V27" s="78">
        <f>тепло!V23+' ВС'!W27</f>
        <v>5154.8378073178765</v>
      </c>
      <c r="W27" s="78">
        <f>тепло!W23+' ВС'!X27</f>
        <v>14316.886947486231</v>
      </c>
    </row>
    <row r="28" spans="1:23" ht="56.25" customHeight="1" x14ac:dyDescent="0.25">
      <c r="A28" s="83" t="s">
        <v>33</v>
      </c>
      <c r="B28" s="78">
        <f>' ВС'!C28+тепло!B24</f>
        <v>43795.699827288452</v>
      </c>
      <c r="C28" s="78">
        <f t="shared" ref="C28:C90" si="3">D28-B28</f>
        <v>19578.282061191538</v>
      </c>
      <c r="D28" s="78">
        <f>' ВС'!E28+тепло!D24</f>
        <v>63373.98188847999</v>
      </c>
      <c r="E28" s="78">
        <f>' ВС'!F28+тепло!E24</f>
        <v>53340.10026429336</v>
      </c>
      <c r="F28" s="78">
        <f>' ВС'!G28+тепло!F24</f>
        <v>5589.9105491315759</v>
      </c>
      <c r="G28" s="78">
        <f>' ВС'!H28+тепло!G24</f>
        <v>5092.7246513123973</v>
      </c>
      <c r="H28" s="78">
        <f>' ВС'!I28+тепло!H24</f>
        <v>5001.9287576630813</v>
      </c>
      <c r="I28" s="78">
        <f>' ВС'!J28+тепло!I24</f>
        <v>15684.563958107054</v>
      </c>
      <c r="J28" s="78">
        <f>' ВС'!K28+тепло!J24</f>
        <v>5202.8827317000687</v>
      </c>
      <c r="K28" s="78">
        <f>' ВС'!L28+тепло!K24</f>
        <v>3630.2964229999998</v>
      </c>
      <c r="L28" s="78">
        <f>' ВС'!M28+тепло!L24</f>
        <v>3631.5064229999998</v>
      </c>
      <c r="M28" s="78">
        <f>' ВС'!N28+тепло!M24</f>
        <v>12464.685577700069</v>
      </c>
      <c r="N28" s="78">
        <f>' ВС'!O28+тепло!N24</f>
        <v>28149.249535807125</v>
      </c>
      <c r="O28" s="78">
        <f>' ВС'!P28+тепло!O24</f>
        <v>3671.9524229999997</v>
      </c>
      <c r="P28" s="78">
        <f>' ВС'!Q28+тепло!P24</f>
        <v>3667.6644230000002</v>
      </c>
      <c r="Q28" s="78">
        <f>' ВС'!R28+тепло!Q24</f>
        <v>3604.8424230000001</v>
      </c>
      <c r="R28" s="78">
        <f>' ВС'!S28+тепло!R24</f>
        <v>10944.459269000001</v>
      </c>
      <c r="S28" s="78">
        <f>' ВС'!T28+тепло!S24</f>
        <v>39093.708804807124</v>
      </c>
      <c r="T28" s="78">
        <f>' ВС'!U28+тепло!T24</f>
        <v>4246.2797601436305</v>
      </c>
      <c r="U28" s="78">
        <f>' ВС'!V28+тепло!U24</f>
        <v>4868.7723880247258</v>
      </c>
      <c r="V28" s="78">
        <f>' ВС'!W28+тепло!V24</f>
        <v>5131.3393113178763</v>
      </c>
      <c r="W28" s="78">
        <f>' ВС'!X28+тепло!W24</f>
        <v>14246.391459486231</v>
      </c>
    </row>
    <row r="29" spans="1:23" ht="15" customHeight="1" x14ac:dyDescent="0.25">
      <c r="A29" s="77" t="s">
        <v>101</v>
      </c>
      <c r="B29" s="78">
        <f>тепло!B25+' ВС'!C29</f>
        <v>5389.48</v>
      </c>
      <c r="C29" s="78">
        <f t="shared" si="3"/>
        <v>4669.8200000000015</v>
      </c>
      <c r="D29" s="78">
        <f>' ВС'!E29+тепло!D25</f>
        <v>10059.300000000001</v>
      </c>
      <c r="E29" s="78">
        <f>' ВС'!F29+тепло!E25</f>
        <v>3688.6191708390411</v>
      </c>
      <c r="F29" s="78">
        <f>' ВС'!G29+тепло!F25</f>
        <v>849.71820080821919</v>
      </c>
      <c r="G29" s="78">
        <f>' ВС'!H29+тепло!G25</f>
        <v>583.19786724657536</v>
      </c>
      <c r="H29" s="78">
        <f>' ВС'!I29+тепло!H25</f>
        <v>518.97610012328767</v>
      </c>
      <c r="I29" s="78">
        <f>' ВС'!J29+тепло!I25</f>
        <v>1951.8921681780821</v>
      </c>
      <c r="J29" s="78">
        <f>' ВС'!K29+тепло!J25</f>
        <v>507.73729087671234</v>
      </c>
      <c r="K29" s="78">
        <f>' ВС'!L29+тепло!K25</f>
        <v>0</v>
      </c>
      <c r="L29" s="78">
        <f>' ВС'!M29+тепло!L25</f>
        <v>0</v>
      </c>
      <c r="M29" s="78">
        <f>' ВС'!N29+тепло!M25</f>
        <v>507.73729087671234</v>
      </c>
      <c r="N29" s="78">
        <f>' ВС'!O29+тепло!N25</f>
        <v>2459.6294590547946</v>
      </c>
      <c r="O29" s="78">
        <f>' ВС'!P29+тепло!O25</f>
        <v>0</v>
      </c>
      <c r="P29" s="78">
        <f>' ВС'!Q29+тепло!P25</f>
        <v>0</v>
      </c>
      <c r="Q29" s="78">
        <f>' ВС'!R29+тепло!Q25</f>
        <v>0</v>
      </c>
      <c r="R29" s="78">
        <f>' ВС'!S29+тепло!R25</f>
        <v>0</v>
      </c>
      <c r="S29" s="78">
        <f>' ВС'!T29+тепло!S25</f>
        <v>2459.6294590547946</v>
      </c>
      <c r="T29" s="78">
        <f>' ВС'!U29+тепло!T25</f>
        <v>208.68703414041099</v>
      </c>
      <c r="U29" s="78">
        <f>' ВС'!V29+тепло!U25</f>
        <v>427.46008197260272</v>
      </c>
      <c r="V29" s="78">
        <f>' ВС'!W29+тепло!V25</f>
        <v>592.84259567123297</v>
      </c>
      <c r="W29" s="78">
        <f>' ВС'!X29+тепло!W25</f>
        <v>1228.9897117842465</v>
      </c>
    </row>
    <row r="30" spans="1:23" ht="18.75" x14ac:dyDescent="0.25">
      <c r="A30" s="77" t="s">
        <v>34</v>
      </c>
      <c r="B30" s="78">
        <f>тепло!B26+' ВС'!C30</f>
        <v>5062.0509999999995</v>
      </c>
      <c r="C30" s="78">
        <f t="shared" si="3"/>
        <v>3464.6890000000003</v>
      </c>
      <c r="D30" s="81">
        <f>' ВС'!E30+тепло!D26</f>
        <v>8526.74</v>
      </c>
      <c r="E30" s="78">
        <f>' ВС'!F30+тепло!E26</f>
        <v>6382.2604323209998</v>
      </c>
      <c r="F30" s="81">
        <f>' ВС'!G30+тепло!F26</f>
        <v>687.17442513700007</v>
      </c>
      <c r="G30" s="81">
        <f>' ВС'!H30+тепло!G26</f>
        <v>562.756641737</v>
      </c>
      <c r="H30" s="81">
        <f>' ВС'!I30+тепло!H26</f>
        <v>545.91937173700001</v>
      </c>
      <c r="I30" s="78">
        <f>' ВС'!J30+тепло!I26</f>
        <v>1795.8504386110001</v>
      </c>
      <c r="J30" s="81">
        <f>' ВС'!K30+тепло!J26</f>
        <v>589.29042533699999</v>
      </c>
      <c r="K30" s="81">
        <f>' ВС'!L30+тепло!K26</f>
        <v>462.35500000000002</v>
      </c>
      <c r="L30" s="81">
        <f>' ВС'!M30+тепло!L26</f>
        <v>463.565</v>
      </c>
      <c r="M30" s="78">
        <f>' ВС'!N30+тепло!M26</f>
        <v>1515.2104253370001</v>
      </c>
      <c r="N30" s="78">
        <f>' ВС'!O30+тепло!N26</f>
        <v>3311.0608639479997</v>
      </c>
      <c r="O30" s="81">
        <f>' ВС'!P30+тепло!O26</f>
        <v>504.012</v>
      </c>
      <c r="P30" s="81">
        <f>' ВС'!Q30+тепло!P26</f>
        <v>499.72399999999999</v>
      </c>
      <c r="Q30" s="81">
        <f>' ВС'!R30+тепло!Q26</f>
        <v>436.90199999999999</v>
      </c>
      <c r="R30" s="78">
        <f>' ВС'!S30+тепло!R26</f>
        <v>1440.6379999999999</v>
      </c>
      <c r="S30" s="78">
        <f>' ВС'!T30+тепло!S26</f>
        <v>4751.6988639479996</v>
      </c>
      <c r="T30" s="81">
        <f>' ВС'!U30+тепло!T26</f>
        <v>498.41904359900002</v>
      </c>
      <c r="U30" s="81">
        <f>' ВС'!V30+тепло!U26</f>
        <v>536.91084583700001</v>
      </c>
      <c r="V30" s="81">
        <f>' ВС'!W30+тепло!V26</f>
        <v>595.23167893699997</v>
      </c>
      <c r="W30" s="78">
        <f>' ВС'!X30+тепло!W26</f>
        <v>1630.561568373</v>
      </c>
    </row>
    <row r="31" spans="1:23" ht="18.75" x14ac:dyDescent="0.25">
      <c r="A31" s="77" t="s">
        <v>35</v>
      </c>
      <c r="B31" s="78">
        <f>тепло!B27+' ВС'!C31</f>
        <v>1646.547</v>
      </c>
      <c r="C31" s="78">
        <f t="shared" si="3"/>
        <v>-717.71699999999998</v>
      </c>
      <c r="D31" s="78">
        <f>тепло!D27+' ВС'!E31</f>
        <v>928.83</v>
      </c>
      <c r="E31" s="78">
        <f>тепло!E27+' ВС'!F31</f>
        <v>0</v>
      </c>
      <c r="F31" s="78">
        <f>тепло!F27+' ВС'!G31</f>
        <v>0</v>
      </c>
      <c r="G31" s="78">
        <f>тепло!G27+' ВС'!H31</f>
        <v>0</v>
      </c>
      <c r="H31" s="78">
        <f>тепло!H27+' ВС'!I31</f>
        <v>0</v>
      </c>
      <c r="I31" s="78">
        <f>тепло!I27+' ВС'!J31</f>
        <v>0</v>
      </c>
      <c r="J31" s="78">
        <f>тепло!J27+' ВС'!K31</f>
        <v>0</v>
      </c>
      <c r="K31" s="78">
        <f>тепло!K27+' ВС'!L31</f>
        <v>0</v>
      </c>
      <c r="L31" s="78">
        <f>тепло!L27+' ВС'!M31</f>
        <v>0</v>
      </c>
      <c r="M31" s="78">
        <f>тепло!M27+' ВС'!N31</f>
        <v>0</v>
      </c>
      <c r="N31" s="78">
        <f>тепло!N27+' ВС'!O31</f>
        <v>0</v>
      </c>
      <c r="O31" s="78">
        <f>тепло!O27+' ВС'!P31</f>
        <v>0</v>
      </c>
      <c r="P31" s="78">
        <f>тепло!P27+' ВС'!Q31</f>
        <v>0</v>
      </c>
      <c r="Q31" s="78">
        <f>тепло!Q27+' ВС'!R31</f>
        <v>0</v>
      </c>
      <c r="R31" s="78">
        <f>тепло!R27+' ВС'!S31</f>
        <v>0</v>
      </c>
      <c r="S31" s="78">
        <f>тепло!S27+' ВС'!T31</f>
        <v>0</v>
      </c>
      <c r="T31" s="78">
        <f>тепло!T27+' ВС'!U31</f>
        <v>0</v>
      </c>
      <c r="U31" s="78">
        <f>тепло!U27+' ВС'!V31</f>
        <v>0</v>
      </c>
      <c r="V31" s="78">
        <f>тепло!V27+' ВС'!W31</f>
        <v>0</v>
      </c>
      <c r="W31" s="78">
        <f>тепло!W27+' ВС'!X31</f>
        <v>0</v>
      </c>
    </row>
    <row r="32" spans="1:23" ht="18.75" x14ac:dyDescent="0.25">
      <c r="A32" s="77" t="s">
        <v>85</v>
      </c>
      <c r="B32" s="78">
        <f>тепло!B28+' ВС'!C32</f>
        <v>5951.7820000000002</v>
      </c>
      <c r="C32" s="78">
        <f t="shared" si="3"/>
        <v>1591.3100000000004</v>
      </c>
      <c r="D32" s="78">
        <f>тепло!D28+' ВС'!E32</f>
        <v>7543.0920000000006</v>
      </c>
      <c r="E32" s="78">
        <f>тепло!E28+' ВС'!F32</f>
        <v>7574.598</v>
      </c>
      <c r="F32" s="78">
        <f>тепло!F28+' ВС'!G32</f>
        <v>631.21699999999998</v>
      </c>
      <c r="G32" s="78">
        <f>тепло!G28+' ВС'!H32</f>
        <v>631.21699999999998</v>
      </c>
      <c r="H32" s="78">
        <f>тепло!H28+' ВС'!I32</f>
        <v>631.21699999999998</v>
      </c>
      <c r="I32" s="78">
        <f>тепло!I28+' ВС'!J32</f>
        <v>1893.6510000000001</v>
      </c>
      <c r="J32" s="78">
        <f>тепло!J28+' ВС'!K32</f>
        <v>631.21699999999998</v>
      </c>
      <c r="K32" s="78">
        <f>тепло!K28+' ВС'!L32</f>
        <v>631.21699999999998</v>
      </c>
      <c r="L32" s="78">
        <f>тепло!L28+' ВС'!M32</f>
        <v>631.21699999999998</v>
      </c>
      <c r="M32" s="78">
        <f>тепло!M28+' ВС'!N32</f>
        <v>1893.6510000000001</v>
      </c>
      <c r="N32" s="78">
        <f>тепло!N28+' ВС'!O32</f>
        <v>3787.3020000000001</v>
      </c>
      <c r="O32" s="78">
        <f>тепло!O28+' ВС'!P32</f>
        <v>631.21599999999989</v>
      </c>
      <c r="P32" s="78">
        <f>тепло!P28+' ВС'!Q32</f>
        <v>631.21599999999989</v>
      </c>
      <c r="Q32" s="78">
        <f>тепло!Q28+' ВС'!R32</f>
        <v>631.21599999999989</v>
      </c>
      <c r="R32" s="78">
        <f>тепло!R28+' ВС'!S32</f>
        <v>1893.6479999999999</v>
      </c>
      <c r="S32" s="78">
        <f>тепло!S28+' ВС'!T32</f>
        <v>5680.95</v>
      </c>
      <c r="T32" s="78">
        <f>тепло!T28+' ВС'!U32</f>
        <v>631.21599999999989</v>
      </c>
      <c r="U32" s="78">
        <f>тепло!U28+' ВС'!V32</f>
        <v>631.21599999999989</v>
      </c>
      <c r="V32" s="78">
        <f>тепло!V28+' ВС'!W32</f>
        <v>631.21599999999989</v>
      </c>
      <c r="W32" s="78">
        <f>тепло!W28+' ВС'!X32</f>
        <v>1893.6479999999999</v>
      </c>
    </row>
    <row r="33" spans="1:23" ht="18.75" x14ac:dyDescent="0.25">
      <c r="A33" s="77" t="s">
        <v>102</v>
      </c>
      <c r="B33" s="78">
        <f>тепло!B29+' ВС'!C33</f>
        <v>0.10299999999999999</v>
      </c>
      <c r="C33" s="78">
        <f t="shared" si="3"/>
        <v>63.568000000000005</v>
      </c>
      <c r="D33" s="81">
        <f>тепло!D29+' ВС'!E33</f>
        <v>63.671000000000006</v>
      </c>
      <c r="E33" s="78">
        <f>тепло!E29+' ВС'!F33</f>
        <v>42.829012071999998</v>
      </c>
      <c r="F33" s="81">
        <f>тепло!F29+' ВС'!G33</f>
        <v>9.256143904</v>
      </c>
      <c r="G33" s="81">
        <f>тепло!G29+' ВС'!H33</f>
        <v>6.9654109040000005</v>
      </c>
      <c r="H33" s="81">
        <f>тепло!H29+' ВС'!I33</f>
        <v>6.2412067039999997</v>
      </c>
      <c r="I33" s="78">
        <f>тепло!I29+' ВС'!J33</f>
        <v>22.462761512</v>
      </c>
      <c r="J33" s="81">
        <f>тепло!J29+' ВС'!K33</f>
        <v>6.3768158040000005</v>
      </c>
      <c r="K33" s="81">
        <f>тепло!K29+' ВС'!L33</f>
        <v>0</v>
      </c>
      <c r="L33" s="81">
        <f>тепло!L29+' ВС'!M33</f>
        <v>0</v>
      </c>
      <c r="M33" s="78">
        <f>тепло!M29+' ВС'!N33</f>
        <v>6.3768158040000005</v>
      </c>
      <c r="N33" s="78">
        <f>тепло!N29+' ВС'!O33</f>
        <v>28.839577316</v>
      </c>
      <c r="O33" s="81">
        <f>тепло!O29+' ВС'!P33</f>
        <v>0</v>
      </c>
      <c r="P33" s="81">
        <f>тепло!P29+' ВС'!Q33</f>
        <v>0</v>
      </c>
      <c r="Q33" s="81">
        <f>тепло!Q29+' ВС'!R33</f>
        <v>0</v>
      </c>
      <c r="R33" s="78">
        <f>тепло!R29+' ВС'!S33</f>
        <v>0</v>
      </c>
      <c r="S33" s="78">
        <f>тепло!S29+' ВС'!T33</f>
        <v>28.839577316</v>
      </c>
      <c r="T33" s="81">
        <f>тепло!T29+' ВС'!U33</f>
        <v>2.562937448</v>
      </c>
      <c r="U33" s="81">
        <f>тепло!U29+' ВС'!V33</f>
        <v>4.9874676040000008</v>
      </c>
      <c r="V33" s="81">
        <f>тепло!V29+' ВС'!W33</f>
        <v>6.4390297040000002</v>
      </c>
      <c r="W33" s="78">
        <f>тепло!W29+' ВС'!X33</f>
        <v>13.989434756000001</v>
      </c>
    </row>
    <row r="34" spans="1:23" ht="18.75" x14ac:dyDescent="0.25">
      <c r="A34" s="77" t="s">
        <v>103</v>
      </c>
      <c r="B34" s="78">
        <f>тепло!B30+' ВС'!C34</f>
        <v>0</v>
      </c>
      <c r="C34" s="78">
        <f t="shared" si="3"/>
        <v>12.099999999999998</v>
      </c>
      <c r="D34" s="81">
        <f>тепло!D30+' ВС'!E34</f>
        <v>12.099999999999998</v>
      </c>
      <c r="E34" s="78">
        <f>тепло!E30+' ВС'!F34</f>
        <v>4.8512287320000009</v>
      </c>
      <c r="F34" s="81">
        <f>тепло!F30+' ВС'!G34</f>
        <v>0.96595346400000015</v>
      </c>
      <c r="G34" s="81">
        <f>тепло!G30+' ВС'!H34</f>
        <v>0.79818726400000028</v>
      </c>
      <c r="H34" s="81">
        <f>тепло!H30+' ВС'!I34</f>
        <v>0.70639066400000017</v>
      </c>
      <c r="I34" s="78">
        <f>тепло!I30+' ВС'!J34</f>
        <v>2.4705313920000007</v>
      </c>
      <c r="J34" s="81">
        <f>тепло!J30+' ВС'!K34</f>
        <v>0.73171386400000005</v>
      </c>
      <c r="K34" s="81">
        <f>тепло!K30+' ВС'!L34</f>
        <v>0</v>
      </c>
      <c r="L34" s="81">
        <f>тепло!L30+' ВС'!M34</f>
        <v>0</v>
      </c>
      <c r="M34" s="78">
        <f>тепло!M30+' ВС'!N34</f>
        <v>0.73171386400000005</v>
      </c>
      <c r="N34" s="78">
        <f>тепло!N30+' ВС'!O34</f>
        <v>3.2022452560000008</v>
      </c>
      <c r="O34" s="81">
        <f>тепло!O30+' ВС'!P34</f>
        <v>0</v>
      </c>
      <c r="P34" s="81">
        <f>тепло!P30+' ВС'!Q34</f>
        <v>0</v>
      </c>
      <c r="Q34" s="81">
        <f>тепло!Q30+' ВС'!R34</f>
        <v>0</v>
      </c>
      <c r="R34" s="78">
        <f>тепло!R30+' ВС'!S34</f>
        <v>0</v>
      </c>
      <c r="S34" s="78">
        <f>тепло!S30+' ВС'!T34</f>
        <v>3.2022452560000008</v>
      </c>
      <c r="T34" s="81">
        <f>тепло!T30+' ВС'!U34</f>
        <v>0.33749494800000007</v>
      </c>
      <c r="U34" s="81">
        <f>тепло!U30+' ВС'!V34</f>
        <v>0.61775946400000015</v>
      </c>
      <c r="V34" s="81">
        <f>тепло!V30+' ВС'!W34</f>
        <v>0.69372906400000012</v>
      </c>
      <c r="W34" s="78">
        <f>тепло!W30+' ВС'!X34</f>
        <v>1.6489834760000002</v>
      </c>
    </row>
    <row r="35" spans="1:23" ht="18.75" x14ac:dyDescent="0.25">
      <c r="A35" s="77" t="s">
        <v>36</v>
      </c>
      <c r="B35" s="78">
        <f t="shared" ref="B35:V35" si="4">B36+B37+B38+B39</f>
        <v>32.519999999999996</v>
      </c>
      <c r="C35" s="78">
        <f t="shared" si="4"/>
        <v>645.77999999999986</v>
      </c>
      <c r="D35" s="81">
        <f t="shared" si="4"/>
        <v>678.3</v>
      </c>
      <c r="E35" s="78">
        <f t="shared" si="4"/>
        <v>221.22</v>
      </c>
      <c r="F35" s="78">
        <f t="shared" si="4"/>
        <v>18.434999999999999</v>
      </c>
      <c r="G35" s="78">
        <f t="shared" si="4"/>
        <v>18.434999999999999</v>
      </c>
      <c r="H35" s="78">
        <f t="shared" si="4"/>
        <v>18.434999999999999</v>
      </c>
      <c r="I35" s="78">
        <f t="shared" ref="I35:I64" si="5">F35+G35+H35</f>
        <v>55.304999999999993</v>
      </c>
      <c r="J35" s="78">
        <f t="shared" si="4"/>
        <v>18.434999999999999</v>
      </c>
      <c r="K35" s="78">
        <f t="shared" si="4"/>
        <v>18.434999999999999</v>
      </c>
      <c r="L35" s="78">
        <f t="shared" si="4"/>
        <v>18.434999999999999</v>
      </c>
      <c r="M35" s="78">
        <f t="shared" ref="M35:M64" si="6">J35+K35+L35</f>
        <v>55.304999999999993</v>
      </c>
      <c r="N35" s="78">
        <f t="shared" ref="N35:N64" si="7">I35+M35</f>
        <v>110.60999999999999</v>
      </c>
      <c r="O35" s="78">
        <f t="shared" si="4"/>
        <v>18.434999999999999</v>
      </c>
      <c r="P35" s="78">
        <f t="shared" si="4"/>
        <v>18.434999999999999</v>
      </c>
      <c r="Q35" s="78">
        <f t="shared" si="4"/>
        <v>18.434999999999999</v>
      </c>
      <c r="R35" s="78">
        <f t="shared" ref="R35:R87" si="8">O35+P35+Q35</f>
        <v>55.304999999999993</v>
      </c>
      <c r="S35" s="78">
        <f t="shared" ref="S35:S87" si="9">N35+R35</f>
        <v>165.91499999999996</v>
      </c>
      <c r="T35" s="78">
        <f t="shared" si="4"/>
        <v>18.434999999999999</v>
      </c>
      <c r="U35" s="78">
        <f t="shared" si="4"/>
        <v>18.434999999999999</v>
      </c>
      <c r="V35" s="78">
        <f t="shared" si="4"/>
        <v>18.434999999999999</v>
      </c>
      <c r="W35" s="78">
        <f t="shared" ref="W35:W87" si="10">T35+U35+V35</f>
        <v>55.304999999999993</v>
      </c>
    </row>
    <row r="36" spans="1:23" ht="18.75" x14ac:dyDescent="0.25">
      <c r="A36" s="79" t="s">
        <v>37</v>
      </c>
      <c r="B36" s="80">
        <f>тепло!B32+' ВС'!C36</f>
        <v>10.84</v>
      </c>
      <c r="C36" s="80">
        <f t="shared" si="3"/>
        <v>20.66</v>
      </c>
      <c r="D36" s="81">
        <f>тепло!D32+' ВС'!E36</f>
        <v>31.5</v>
      </c>
      <c r="E36" s="78">
        <f>тепло!E32+' ВС'!F36</f>
        <v>27.048000000000002</v>
      </c>
      <c r="F36" s="81">
        <f>тепло!F32+' ВС'!G36</f>
        <v>2.254</v>
      </c>
      <c r="G36" s="81">
        <f>тепло!G32+' ВС'!H36</f>
        <v>2.254</v>
      </c>
      <c r="H36" s="81">
        <f>тепло!H32+' ВС'!I36</f>
        <v>2.254</v>
      </c>
      <c r="I36" s="78">
        <f>тепло!I32+' ВС'!J36</f>
        <v>6.7620000000000005</v>
      </c>
      <c r="J36" s="81">
        <f>тепло!J32+' ВС'!K36</f>
        <v>2.254</v>
      </c>
      <c r="K36" s="81">
        <f>тепло!K32+' ВС'!L36</f>
        <v>2.254</v>
      </c>
      <c r="L36" s="81">
        <f>тепло!L32+' ВС'!M36</f>
        <v>2.254</v>
      </c>
      <c r="M36" s="78">
        <f>тепло!M32+' ВС'!N36</f>
        <v>6.7620000000000005</v>
      </c>
      <c r="N36" s="78">
        <f>тепло!N32+' ВС'!O36</f>
        <v>13.524000000000001</v>
      </c>
      <c r="O36" s="81">
        <f>тепло!O32+' ВС'!P36</f>
        <v>2.254</v>
      </c>
      <c r="P36" s="81">
        <f>тепло!P32+' ВС'!Q36</f>
        <v>2.254</v>
      </c>
      <c r="Q36" s="81">
        <f>тепло!Q32+' ВС'!R36</f>
        <v>2.254</v>
      </c>
      <c r="R36" s="78">
        <f>тепло!R32+' ВС'!S36</f>
        <v>6.7620000000000005</v>
      </c>
      <c r="S36" s="78">
        <f>тепло!S32+' ВС'!T36</f>
        <v>20.286000000000001</v>
      </c>
      <c r="T36" s="81">
        <f>тепло!T32+' ВС'!U36</f>
        <v>2.254</v>
      </c>
      <c r="U36" s="81">
        <f>тепло!U32+' ВС'!V36</f>
        <v>2.254</v>
      </c>
      <c r="V36" s="81">
        <f>тепло!V32+' ВС'!W36</f>
        <v>2.254</v>
      </c>
      <c r="W36" s="78">
        <f>тепло!W32+' ВС'!X36</f>
        <v>6.7620000000000005</v>
      </c>
    </row>
    <row r="37" spans="1:23" ht="18.75" x14ac:dyDescent="0.25">
      <c r="A37" s="79" t="s">
        <v>38</v>
      </c>
      <c r="B37" s="80">
        <f>тепло!B33+' ВС'!C37</f>
        <v>-0.15</v>
      </c>
      <c r="C37" s="80">
        <f t="shared" si="3"/>
        <v>624.15</v>
      </c>
      <c r="D37" s="81">
        <f>тепло!D33+' ВС'!E37</f>
        <v>624</v>
      </c>
      <c r="E37" s="78">
        <f>тепло!E33+' ВС'!F37</f>
        <v>170.172</v>
      </c>
      <c r="F37" s="81">
        <f>тепло!F33+' ВС'!G37</f>
        <v>14.180999999999999</v>
      </c>
      <c r="G37" s="81">
        <f>тепло!G33+' ВС'!H37</f>
        <v>14.180999999999999</v>
      </c>
      <c r="H37" s="81">
        <f>тепло!H33+' ВС'!I37</f>
        <v>14.180999999999999</v>
      </c>
      <c r="I37" s="78">
        <f>тепло!I33+' ВС'!J37</f>
        <v>42.542999999999999</v>
      </c>
      <c r="J37" s="81">
        <f>тепло!J33+' ВС'!K37</f>
        <v>14.180999999999999</v>
      </c>
      <c r="K37" s="81">
        <f>тепло!K33+' ВС'!L37</f>
        <v>14.180999999999999</v>
      </c>
      <c r="L37" s="81">
        <f>тепло!L33+' ВС'!M37</f>
        <v>14.180999999999999</v>
      </c>
      <c r="M37" s="78">
        <f>тепло!M33+' ВС'!N37</f>
        <v>42.542999999999999</v>
      </c>
      <c r="N37" s="78">
        <f>тепло!N33+' ВС'!O37</f>
        <v>85.085999999999999</v>
      </c>
      <c r="O37" s="81">
        <f>тепло!O33+' ВС'!P37</f>
        <v>14.180999999999999</v>
      </c>
      <c r="P37" s="81">
        <f>тепло!P33+' ВС'!Q37</f>
        <v>14.180999999999999</v>
      </c>
      <c r="Q37" s="81">
        <f>тепло!Q33+' ВС'!R37</f>
        <v>14.180999999999999</v>
      </c>
      <c r="R37" s="78">
        <f>тепло!R33+' ВС'!S37</f>
        <v>42.542999999999999</v>
      </c>
      <c r="S37" s="78">
        <f>тепло!S33+' ВС'!T37</f>
        <v>127.62899999999999</v>
      </c>
      <c r="T37" s="81">
        <f>тепло!T33+' ВС'!U37</f>
        <v>14.180999999999999</v>
      </c>
      <c r="U37" s="81">
        <f>тепло!U33+' ВС'!V37</f>
        <v>14.180999999999999</v>
      </c>
      <c r="V37" s="81">
        <f>тепло!V33+' ВС'!W37</f>
        <v>14.180999999999999</v>
      </c>
      <c r="W37" s="78">
        <f>тепло!W33+' ВС'!X37</f>
        <v>42.542999999999999</v>
      </c>
    </row>
    <row r="38" spans="1:23" ht="18.75" x14ac:dyDescent="0.25">
      <c r="A38" s="79" t="s">
        <v>39</v>
      </c>
      <c r="B38" s="80">
        <f>тепло!B34+' ВС'!C38</f>
        <v>9</v>
      </c>
      <c r="C38" s="80">
        <f t="shared" si="3"/>
        <v>13.8</v>
      </c>
      <c r="D38" s="81">
        <f>тепло!D34+' ВС'!E38</f>
        <v>22.8</v>
      </c>
      <c r="E38" s="78">
        <f>тепло!E34+' ВС'!F38</f>
        <v>24</v>
      </c>
      <c r="F38" s="81">
        <f>тепло!F34+' ВС'!G38</f>
        <v>2</v>
      </c>
      <c r="G38" s="81">
        <f>тепло!G34+' ВС'!H38</f>
        <v>2</v>
      </c>
      <c r="H38" s="81">
        <f>тепло!H34+' ВС'!I38</f>
        <v>2</v>
      </c>
      <c r="I38" s="78">
        <f>тепло!I34+' ВС'!J38</f>
        <v>6</v>
      </c>
      <c r="J38" s="81">
        <f>тепло!J34+' ВС'!K38</f>
        <v>2</v>
      </c>
      <c r="K38" s="81">
        <f>тепло!K34+' ВС'!L38</f>
        <v>2</v>
      </c>
      <c r="L38" s="81">
        <f>тепло!L34+' ВС'!M38</f>
        <v>2</v>
      </c>
      <c r="M38" s="78">
        <f>тепло!M34+' ВС'!N38</f>
        <v>6</v>
      </c>
      <c r="N38" s="78">
        <f>тепло!N34+' ВС'!O38</f>
        <v>12</v>
      </c>
      <c r="O38" s="81">
        <f>тепло!O34+' ВС'!P38</f>
        <v>2</v>
      </c>
      <c r="P38" s="81">
        <f>тепло!P34+' ВС'!Q38</f>
        <v>2</v>
      </c>
      <c r="Q38" s="81">
        <f>тепло!Q34+' ВС'!R38</f>
        <v>2</v>
      </c>
      <c r="R38" s="78">
        <f>тепло!R34+' ВС'!S38</f>
        <v>6</v>
      </c>
      <c r="S38" s="78">
        <f>тепло!S34+' ВС'!T38</f>
        <v>18</v>
      </c>
      <c r="T38" s="81">
        <f>тепло!T34+' ВС'!U38</f>
        <v>2</v>
      </c>
      <c r="U38" s="81">
        <f>тепло!U34+' ВС'!V38</f>
        <v>2</v>
      </c>
      <c r="V38" s="81">
        <f>тепло!V34+' ВС'!W38</f>
        <v>2</v>
      </c>
      <c r="W38" s="78">
        <f>тепло!W34+' ВС'!X38</f>
        <v>6</v>
      </c>
    </row>
    <row r="39" spans="1:23" ht="18.75" x14ac:dyDescent="0.25">
      <c r="A39" s="79" t="s">
        <v>40</v>
      </c>
      <c r="B39" s="80">
        <f>' ВС'!C39</f>
        <v>12.83</v>
      </c>
      <c r="C39" s="80">
        <f t="shared" si="3"/>
        <v>-12.83</v>
      </c>
      <c r="D39" s="80">
        <f>' ВС'!E39</f>
        <v>0</v>
      </c>
      <c r="E39" s="80">
        <f>тепло!E35+' ВС'!F39</f>
        <v>0</v>
      </c>
      <c r="F39" s="80">
        <f>тепло!F35+' ВС'!G39</f>
        <v>0</v>
      </c>
      <c r="G39" s="80">
        <f>тепло!G35+' ВС'!H39</f>
        <v>0</v>
      </c>
      <c r="H39" s="80">
        <f>тепло!H35+' ВС'!I39</f>
        <v>0</v>
      </c>
      <c r="I39" s="80">
        <f>тепло!I35+' ВС'!J39</f>
        <v>0</v>
      </c>
      <c r="J39" s="80">
        <f>тепло!J35+' ВС'!K39</f>
        <v>0</v>
      </c>
      <c r="K39" s="80">
        <f>тепло!K35+' ВС'!L39</f>
        <v>0</v>
      </c>
      <c r="L39" s="80">
        <f>тепло!L35+' ВС'!M39</f>
        <v>0</v>
      </c>
      <c r="M39" s="80">
        <f>тепло!M35+' ВС'!N39</f>
        <v>0</v>
      </c>
      <c r="N39" s="80">
        <f>тепло!N35+' ВС'!O39</f>
        <v>0</v>
      </c>
      <c r="O39" s="80">
        <f>тепло!O35+' ВС'!P39</f>
        <v>0</v>
      </c>
      <c r="P39" s="80">
        <f>тепло!P35+' ВС'!Q39</f>
        <v>0</v>
      </c>
      <c r="Q39" s="80">
        <f>тепло!Q35+' ВС'!R39</f>
        <v>0</v>
      </c>
      <c r="R39" s="80">
        <f>тепло!R35+' ВС'!S39</f>
        <v>0</v>
      </c>
      <c r="S39" s="80">
        <f>тепло!S35+' ВС'!T39</f>
        <v>0</v>
      </c>
      <c r="T39" s="80">
        <f>тепло!T35+' ВС'!U39</f>
        <v>0</v>
      </c>
      <c r="U39" s="80">
        <f>тепло!U35+' ВС'!V39</f>
        <v>0</v>
      </c>
      <c r="V39" s="80">
        <f>тепло!V35+' ВС'!W39</f>
        <v>0</v>
      </c>
      <c r="W39" s="80">
        <f>тепло!W35+' ВС'!X39</f>
        <v>0</v>
      </c>
    </row>
    <row r="40" spans="1:23" ht="18.75" x14ac:dyDescent="0.25">
      <c r="A40" s="77" t="s">
        <v>41</v>
      </c>
      <c r="B40" s="78">
        <f>тепло!B38+' ВС'!C40</f>
        <v>3387.3389999999999</v>
      </c>
      <c r="C40" s="78">
        <f t="shared" si="3"/>
        <v>928.02000000000044</v>
      </c>
      <c r="D40" s="81">
        <f>тепло!D36+' ВС'!E40</f>
        <v>4315.3590000000004</v>
      </c>
      <c r="E40" s="78">
        <f>тепло!E36+' ВС'!F40</f>
        <v>4299.270312329314</v>
      </c>
      <c r="F40" s="78">
        <f>тепло!F36+' ВС'!G40</f>
        <v>510.16296581835616</v>
      </c>
      <c r="G40" s="78">
        <f>тепло!G36+' ВС'!H40</f>
        <v>450.77952116082184</v>
      </c>
      <c r="H40" s="78">
        <f>тепло!H36+' ВС'!I40</f>
        <v>436.36866543479448</v>
      </c>
      <c r="I40" s="78">
        <f>тепло!I36+' ВС'!J40</f>
        <v>1397.3111524139726</v>
      </c>
      <c r="J40" s="78">
        <f>тепло!J36+' ВС'!K40</f>
        <v>434.78526781835615</v>
      </c>
      <c r="K40" s="78">
        <f>тепло!K36+' ВС'!L40</f>
        <v>254.23300000000003</v>
      </c>
      <c r="L40" s="78">
        <f>тепло!L36+' ВС'!M40</f>
        <v>254.23300000000003</v>
      </c>
      <c r="M40" s="78">
        <f>тепло!M36+' ВС'!N40</f>
        <v>943.25126781835627</v>
      </c>
      <c r="N40" s="78">
        <f>тепло!N36+' ВС'!O40</f>
        <v>2340.5624202323288</v>
      </c>
      <c r="O40" s="78">
        <f>тепло!O36+' ВС'!P40</f>
        <v>254.23300000000003</v>
      </c>
      <c r="P40" s="78">
        <f>тепло!P36+' ВС'!Q40</f>
        <v>254.23300000000003</v>
      </c>
      <c r="Q40" s="78">
        <f>тепло!Q36+' ВС'!R40</f>
        <v>254.23300000000003</v>
      </c>
      <c r="R40" s="78">
        <f>тепло!R36+' ВС'!S40</f>
        <v>762.69900000000007</v>
      </c>
      <c r="S40" s="78">
        <f>тепло!S36+' ВС'!T40</f>
        <v>3103.2614202323284</v>
      </c>
      <c r="T40" s="78">
        <f>тепло!T36+' ВС'!U40</f>
        <v>336.22242700821914</v>
      </c>
      <c r="U40" s="78">
        <f>тепло!U36+' ВС'!V40</f>
        <v>411.19021014712325</v>
      </c>
      <c r="V40" s="78">
        <f>тепло!V36+' ВС'!W40</f>
        <v>448.59625494164379</v>
      </c>
      <c r="W40" s="78">
        <f>тепло!W36+' ВС'!X40</f>
        <v>1196.0088920969863</v>
      </c>
    </row>
    <row r="41" spans="1:23" ht="19.5" x14ac:dyDescent="0.25">
      <c r="A41" s="79" t="s">
        <v>42</v>
      </c>
      <c r="B41" s="224">
        <f>тепло!B37+' ВС'!C41</f>
        <v>3.19</v>
      </c>
      <c r="C41" s="80">
        <f t="shared" si="3"/>
        <v>18.309999999999999</v>
      </c>
      <c r="D41" s="81">
        <f>тепло!D37+' ВС'!E41</f>
        <v>21.5</v>
      </c>
      <c r="E41" s="78">
        <f>тепло!E37+' ВС'!F41</f>
        <v>25.800000000000004</v>
      </c>
      <c r="F41" s="81">
        <f>тепло!F37+' ВС'!G41</f>
        <v>2.1500000000000004</v>
      </c>
      <c r="G41" s="81">
        <f>тепло!G37+' ВС'!H41</f>
        <v>2.1500000000000004</v>
      </c>
      <c r="H41" s="81">
        <f>тепло!H37+' ВС'!I41</f>
        <v>2.1500000000000004</v>
      </c>
      <c r="I41" s="78">
        <f>тепло!I37+' ВС'!J41</f>
        <v>6.4500000000000011</v>
      </c>
      <c r="J41" s="81">
        <f>тепло!J37+' ВС'!K41</f>
        <v>2.1500000000000004</v>
      </c>
      <c r="K41" s="81">
        <f>тепло!K37+' ВС'!L41</f>
        <v>2.1500000000000004</v>
      </c>
      <c r="L41" s="81">
        <f>тепло!L37+' ВС'!M41</f>
        <v>2.1500000000000004</v>
      </c>
      <c r="M41" s="78">
        <f>тепло!M37+' ВС'!N41</f>
        <v>6.4500000000000011</v>
      </c>
      <c r="N41" s="78">
        <f>тепло!N37+' ВС'!O41</f>
        <v>12.900000000000002</v>
      </c>
      <c r="O41" s="81">
        <f>тепло!O37+' ВС'!P41</f>
        <v>2.1500000000000004</v>
      </c>
      <c r="P41" s="81">
        <f>тепло!P37+' ВС'!Q41</f>
        <v>2.1500000000000004</v>
      </c>
      <c r="Q41" s="81">
        <f>тепло!Q37+' ВС'!R41</f>
        <v>2.1500000000000004</v>
      </c>
      <c r="R41" s="78">
        <f>тепло!R37+' ВС'!S41</f>
        <v>6.4500000000000011</v>
      </c>
      <c r="S41" s="78">
        <f>тепло!S37+' ВС'!T41</f>
        <v>19.350000000000001</v>
      </c>
      <c r="T41" s="81">
        <f>тепло!T37+' ВС'!U41</f>
        <v>2.1500000000000004</v>
      </c>
      <c r="U41" s="81">
        <f>тепло!U37+' ВС'!V41</f>
        <v>2.1500000000000004</v>
      </c>
      <c r="V41" s="81">
        <f>тепло!V37+' ВС'!W41</f>
        <v>2.1500000000000004</v>
      </c>
      <c r="W41" s="78">
        <f>тепло!W37+' ВС'!X41</f>
        <v>6.4500000000000011</v>
      </c>
    </row>
    <row r="42" spans="1:23" ht="19.5" x14ac:dyDescent="0.25">
      <c r="A42" s="79" t="s">
        <v>43</v>
      </c>
      <c r="B42" s="84">
        <f>тепло!B40+' ВС'!C42</f>
        <v>2414.54</v>
      </c>
      <c r="C42" s="84">
        <f t="shared" si="3"/>
        <v>343.4989999999998</v>
      </c>
      <c r="D42" s="84">
        <f>тепло!D38+' ВС'!E42</f>
        <v>2758.0389999999998</v>
      </c>
      <c r="E42" s="84">
        <f>тепло!E38+' ВС'!F42</f>
        <v>3026.6059999999998</v>
      </c>
      <c r="F42" s="84">
        <f>тепло!F38+' ВС'!G42</f>
        <v>257.22399999999999</v>
      </c>
      <c r="G42" s="84">
        <f>тепло!G38+' ВС'!H42</f>
        <v>257.22399999999999</v>
      </c>
      <c r="H42" s="84">
        <f>тепло!H38+' ВС'!I42</f>
        <v>257.22399999999999</v>
      </c>
      <c r="I42" s="84">
        <f>тепло!I38+' ВС'!J42</f>
        <v>771.67200000000003</v>
      </c>
      <c r="J42" s="84">
        <f>тепло!J38+' ВС'!K42</f>
        <v>257.22399999999999</v>
      </c>
      <c r="K42" s="84">
        <f>тепло!K38+' ВС'!L42</f>
        <v>246.11</v>
      </c>
      <c r="L42" s="84">
        <f>тепло!L38+' ВС'!M42</f>
        <v>246.11</v>
      </c>
      <c r="M42" s="84">
        <f>тепло!M38+' ВС'!N42</f>
        <v>749.44399999999996</v>
      </c>
      <c r="N42" s="84">
        <f>тепло!N38+' ВС'!O42</f>
        <v>1521.116</v>
      </c>
      <c r="O42" s="84">
        <f>тепло!O38+' ВС'!P42</f>
        <v>246.11</v>
      </c>
      <c r="P42" s="84">
        <f>тепло!P38+' ВС'!Q42</f>
        <v>246.11</v>
      </c>
      <c r="Q42" s="84">
        <f>тепло!Q38+' ВС'!R42</f>
        <v>246.11</v>
      </c>
      <c r="R42" s="84">
        <f>тепло!R38+' ВС'!S42</f>
        <v>738.33</v>
      </c>
      <c r="S42" s="84">
        <f>тепло!S38+' ВС'!T42</f>
        <v>2259.4459999999999</v>
      </c>
      <c r="T42" s="84">
        <f>тепло!T38+' ВС'!U42</f>
        <v>252.71199999999999</v>
      </c>
      <c r="U42" s="84">
        <f>тепло!U38+' ВС'!V42</f>
        <v>257.22399999999999</v>
      </c>
      <c r="V42" s="84">
        <f>тепло!V38+' ВС'!W42</f>
        <v>257.22399999999999</v>
      </c>
      <c r="W42" s="84">
        <f>тепло!W38+' ВС'!X42</f>
        <v>767.16</v>
      </c>
    </row>
    <row r="43" spans="1:23" ht="18.75" x14ac:dyDescent="0.25">
      <c r="A43" s="76" t="s">
        <v>44</v>
      </c>
      <c r="B43" s="81">
        <f>тепло!B39+' ВС'!C43</f>
        <v>2196.5400000000004</v>
      </c>
      <c r="C43" s="81">
        <f t="shared" si="3"/>
        <v>193.41399999999931</v>
      </c>
      <c r="D43" s="81">
        <f>тепло!D39+' ВС'!E43</f>
        <v>2389.9539999999997</v>
      </c>
      <c r="E43" s="78">
        <f>тепло!E39+' ВС'!F43</f>
        <v>2691.6020000000003</v>
      </c>
      <c r="F43" s="81">
        <f>тепло!F39+' ВС'!G43</f>
        <v>229.30699999999999</v>
      </c>
      <c r="G43" s="81">
        <f>тепло!G39+' ВС'!H43</f>
        <v>229.30699999999999</v>
      </c>
      <c r="H43" s="81">
        <f>тепло!H39+' ВС'!I43</f>
        <v>229.30699999999999</v>
      </c>
      <c r="I43" s="78">
        <f>тепло!I39+' ВС'!J43</f>
        <v>687.92099999999994</v>
      </c>
      <c r="J43" s="81">
        <f>тепло!J39+' ВС'!K43</f>
        <v>229.30699999999999</v>
      </c>
      <c r="K43" s="81">
        <f>тепло!K39+' ВС'!L43</f>
        <v>218.19300000000001</v>
      </c>
      <c r="L43" s="81">
        <f>тепло!L39+' ВС'!M43</f>
        <v>218.19300000000001</v>
      </c>
      <c r="M43" s="78">
        <f>тепло!M39+' ВС'!N43</f>
        <v>665.69299999999998</v>
      </c>
      <c r="N43" s="78">
        <f>тепло!N39+' ВС'!O43</f>
        <v>1353.614</v>
      </c>
      <c r="O43" s="81">
        <f>тепло!O39+' ВС'!P43</f>
        <v>218.19300000000001</v>
      </c>
      <c r="P43" s="81">
        <f>тепло!P39+' ВС'!Q43</f>
        <v>218.19300000000001</v>
      </c>
      <c r="Q43" s="81">
        <f>тепло!Q39+' ВС'!R43</f>
        <v>218.19300000000001</v>
      </c>
      <c r="R43" s="78">
        <f>тепло!R39+' ВС'!S43</f>
        <v>654.57900000000006</v>
      </c>
      <c r="S43" s="78">
        <f>тепло!S39+' ВС'!T43</f>
        <v>2008.1930000000002</v>
      </c>
      <c r="T43" s="81">
        <f>тепло!T39+' ВС'!U43</f>
        <v>224.79499999999999</v>
      </c>
      <c r="U43" s="81">
        <f>тепло!U39+' ВС'!V43</f>
        <v>229.30699999999999</v>
      </c>
      <c r="V43" s="81">
        <f>тепло!V39+' ВС'!W43</f>
        <v>229.30699999999999</v>
      </c>
      <c r="W43" s="78">
        <f>тепло!W39+' ВС'!X43</f>
        <v>683.40899999999999</v>
      </c>
    </row>
    <row r="44" spans="1:23" ht="18.75" x14ac:dyDescent="0.25">
      <c r="A44" s="76" t="s">
        <v>45</v>
      </c>
      <c r="B44" s="81">
        <f>тепло!B42+' ВС'!C44</f>
        <v>305.76</v>
      </c>
      <c r="C44" s="81">
        <f t="shared" si="3"/>
        <v>108.73500000000001</v>
      </c>
      <c r="D44" s="81">
        <f>тепло!D42+' ВС'!E44</f>
        <v>414.495</v>
      </c>
      <c r="E44" s="78">
        <f>тепло!E40+' ВС'!F44</f>
        <v>335.00400000000002</v>
      </c>
      <c r="F44" s="81">
        <f>тепло!F40+' ВС'!G44</f>
        <v>27.917000000000002</v>
      </c>
      <c r="G44" s="81">
        <f>тепло!G40+' ВС'!H44</f>
        <v>27.917000000000002</v>
      </c>
      <c r="H44" s="81">
        <f>тепло!H40+' ВС'!I44</f>
        <v>27.917000000000002</v>
      </c>
      <c r="I44" s="78">
        <f>тепло!I40+' ВС'!J44</f>
        <v>83.751000000000005</v>
      </c>
      <c r="J44" s="81">
        <f>тепло!J40+' ВС'!K44</f>
        <v>27.917000000000002</v>
      </c>
      <c r="K44" s="81">
        <f>тепло!K40+' ВС'!L44</f>
        <v>27.917000000000002</v>
      </c>
      <c r="L44" s="81">
        <f>тепло!L40+' ВС'!M44</f>
        <v>27.917000000000002</v>
      </c>
      <c r="M44" s="78">
        <f>тепло!M40+' ВС'!N44</f>
        <v>83.751000000000005</v>
      </c>
      <c r="N44" s="78">
        <f>тепло!N40+' ВС'!O44</f>
        <v>167.50200000000001</v>
      </c>
      <c r="O44" s="81">
        <f>тепло!O40+' ВС'!P44</f>
        <v>27.917000000000002</v>
      </c>
      <c r="P44" s="81">
        <f>тепло!P40+' ВС'!Q44</f>
        <v>27.917000000000002</v>
      </c>
      <c r="Q44" s="81">
        <f>тепло!Q40+' ВС'!R44</f>
        <v>27.917000000000002</v>
      </c>
      <c r="R44" s="78">
        <f>тепло!R40+' ВС'!S44</f>
        <v>83.751000000000005</v>
      </c>
      <c r="S44" s="78">
        <f>тепло!S40+' ВС'!T44</f>
        <v>251.25300000000001</v>
      </c>
      <c r="T44" s="81">
        <f>тепло!T40+' ВС'!U44</f>
        <v>27.917000000000002</v>
      </c>
      <c r="U44" s="81">
        <f>тепло!U40+' ВС'!V44</f>
        <v>27.917000000000002</v>
      </c>
      <c r="V44" s="81">
        <f>тепло!V40+' ВС'!W44</f>
        <v>27.917000000000002</v>
      </c>
      <c r="W44" s="78">
        <f>тепло!W40+' ВС'!X44</f>
        <v>83.751000000000005</v>
      </c>
    </row>
    <row r="45" spans="1:23" ht="18.75" x14ac:dyDescent="0.25">
      <c r="A45" s="79" t="s">
        <v>46</v>
      </c>
      <c r="B45" s="78">
        <f>тепло!B43+' ВС'!C45</f>
        <v>22.479000000000003</v>
      </c>
      <c r="C45" s="81">
        <f t="shared" si="3"/>
        <v>67.780999999999992</v>
      </c>
      <c r="D45" s="81">
        <f>тепло!D41+' ВС'!E45</f>
        <v>90.259999999999991</v>
      </c>
      <c r="E45" s="78">
        <f>тепло!E41+' ВС'!F45</f>
        <v>189.36799999999999</v>
      </c>
      <c r="F45" s="81">
        <f>тепло!F41+' ВС'!G45</f>
        <v>25.183999999999997</v>
      </c>
      <c r="G45" s="81">
        <f>тепло!G41+' ВС'!H45</f>
        <v>25.183999999999997</v>
      </c>
      <c r="H45" s="81">
        <f>тепло!H41+' ВС'!I45</f>
        <v>25.183999999999997</v>
      </c>
      <c r="I45" s="78">
        <f>тепло!I41+' ВС'!J45</f>
        <v>75.551999999999992</v>
      </c>
      <c r="J45" s="81">
        <f>тепло!J41+' ВС'!K45</f>
        <v>25.183999999999997</v>
      </c>
      <c r="K45" s="81">
        <f>тепло!K41+' ВС'!L45</f>
        <v>3.9550000000000001</v>
      </c>
      <c r="L45" s="81">
        <f>тепло!L41+' ВС'!M45</f>
        <v>3.9550000000000001</v>
      </c>
      <c r="M45" s="78">
        <f>тепло!M41+' ВС'!N45</f>
        <v>33.094000000000001</v>
      </c>
      <c r="N45" s="78">
        <f>тепло!N41+' ВС'!O45</f>
        <v>108.646</v>
      </c>
      <c r="O45" s="81">
        <f>тепло!O41+' ВС'!P45</f>
        <v>3.9550000000000001</v>
      </c>
      <c r="P45" s="81">
        <f>тепло!P41+' ВС'!Q45</f>
        <v>3.9550000000000001</v>
      </c>
      <c r="Q45" s="81">
        <f>тепло!Q41+' ВС'!R45</f>
        <v>3.9550000000000001</v>
      </c>
      <c r="R45" s="78">
        <f>тепло!R41+' ВС'!S45</f>
        <v>11.865</v>
      </c>
      <c r="S45" s="78">
        <f>тепло!S41+' ВС'!T45</f>
        <v>120.511</v>
      </c>
      <c r="T45" s="81">
        <f>тепло!T41+' ВС'!U45</f>
        <v>18.489000000000001</v>
      </c>
      <c r="U45" s="81">
        <f>тепло!U41+' ВС'!V45</f>
        <v>25.183999999999997</v>
      </c>
      <c r="V45" s="81">
        <f>тепло!V41+' ВС'!W45</f>
        <v>25.183999999999997</v>
      </c>
      <c r="W45" s="78">
        <f>тепло!W41+' ВС'!X45</f>
        <v>68.856999999999999</v>
      </c>
    </row>
    <row r="46" spans="1:23" ht="18.75" x14ac:dyDescent="0.25">
      <c r="A46" s="76" t="s">
        <v>47</v>
      </c>
      <c r="B46" s="81">
        <f>тепло!B42+' ВС'!C46</f>
        <v>0</v>
      </c>
      <c r="C46" s="81">
        <f t="shared" si="3"/>
        <v>46.41</v>
      </c>
      <c r="D46" s="81">
        <f>тепло!D42+' ВС'!E46</f>
        <v>46.41</v>
      </c>
      <c r="E46" s="78">
        <f>тепло!E42+' ВС'!F46</f>
        <v>0</v>
      </c>
      <c r="F46" s="81">
        <f>тепло!F42+' ВС'!G46</f>
        <v>0</v>
      </c>
      <c r="G46" s="81">
        <f>тепло!G42+' ВС'!H46</f>
        <v>0</v>
      </c>
      <c r="H46" s="81">
        <f>тепло!H42+' ВС'!I46</f>
        <v>0</v>
      </c>
      <c r="I46" s="78">
        <f>тепло!I42+' ВС'!J46</f>
        <v>0</v>
      </c>
      <c r="J46" s="81">
        <f>тепло!J42+' ВС'!K46</f>
        <v>0</v>
      </c>
      <c r="K46" s="81">
        <f>тепло!K42+' ВС'!L46</f>
        <v>0</v>
      </c>
      <c r="L46" s="81">
        <f>тепло!L42+' ВС'!M46</f>
        <v>0</v>
      </c>
      <c r="M46" s="78">
        <f>тепло!M42+' ВС'!N46</f>
        <v>0</v>
      </c>
      <c r="N46" s="78">
        <f>тепло!N42+' ВС'!O46</f>
        <v>0</v>
      </c>
      <c r="O46" s="81">
        <f>тепло!O42+' ВС'!P46</f>
        <v>0</v>
      </c>
      <c r="P46" s="81">
        <f>тепло!P42+' ВС'!Q46</f>
        <v>0</v>
      </c>
      <c r="Q46" s="81">
        <f>тепло!Q42+' ВС'!R46</f>
        <v>0</v>
      </c>
      <c r="R46" s="78">
        <f>тепло!R42+' ВС'!S46</f>
        <v>0</v>
      </c>
      <c r="S46" s="78">
        <f>тепло!S42+' ВС'!T46</f>
        <v>0</v>
      </c>
      <c r="T46" s="81">
        <f>тепло!T42+' ВС'!U46</f>
        <v>0</v>
      </c>
      <c r="U46" s="81">
        <f>тепло!U42+' ВС'!V46</f>
        <v>0</v>
      </c>
      <c r="V46" s="81">
        <f>тепло!V42+' ВС'!W46</f>
        <v>0</v>
      </c>
      <c r="W46" s="78">
        <f>тепло!W42+' ВС'!X46</f>
        <v>0</v>
      </c>
    </row>
    <row r="47" spans="1:23" ht="18.75" x14ac:dyDescent="0.25">
      <c r="A47" s="76" t="s">
        <v>48</v>
      </c>
      <c r="B47" s="81">
        <f>тепло!B43+' ВС'!C47</f>
        <v>17.018000000000001</v>
      </c>
      <c r="C47" s="81">
        <f t="shared" si="3"/>
        <v>-1.0180000000000007</v>
      </c>
      <c r="D47" s="81">
        <f>тепло!D43+' ВС'!E47</f>
        <v>16</v>
      </c>
      <c r="E47" s="78">
        <f>тепло!E43+' ВС'!F47</f>
        <v>9</v>
      </c>
      <c r="F47" s="81">
        <f>тепло!F43+' ВС'!G47</f>
        <v>0.75</v>
      </c>
      <c r="G47" s="81">
        <f>тепло!G43+' ВС'!H47</f>
        <v>0.75</v>
      </c>
      <c r="H47" s="81">
        <f>тепло!H43+' ВС'!I47</f>
        <v>0.75</v>
      </c>
      <c r="I47" s="78">
        <f>тепло!I43+' ВС'!J47</f>
        <v>2.25</v>
      </c>
      <c r="J47" s="81">
        <f>тепло!J43+' ВС'!K47</f>
        <v>0.75</v>
      </c>
      <c r="K47" s="81">
        <f>тепло!K43+' ВС'!L47</f>
        <v>0.75</v>
      </c>
      <c r="L47" s="81">
        <f>тепло!L43+' ВС'!M47</f>
        <v>0.75</v>
      </c>
      <c r="M47" s="78">
        <f>тепло!M43+' ВС'!N47</f>
        <v>2.25</v>
      </c>
      <c r="N47" s="78">
        <f>тепло!N43+' ВС'!O47</f>
        <v>4.5</v>
      </c>
      <c r="O47" s="81">
        <f>тепло!O43+' ВС'!P47</f>
        <v>0.75</v>
      </c>
      <c r="P47" s="81">
        <f>тепло!P43+' ВС'!Q47</f>
        <v>0.75</v>
      </c>
      <c r="Q47" s="81">
        <f>тепло!Q43+' ВС'!R47</f>
        <v>0.75</v>
      </c>
      <c r="R47" s="78">
        <f>тепло!R43+' ВС'!S47</f>
        <v>2.25</v>
      </c>
      <c r="S47" s="78">
        <f>тепло!S43+' ВС'!T47</f>
        <v>6.75</v>
      </c>
      <c r="T47" s="81">
        <f>тепло!T43+' ВС'!U47</f>
        <v>0.75</v>
      </c>
      <c r="U47" s="81">
        <f>тепло!U43+' ВС'!V47</f>
        <v>0.75</v>
      </c>
      <c r="V47" s="81">
        <f>тепло!V43+' ВС'!W47</f>
        <v>0.75</v>
      </c>
      <c r="W47" s="78">
        <f>тепло!W43+' ВС'!X47</f>
        <v>2.25</v>
      </c>
    </row>
    <row r="48" spans="1:23" ht="18.75" x14ac:dyDescent="0.25">
      <c r="A48" s="76" t="s">
        <v>49</v>
      </c>
      <c r="B48" s="81">
        <f>тепло!B44+' ВС'!C48</f>
        <v>3.9020000000000001</v>
      </c>
      <c r="C48" s="81">
        <f t="shared" si="3"/>
        <v>-3.9020000000000001</v>
      </c>
      <c r="D48" s="81">
        <f>тепло!D44+' ВС'!E48</f>
        <v>0</v>
      </c>
      <c r="E48" s="78">
        <f>тепло!E44+' ВС'!F48</f>
        <v>29.46</v>
      </c>
      <c r="F48" s="81">
        <f>тепло!F44+' ВС'!G48</f>
        <v>2.4550000000000001</v>
      </c>
      <c r="G48" s="81">
        <f>тепло!G44+' ВС'!H48</f>
        <v>2.4550000000000001</v>
      </c>
      <c r="H48" s="81">
        <f>тепло!H44+' ВС'!I48</f>
        <v>2.4550000000000001</v>
      </c>
      <c r="I48" s="78">
        <f>тепло!I44+' ВС'!J48</f>
        <v>7.3650000000000002</v>
      </c>
      <c r="J48" s="81">
        <f>тепло!J44+' ВС'!K48</f>
        <v>2.4550000000000001</v>
      </c>
      <c r="K48" s="81">
        <f>тепло!K44+' ВС'!L48</f>
        <v>2.4550000000000001</v>
      </c>
      <c r="L48" s="81">
        <f>тепло!L44+' ВС'!M48</f>
        <v>2.4550000000000001</v>
      </c>
      <c r="M48" s="78">
        <f>тепло!M44+' ВС'!N48</f>
        <v>7.3650000000000002</v>
      </c>
      <c r="N48" s="78">
        <f>тепло!N44+' ВС'!O48</f>
        <v>14.73</v>
      </c>
      <c r="O48" s="81">
        <f>тепло!O44+' ВС'!P48</f>
        <v>2.4550000000000001</v>
      </c>
      <c r="P48" s="81">
        <f>тепло!P44+' ВС'!Q48</f>
        <v>2.4550000000000001</v>
      </c>
      <c r="Q48" s="81">
        <f>тепло!Q44+' ВС'!R48</f>
        <v>2.4550000000000001</v>
      </c>
      <c r="R48" s="78">
        <f>тепло!R44+' ВС'!S48</f>
        <v>7.3650000000000002</v>
      </c>
      <c r="S48" s="78">
        <f>тепло!S44+' ВС'!T48</f>
        <v>22.094999999999999</v>
      </c>
      <c r="T48" s="81">
        <f>тепло!T44+' ВС'!U48</f>
        <v>2.4550000000000001</v>
      </c>
      <c r="U48" s="81">
        <f>тепло!U44+' ВС'!V48</f>
        <v>2.4550000000000001</v>
      </c>
      <c r="V48" s="81">
        <f>тепло!V44+' ВС'!W48</f>
        <v>2.4550000000000001</v>
      </c>
      <c r="W48" s="78">
        <f>тепло!W44+' ВС'!X48</f>
        <v>7.3650000000000002</v>
      </c>
    </row>
    <row r="49" spans="1:23" ht="18.75" x14ac:dyDescent="0.25">
      <c r="A49" s="76" t="s">
        <v>50</v>
      </c>
      <c r="B49" s="81">
        <f>тепло!B45+' ВС'!C49</f>
        <v>3.5089999999999999</v>
      </c>
      <c r="C49" s="81">
        <f t="shared" si="3"/>
        <v>24.341000000000001</v>
      </c>
      <c r="D49" s="81">
        <f>тепло!D45+' ВС'!E49</f>
        <v>27.85</v>
      </c>
      <c r="E49" s="81">
        <f>тепло!E45+' ВС'!F49</f>
        <v>150.90799999999999</v>
      </c>
      <c r="F49" s="81">
        <f>тепло!F45+' ВС'!G49</f>
        <v>21.978999999999999</v>
      </c>
      <c r="G49" s="81">
        <f>тепло!G45+' ВС'!H49</f>
        <v>21.978999999999999</v>
      </c>
      <c r="H49" s="81">
        <f>тепло!H45+' ВС'!I49</f>
        <v>21.978999999999999</v>
      </c>
      <c r="I49" s="81">
        <f>тепло!I45+' ВС'!J49</f>
        <v>65.936999999999998</v>
      </c>
      <c r="J49" s="81">
        <f>тепло!J45+' ВС'!K49</f>
        <v>21.978999999999999</v>
      </c>
      <c r="K49" s="81">
        <f>тепло!K45+' ВС'!L49</f>
        <v>0.75</v>
      </c>
      <c r="L49" s="81">
        <f>тепло!L45+' ВС'!M49</f>
        <v>0.75</v>
      </c>
      <c r="M49" s="81">
        <f>тепло!M45+' ВС'!N49</f>
        <v>23.478999999999999</v>
      </c>
      <c r="N49" s="81">
        <f>тепло!N45+' ВС'!O49</f>
        <v>89.415999999999997</v>
      </c>
      <c r="O49" s="81">
        <f>тепло!O45+' ВС'!P49</f>
        <v>0.75</v>
      </c>
      <c r="P49" s="81">
        <f>тепло!P45+' ВС'!Q49</f>
        <v>0.75</v>
      </c>
      <c r="Q49" s="81">
        <f>тепло!Q45+' ВС'!R49</f>
        <v>0.75</v>
      </c>
      <c r="R49" s="81">
        <f>тепло!R45+' ВС'!S49</f>
        <v>2.25</v>
      </c>
      <c r="S49" s="81">
        <f>тепло!S45+' ВС'!T49</f>
        <v>91.665999999999997</v>
      </c>
      <c r="T49" s="81">
        <f>тепло!T45+' ВС'!U49</f>
        <v>15.284000000000001</v>
      </c>
      <c r="U49" s="81">
        <f>тепло!U45+' ВС'!V49</f>
        <v>21.978999999999999</v>
      </c>
      <c r="V49" s="81">
        <f>тепло!V45+' ВС'!W49</f>
        <v>21.978999999999999</v>
      </c>
      <c r="W49" s="81">
        <f>тепло!W45+' ВС'!X49</f>
        <v>59.241999999999997</v>
      </c>
    </row>
    <row r="50" spans="1:23" ht="19.5" x14ac:dyDescent="0.25">
      <c r="A50" s="79" t="s">
        <v>51</v>
      </c>
      <c r="B50" s="84">
        <f>тепло!B48+' ВС'!C50</f>
        <v>0</v>
      </c>
      <c r="C50" s="80">
        <f t="shared" si="3"/>
        <v>0</v>
      </c>
      <c r="D50" s="81">
        <f>тепло!D46+' ВС'!E50</f>
        <v>0</v>
      </c>
      <c r="E50" s="78">
        <f>тепло!E46+' ВС'!F50</f>
        <v>0</v>
      </c>
      <c r="F50" s="81">
        <f>тепло!F46+' ВС'!G50</f>
        <v>0</v>
      </c>
      <c r="G50" s="81">
        <f>тепло!G46+' ВС'!H50</f>
        <v>0</v>
      </c>
      <c r="H50" s="81">
        <f>тепло!H46+' ВС'!I50</f>
        <v>0</v>
      </c>
      <c r="I50" s="78">
        <f>тепло!I46+' ВС'!J50</f>
        <v>0</v>
      </c>
      <c r="J50" s="81">
        <f>тепло!J46+' ВС'!K50</f>
        <v>0</v>
      </c>
      <c r="K50" s="81">
        <f>тепло!K46+' ВС'!L50</f>
        <v>0</v>
      </c>
      <c r="L50" s="81">
        <f>тепло!L46+' ВС'!M50</f>
        <v>0</v>
      </c>
      <c r="M50" s="78">
        <f>тепло!M46+' ВС'!N50</f>
        <v>0</v>
      </c>
      <c r="N50" s="78">
        <f>тепло!N46+' ВС'!O50</f>
        <v>0</v>
      </c>
      <c r="O50" s="81">
        <f>тепло!O46+' ВС'!P50</f>
        <v>0</v>
      </c>
      <c r="P50" s="81">
        <f>тепло!P46+' ВС'!Q50</f>
        <v>0</v>
      </c>
      <c r="Q50" s="81">
        <f>тепло!Q46+' ВС'!R50</f>
        <v>0</v>
      </c>
      <c r="R50" s="78">
        <f>тепло!R46+' ВС'!S50</f>
        <v>0</v>
      </c>
      <c r="S50" s="78">
        <f>тепло!S46+' ВС'!T50</f>
        <v>0</v>
      </c>
      <c r="T50" s="81">
        <f>тепло!T46+' ВС'!U50</f>
        <v>0</v>
      </c>
      <c r="U50" s="81">
        <f>тепло!U46+' ВС'!V50</f>
        <v>0</v>
      </c>
      <c r="V50" s="81">
        <f>тепло!V46+' ВС'!W50</f>
        <v>0</v>
      </c>
      <c r="W50" s="78">
        <f>тепло!W46+' ВС'!X50</f>
        <v>0</v>
      </c>
    </row>
    <row r="51" spans="1:23" ht="37.5" x14ac:dyDescent="0.25">
      <c r="A51" s="79" t="s">
        <v>88</v>
      </c>
      <c r="B51" s="84">
        <f>тепло!B47+' ВС'!C51</f>
        <v>49.132000000000005</v>
      </c>
      <c r="C51" s="80">
        <f t="shared" si="3"/>
        <v>-14.132000000000005</v>
      </c>
      <c r="D51" s="81">
        <f>тепло!D47+' ВС'!E51</f>
        <v>35</v>
      </c>
      <c r="E51" s="78">
        <f>тепло!E47+' ВС'!F51</f>
        <v>21.96</v>
      </c>
      <c r="F51" s="81">
        <f>тепло!F47+' ВС'!G51</f>
        <v>1.83</v>
      </c>
      <c r="G51" s="81">
        <f>тепло!G47+' ВС'!H51</f>
        <v>1.83</v>
      </c>
      <c r="H51" s="81">
        <f>тепло!H47+' ВС'!I51</f>
        <v>1.83</v>
      </c>
      <c r="I51" s="78">
        <f>тепло!I47+' ВС'!J51</f>
        <v>5.49</v>
      </c>
      <c r="J51" s="81">
        <f>тепло!J47+' ВС'!K51</f>
        <v>1.83</v>
      </c>
      <c r="K51" s="81">
        <f>тепло!K47+' ВС'!L51</f>
        <v>1.83</v>
      </c>
      <c r="L51" s="81">
        <f>тепло!L47+' ВС'!M51</f>
        <v>1.83</v>
      </c>
      <c r="M51" s="78">
        <f>тепло!M47+' ВС'!N51</f>
        <v>5.49</v>
      </c>
      <c r="N51" s="78">
        <f>тепло!N47+' ВС'!O51</f>
        <v>10.98</v>
      </c>
      <c r="O51" s="81">
        <f>тепло!O47+' ВС'!P51</f>
        <v>1.83</v>
      </c>
      <c r="P51" s="81">
        <f>тепло!P47+' ВС'!Q51</f>
        <v>1.83</v>
      </c>
      <c r="Q51" s="81">
        <f>тепло!Q47+' ВС'!R51</f>
        <v>1.83</v>
      </c>
      <c r="R51" s="78">
        <f>тепло!R47+' ВС'!S51</f>
        <v>5.49</v>
      </c>
      <c r="S51" s="78">
        <f>тепло!S47+' ВС'!T51</f>
        <v>16.47</v>
      </c>
      <c r="T51" s="81">
        <f>тепло!T47+' ВС'!U51</f>
        <v>1.83</v>
      </c>
      <c r="U51" s="81">
        <f>тепло!U47+' ВС'!V51</f>
        <v>1.83</v>
      </c>
      <c r="V51" s="81">
        <f>тепло!V47+' ВС'!W51</f>
        <v>1.83</v>
      </c>
      <c r="W51" s="78">
        <f>тепло!W47+' ВС'!X51</f>
        <v>5.49</v>
      </c>
    </row>
    <row r="52" spans="1:23" ht="19.5" x14ac:dyDescent="0.25">
      <c r="A52" s="79" t="s">
        <v>81</v>
      </c>
      <c r="B52" s="84">
        <f>тепло!B48+' ВС'!C52</f>
        <v>198.828</v>
      </c>
      <c r="C52" s="80">
        <f t="shared" si="3"/>
        <v>1104.732</v>
      </c>
      <c r="D52" s="81">
        <f>тепло!D48+' ВС'!E52</f>
        <v>1303.56</v>
      </c>
      <c r="E52" s="78">
        <f>тепло!E48+' ВС'!F52</f>
        <v>0</v>
      </c>
      <c r="F52" s="81">
        <f>тепло!F48+' ВС'!G52</f>
        <v>0</v>
      </c>
      <c r="G52" s="81">
        <f>тепло!G48+' ВС'!H52</f>
        <v>0</v>
      </c>
      <c r="H52" s="81">
        <f>тепло!H48+' ВС'!I52</f>
        <v>0</v>
      </c>
      <c r="I52" s="78">
        <f>тепло!I48+' ВС'!J52</f>
        <v>0</v>
      </c>
      <c r="J52" s="81">
        <f>тепло!J48+' ВС'!K52</f>
        <v>0</v>
      </c>
      <c r="K52" s="81">
        <f>тепло!K48+' ВС'!L52</f>
        <v>0</v>
      </c>
      <c r="L52" s="81">
        <f>тепло!L48+' ВС'!M52</f>
        <v>0</v>
      </c>
      <c r="M52" s="78">
        <f>тепло!M48+' ВС'!N52</f>
        <v>0</v>
      </c>
      <c r="N52" s="78">
        <f>тепло!N48+' ВС'!O52</f>
        <v>0</v>
      </c>
      <c r="O52" s="81">
        <f>тепло!O48+' ВС'!P52</f>
        <v>0</v>
      </c>
      <c r="P52" s="81">
        <f>тепло!P48+' ВС'!Q52</f>
        <v>0</v>
      </c>
      <c r="Q52" s="81">
        <f>тепло!Q48+' ВС'!R52</f>
        <v>0</v>
      </c>
      <c r="R52" s="78">
        <f>тепло!R48+' ВС'!S52</f>
        <v>0</v>
      </c>
      <c r="S52" s="78">
        <f>тепло!S48+' ВС'!T52</f>
        <v>0</v>
      </c>
      <c r="T52" s="81">
        <f>тепло!T48+' ВС'!U52</f>
        <v>0</v>
      </c>
      <c r="U52" s="81">
        <f>тепло!U48+' ВС'!V52</f>
        <v>0</v>
      </c>
      <c r="V52" s="81">
        <f>тепло!V48+' ВС'!W52</f>
        <v>0</v>
      </c>
      <c r="W52" s="78">
        <f>тепло!W48+' ВС'!X52</f>
        <v>0</v>
      </c>
    </row>
    <row r="53" spans="1:23" ht="18.75" x14ac:dyDescent="0.25">
      <c r="A53" s="79" t="s">
        <v>52</v>
      </c>
      <c r="B53" s="78">
        <f>тепло!B51+' ВС'!C53</f>
        <v>461.45</v>
      </c>
      <c r="C53" s="81">
        <f t="shared" si="3"/>
        <v>-449.45</v>
      </c>
      <c r="D53" s="81">
        <f>тепло!D49+' ВС'!E53</f>
        <v>12</v>
      </c>
      <c r="E53" s="78">
        <f>тепло!E49+' ВС'!F53</f>
        <v>68.814999999999998</v>
      </c>
      <c r="F53" s="81">
        <f>тепло!F49+' ВС'!G53</f>
        <v>10.324</v>
      </c>
      <c r="G53" s="81">
        <f>тепло!G49+' ВС'!H53</f>
        <v>10.324</v>
      </c>
      <c r="H53" s="81">
        <f>тепло!H49+' ВС'!I53</f>
        <v>10.324</v>
      </c>
      <c r="I53" s="78">
        <f>тепло!I49+' ВС'!J53</f>
        <v>30.972000000000001</v>
      </c>
      <c r="J53" s="81">
        <f>тепло!J49+' ВС'!K53</f>
        <v>10.324</v>
      </c>
      <c r="K53" s="81">
        <f>тепло!K49+' ВС'!L53</f>
        <v>0.188</v>
      </c>
      <c r="L53" s="81">
        <f>тепло!L49+' ВС'!M53</f>
        <v>0.188</v>
      </c>
      <c r="M53" s="78">
        <f>тепло!M49+' ВС'!N53</f>
        <v>10.700000000000001</v>
      </c>
      <c r="N53" s="78">
        <f>тепло!N49+' ВС'!O53</f>
        <v>41.672000000000004</v>
      </c>
      <c r="O53" s="81">
        <f>тепло!O49+' ВС'!P53</f>
        <v>0.188</v>
      </c>
      <c r="P53" s="81">
        <f>тепло!P49+' ВС'!Q53</f>
        <v>0.188</v>
      </c>
      <c r="Q53" s="81">
        <f>тепло!Q49+' ВС'!R53</f>
        <v>0.188</v>
      </c>
      <c r="R53" s="78">
        <f>тепло!R49+' ВС'!S53</f>
        <v>0.56400000000000006</v>
      </c>
      <c r="S53" s="78">
        <f>тепло!S49+' ВС'!T53</f>
        <v>42.236000000000004</v>
      </c>
      <c r="T53" s="81">
        <f>тепло!T49+' ВС'!U53</f>
        <v>5.931</v>
      </c>
      <c r="U53" s="81">
        <f>тепло!U49+' ВС'!V53</f>
        <v>10.324</v>
      </c>
      <c r="V53" s="81">
        <f>тепло!V49+' ВС'!W53</f>
        <v>10.324</v>
      </c>
      <c r="W53" s="78">
        <f>тепло!W49+' ВС'!X53</f>
        <v>26.579000000000001</v>
      </c>
    </row>
    <row r="54" spans="1:23" ht="18.75" x14ac:dyDescent="0.25">
      <c r="A54" s="76" t="s">
        <v>53</v>
      </c>
      <c r="B54" s="81">
        <f>тепло!B50+' ВС'!C54</f>
        <v>0</v>
      </c>
      <c r="C54" s="81">
        <f t="shared" si="3"/>
        <v>0</v>
      </c>
      <c r="D54" s="81">
        <f>тепло!D50+' ВС'!E54</f>
        <v>0</v>
      </c>
      <c r="E54" s="78">
        <f>тепло!E50+' ВС'!F54</f>
        <v>0</v>
      </c>
      <c r="F54" s="81">
        <f>тепло!F50+' ВС'!G54</f>
        <v>0</v>
      </c>
      <c r="G54" s="81">
        <f>тепло!G50+' ВС'!H54</f>
        <v>0</v>
      </c>
      <c r="H54" s="81">
        <f>тепло!H50+' ВС'!I54</f>
        <v>0</v>
      </c>
      <c r="I54" s="78">
        <f>тепло!I50+' ВС'!J54</f>
        <v>0</v>
      </c>
      <c r="J54" s="81">
        <f>тепло!J50+' ВС'!K54</f>
        <v>0</v>
      </c>
      <c r="K54" s="81">
        <f>тепло!K50+' ВС'!L54</f>
        <v>0</v>
      </c>
      <c r="L54" s="81">
        <f>тепло!L50+' ВС'!M54</f>
        <v>0</v>
      </c>
      <c r="M54" s="78">
        <f>тепло!M50+' ВС'!N54</f>
        <v>0</v>
      </c>
      <c r="N54" s="78">
        <f>тепло!N50+' ВС'!O54</f>
        <v>0</v>
      </c>
      <c r="O54" s="81">
        <f>тепло!O50+' ВС'!P54</f>
        <v>0</v>
      </c>
      <c r="P54" s="81">
        <f>тепло!P50+' ВС'!Q54</f>
        <v>0</v>
      </c>
      <c r="Q54" s="81">
        <f>тепло!Q50+' ВС'!R54</f>
        <v>0</v>
      </c>
      <c r="R54" s="78">
        <f>тепло!R50+' ВС'!S54</f>
        <v>0</v>
      </c>
      <c r="S54" s="78">
        <f>тепло!S50+' ВС'!T54</f>
        <v>0</v>
      </c>
      <c r="T54" s="81">
        <f>тепло!T50+' ВС'!U54</f>
        <v>0</v>
      </c>
      <c r="U54" s="81">
        <f>тепло!U50+' ВС'!V54</f>
        <v>0</v>
      </c>
      <c r="V54" s="81">
        <f>тепло!V50+' ВС'!W54</f>
        <v>0</v>
      </c>
      <c r="W54" s="78">
        <f>тепло!W50+' ВС'!X54</f>
        <v>0</v>
      </c>
    </row>
    <row r="55" spans="1:23" ht="18.75" x14ac:dyDescent="0.25">
      <c r="A55" s="76" t="s">
        <v>86</v>
      </c>
      <c r="B55" s="81">
        <f>тепло!B51+' ВС'!C55</f>
        <v>133.96799999999999</v>
      </c>
      <c r="C55" s="81">
        <f t="shared" si="3"/>
        <v>-133.96799999999999</v>
      </c>
      <c r="D55" s="81">
        <f>тепло!D51+' ВС'!E55</f>
        <v>0</v>
      </c>
      <c r="E55" s="78">
        <f>тепло!E51+' ВС'!F55</f>
        <v>66.558999999999997</v>
      </c>
      <c r="F55" s="81">
        <f>тепло!F51+' ВС'!G55</f>
        <v>10.135999999999999</v>
      </c>
      <c r="G55" s="81">
        <f>тепло!G51+' ВС'!H55</f>
        <v>10.135999999999999</v>
      </c>
      <c r="H55" s="81">
        <f>тепло!H51+' ВС'!I55</f>
        <v>10.135999999999999</v>
      </c>
      <c r="I55" s="78">
        <f>тепло!I51+' ВС'!J55</f>
        <v>30.407999999999998</v>
      </c>
      <c r="J55" s="81">
        <f>тепло!J51+' ВС'!K55</f>
        <v>10.135999999999999</v>
      </c>
      <c r="K55" s="81">
        <f>тепло!K51+' ВС'!L55</f>
        <v>0</v>
      </c>
      <c r="L55" s="81">
        <f>тепло!L51+' ВС'!M55</f>
        <v>0</v>
      </c>
      <c r="M55" s="78">
        <f>тепло!M51+' ВС'!N55</f>
        <v>10.135999999999999</v>
      </c>
      <c r="N55" s="78">
        <f>тепло!N51+' ВС'!O55</f>
        <v>40.543999999999997</v>
      </c>
      <c r="O55" s="81">
        <f>тепло!O51+' ВС'!P55</f>
        <v>0</v>
      </c>
      <c r="P55" s="81">
        <f>тепло!P51+' ВС'!Q55</f>
        <v>0</v>
      </c>
      <c r="Q55" s="81">
        <f>тепло!Q51+' ВС'!R55</f>
        <v>0</v>
      </c>
      <c r="R55" s="78">
        <f>тепло!R51+' ВС'!S55</f>
        <v>0</v>
      </c>
      <c r="S55" s="78">
        <f>тепло!S51+' ВС'!T55</f>
        <v>40.543999999999997</v>
      </c>
      <c r="T55" s="81">
        <f>тепло!T51+' ВС'!U55</f>
        <v>5.7430000000000003</v>
      </c>
      <c r="U55" s="81">
        <f>тепло!U51+' ВС'!V55</f>
        <v>10.135999999999999</v>
      </c>
      <c r="V55" s="81">
        <f>тепло!V51+' ВС'!W55</f>
        <v>10.135999999999999</v>
      </c>
      <c r="W55" s="78">
        <f>тепло!W51+' ВС'!X55</f>
        <v>26.015000000000001</v>
      </c>
    </row>
    <row r="56" spans="1:23" ht="18.75" x14ac:dyDescent="0.25">
      <c r="A56" s="76" t="s">
        <v>89</v>
      </c>
      <c r="B56" s="81">
        <f>тепло!B52+' ВС'!C56</f>
        <v>12.11</v>
      </c>
      <c r="C56" s="81">
        <f t="shared" si="3"/>
        <v>-0.10999999999999943</v>
      </c>
      <c r="D56" s="81">
        <f>тепло!D52+' ВС'!E56</f>
        <v>12</v>
      </c>
      <c r="E56" s="78">
        <f>тепло!E52+' ВС'!F56</f>
        <v>2.2560000000000002</v>
      </c>
      <c r="F56" s="81">
        <f>тепло!F52+' ВС'!G56</f>
        <v>0.188</v>
      </c>
      <c r="G56" s="81">
        <f>тепло!G52+' ВС'!H56</f>
        <v>0.188</v>
      </c>
      <c r="H56" s="81">
        <f>тепло!H52+' ВС'!I56</f>
        <v>0.188</v>
      </c>
      <c r="I56" s="78">
        <f>тепло!I52+' ВС'!J56</f>
        <v>0.56400000000000006</v>
      </c>
      <c r="J56" s="81">
        <f>тепло!J52+' ВС'!K56</f>
        <v>0.188</v>
      </c>
      <c r="K56" s="81">
        <f>тепло!K52+' ВС'!L56</f>
        <v>0.188</v>
      </c>
      <c r="L56" s="81">
        <f>тепло!L52+' ВС'!M56</f>
        <v>0.188</v>
      </c>
      <c r="M56" s="78">
        <f>тепло!M52+' ВС'!N56</f>
        <v>0.56400000000000006</v>
      </c>
      <c r="N56" s="78">
        <f>тепло!N52+' ВС'!O56</f>
        <v>1.1280000000000001</v>
      </c>
      <c r="O56" s="81">
        <f>тепло!O52+' ВС'!P56</f>
        <v>0.188</v>
      </c>
      <c r="P56" s="81">
        <f>тепло!P52+' ВС'!Q56</f>
        <v>0.188</v>
      </c>
      <c r="Q56" s="81">
        <f>тепло!Q52+' ВС'!R56</f>
        <v>0.188</v>
      </c>
      <c r="R56" s="78">
        <f>тепло!R52+' ВС'!S56</f>
        <v>0.56400000000000006</v>
      </c>
      <c r="S56" s="78">
        <f>тепло!S52+' ВС'!T56</f>
        <v>1.6920000000000002</v>
      </c>
      <c r="T56" s="81">
        <f>тепло!T52+' ВС'!U56</f>
        <v>0.188</v>
      </c>
      <c r="U56" s="81">
        <f>тепло!U52+' ВС'!V56</f>
        <v>0.188</v>
      </c>
      <c r="V56" s="81">
        <f>тепло!V52+' ВС'!W56</f>
        <v>0.188</v>
      </c>
      <c r="W56" s="78">
        <f>тепло!W52+' ВС'!X56</f>
        <v>0.56400000000000006</v>
      </c>
    </row>
    <row r="57" spans="1:23" ht="18.75" x14ac:dyDescent="0.25">
      <c r="A57" s="79" t="s">
        <v>87</v>
      </c>
      <c r="B57" s="80">
        <f>тепло!B53+' ВС'!C57</f>
        <v>315.37200000000001</v>
      </c>
      <c r="C57" s="80">
        <f t="shared" si="3"/>
        <v>-220.37200000000001</v>
      </c>
      <c r="D57" s="81">
        <f>тепло!D53+' ВС'!E57</f>
        <v>95</v>
      </c>
      <c r="E57" s="78">
        <f>тепло!E53+' ВС'!F57</f>
        <v>52.024999999999999</v>
      </c>
      <c r="F57" s="81">
        <f>тепло!F53+' ВС'!G57</f>
        <v>7.85</v>
      </c>
      <c r="G57" s="81">
        <f>тепло!G53+' ВС'!H57</f>
        <v>7.85</v>
      </c>
      <c r="H57" s="81">
        <f>тепло!H53+' ВС'!I57</f>
        <v>7.85</v>
      </c>
      <c r="I57" s="78">
        <f>тепло!I53+' ВС'!J57</f>
        <v>23.549999999999997</v>
      </c>
      <c r="J57" s="81">
        <f>тепло!J53+' ВС'!K57</f>
        <v>7.85</v>
      </c>
      <c r="K57" s="81">
        <f>тепло!K53+' ВС'!L57</f>
        <v>0</v>
      </c>
      <c r="L57" s="81">
        <f>тепло!L53+' ВС'!M57</f>
        <v>0</v>
      </c>
      <c r="M57" s="78">
        <f>тепло!M53+' ВС'!N57</f>
        <v>7.85</v>
      </c>
      <c r="N57" s="78">
        <f>тепло!N53+' ВС'!O57</f>
        <v>31.4</v>
      </c>
      <c r="O57" s="81">
        <f>тепло!O53+' ВС'!P57</f>
        <v>0</v>
      </c>
      <c r="P57" s="81">
        <f>тепло!P53+' ВС'!Q57</f>
        <v>0</v>
      </c>
      <c r="Q57" s="81">
        <f>тепло!Q53+' ВС'!R57</f>
        <v>0</v>
      </c>
      <c r="R57" s="78">
        <f>тепло!R53+' ВС'!S57</f>
        <v>0</v>
      </c>
      <c r="S57" s="78">
        <f>тепло!S53+' ВС'!T57</f>
        <v>31.4</v>
      </c>
      <c r="T57" s="81">
        <f>тепло!T53+' ВС'!U57</f>
        <v>4.9249999999999998</v>
      </c>
      <c r="U57" s="81">
        <f>тепло!U53+' ВС'!V57</f>
        <v>7.85</v>
      </c>
      <c r="V57" s="81">
        <f>тепло!V53+' ВС'!W57</f>
        <v>7.85</v>
      </c>
      <c r="W57" s="78">
        <f>тепло!W53+' ВС'!X57</f>
        <v>20.625</v>
      </c>
    </row>
    <row r="58" spans="1:23" ht="18.75" x14ac:dyDescent="0.25">
      <c r="A58" s="76" t="s">
        <v>104</v>
      </c>
      <c r="B58" s="80">
        <f>тепло!B56+' ВС'!C58</f>
        <v>0</v>
      </c>
      <c r="C58" s="80">
        <f t="shared" si="3"/>
        <v>0</v>
      </c>
      <c r="D58" s="81">
        <f>тепло!D54+' ВС'!E58</f>
        <v>0</v>
      </c>
      <c r="E58" s="78">
        <f>тепло!E54+' ВС'!F58</f>
        <v>0</v>
      </c>
      <c r="F58" s="81">
        <f>тепло!F54+' ВС'!G58</f>
        <v>0</v>
      </c>
      <c r="G58" s="81">
        <f>тепло!G54+' ВС'!H58</f>
        <v>0</v>
      </c>
      <c r="H58" s="81">
        <f>тепло!H54+' ВС'!I58</f>
        <v>0</v>
      </c>
      <c r="I58" s="78">
        <f>тепло!I54+' ВС'!J58</f>
        <v>0</v>
      </c>
      <c r="J58" s="81">
        <f>тепло!J54+' ВС'!K58</f>
        <v>0</v>
      </c>
      <c r="K58" s="81">
        <f>тепло!K54+' ВС'!L58</f>
        <v>0</v>
      </c>
      <c r="L58" s="81">
        <f>тепло!L54+' ВС'!M58</f>
        <v>0</v>
      </c>
      <c r="M58" s="78">
        <f>тепло!M54+' ВС'!N58</f>
        <v>0</v>
      </c>
      <c r="N58" s="78">
        <f>тепло!N54+' ВС'!O58</f>
        <v>0</v>
      </c>
      <c r="O58" s="81">
        <f>тепло!O54+' ВС'!P58</f>
        <v>0</v>
      </c>
      <c r="P58" s="81">
        <f>тепло!P54+' ВС'!Q58</f>
        <v>0</v>
      </c>
      <c r="Q58" s="81">
        <f>тепло!Q54+' ВС'!R58</f>
        <v>0</v>
      </c>
      <c r="R58" s="78">
        <f>тепло!R54+' ВС'!S58</f>
        <v>0</v>
      </c>
      <c r="S58" s="78">
        <f>тепло!S54+' ВС'!T58</f>
        <v>0</v>
      </c>
      <c r="T58" s="81">
        <f>тепло!T54+' ВС'!U58</f>
        <v>0</v>
      </c>
      <c r="U58" s="81">
        <f>тепло!U54+' ВС'!V58</f>
        <v>0</v>
      </c>
      <c r="V58" s="81">
        <f>тепло!V54+' ВС'!W58</f>
        <v>0</v>
      </c>
      <c r="W58" s="78">
        <f>тепло!W54+' ВС'!X58</f>
        <v>0</v>
      </c>
    </row>
    <row r="59" spans="1:23" ht="18.75" x14ac:dyDescent="0.25">
      <c r="A59" s="76" t="s">
        <v>105</v>
      </c>
      <c r="B59" s="80">
        <f>тепло!B57+' ВС'!C59</f>
        <v>0</v>
      </c>
      <c r="C59" s="80">
        <f t="shared" si="3"/>
        <v>0</v>
      </c>
      <c r="D59" s="81">
        <f>тепло!D55+' ВС'!E59</f>
        <v>0</v>
      </c>
      <c r="E59" s="78">
        <f>тепло!E55+' ВС'!F59</f>
        <v>914.69631232931511</v>
      </c>
      <c r="F59" s="81">
        <f>тепло!F55+' ВС'!G59</f>
        <v>205.60096581835617</v>
      </c>
      <c r="G59" s="81">
        <f>тепло!G55+' ВС'!H59</f>
        <v>146.21752116082189</v>
      </c>
      <c r="H59" s="81">
        <f>тепло!H55+' ВС'!I59</f>
        <v>131.80666543479452</v>
      </c>
      <c r="I59" s="78">
        <f>тепло!I55+' ВС'!J59</f>
        <v>483.62515241397256</v>
      </c>
      <c r="J59" s="81">
        <f>тепло!J55+' ВС'!K59</f>
        <v>130.22326781835619</v>
      </c>
      <c r="K59" s="81">
        <f>тепло!K55+' ВС'!L59</f>
        <v>0</v>
      </c>
      <c r="L59" s="81">
        <f>тепло!L55+' ВС'!M59</f>
        <v>0</v>
      </c>
      <c r="M59" s="78">
        <f>тепло!M55+' ВС'!N59</f>
        <v>130.22326781835619</v>
      </c>
      <c r="N59" s="78">
        <f>тепло!N55+' ВС'!O59</f>
        <v>613.84842023232875</v>
      </c>
      <c r="O59" s="81">
        <f>тепло!O55+' ВС'!P59</f>
        <v>0</v>
      </c>
      <c r="P59" s="81">
        <f>тепло!P55+' ВС'!Q59</f>
        <v>0</v>
      </c>
      <c r="Q59" s="81">
        <f>тепло!Q55+' ВС'!R59</f>
        <v>0</v>
      </c>
      <c r="R59" s="78">
        <f>тепло!R55+' ВС'!S59</f>
        <v>0</v>
      </c>
      <c r="S59" s="78">
        <f>тепло!S55+' ВС'!T59</f>
        <v>613.84842023232875</v>
      </c>
      <c r="T59" s="81">
        <f>тепло!T55+' ВС'!U59</f>
        <v>50.185427008219179</v>
      </c>
      <c r="U59" s="81">
        <f>тепло!U55+' ВС'!V59</f>
        <v>106.6282101471233</v>
      </c>
      <c r="V59" s="81">
        <f>тепло!V55+' ВС'!W59</f>
        <v>144.03425494164384</v>
      </c>
      <c r="W59" s="78">
        <f>тепло!W55+' ВС'!X59</f>
        <v>300.8478920969863</v>
      </c>
    </row>
    <row r="60" spans="1:23" ht="18.75" x14ac:dyDescent="0.25">
      <c r="A60" s="79" t="s">
        <v>305</v>
      </c>
      <c r="B60" s="80">
        <f>тепло!B58+' ВС'!C60</f>
        <v>145.79000000000002</v>
      </c>
      <c r="C60" s="80">
        <f t="shared" si="3"/>
        <v>-145.79000000000002</v>
      </c>
      <c r="D60" s="81">
        <v>0</v>
      </c>
      <c r="E60" s="78">
        <v>0</v>
      </c>
      <c r="F60" s="81">
        <v>0</v>
      </c>
      <c r="G60" s="81">
        <v>0</v>
      </c>
      <c r="H60" s="81">
        <v>0</v>
      </c>
      <c r="I60" s="78">
        <v>0</v>
      </c>
      <c r="J60" s="81">
        <v>0</v>
      </c>
      <c r="K60" s="81">
        <v>0</v>
      </c>
      <c r="L60" s="81">
        <v>0</v>
      </c>
      <c r="M60" s="78">
        <v>0</v>
      </c>
      <c r="N60" s="78">
        <v>0</v>
      </c>
      <c r="O60" s="81">
        <v>0</v>
      </c>
      <c r="P60" s="81">
        <v>0</v>
      </c>
      <c r="Q60" s="81">
        <v>0</v>
      </c>
      <c r="R60" s="78">
        <v>0</v>
      </c>
      <c r="S60" s="78">
        <v>0</v>
      </c>
      <c r="T60" s="81">
        <v>0</v>
      </c>
      <c r="U60" s="81">
        <v>0</v>
      </c>
      <c r="V60" s="81">
        <v>0</v>
      </c>
      <c r="W60" s="78">
        <v>0</v>
      </c>
    </row>
    <row r="61" spans="1:23" ht="18.75" x14ac:dyDescent="0.25">
      <c r="A61" s="79"/>
      <c r="B61" s="80">
        <f>тепло!B59+' ВС'!C61</f>
        <v>0</v>
      </c>
      <c r="C61" s="80">
        <f t="shared" si="3"/>
        <v>0</v>
      </c>
      <c r="D61" s="81">
        <v>0</v>
      </c>
      <c r="E61" s="78">
        <v>0</v>
      </c>
      <c r="F61" s="81">
        <v>0</v>
      </c>
      <c r="G61" s="81">
        <v>0</v>
      </c>
      <c r="H61" s="81">
        <v>0</v>
      </c>
      <c r="I61" s="78">
        <v>0</v>
      </c>
      <c r="J61" s="81">
        <v>0</v>
      </c>
      <c r="K61" s="81">
        <v>0</v>
      </c>
      <c r="L61" s="81">
        <v>0</v>
      </c>
      <c r="M61" s="78">
        <v>0</v>
      </c>
      <c r="N61" s="78">
        <v>0</v>
      </c>
      <c r="O61" s="81">
        <v>0</v>
      </c>
      <c r="P61" s="81">
        <v>0</v>
      </c>
      <c r="Q61" s="81">
        <v>0</v>
      </c>
      <c r="R61" s="78">
        <v>0</v>
      </c>
      <c r="S61" s="78">
        <v>0</v>
      </c>
      <c r="T61" s="81">
        <v>0</v>
      </c>
      <c r="U61" s="81">
        <v>0</v>
      </c>
      <c r="V61" s="81">
        <v>0</v>
      </c>
      <c r="W61" s="78">
        <v>0</v>
      </c>
    </row>
    <row r="62" spans="1:23" ht="37.5" x14ac:dyDescent="0.25">
      <c r="A62" s="77" t="s">
        <v>54</v>
      </c>
      <c r="B62" s="81">
        <f>' ВС'!C62+тепло!B58</f>
        <v>1699.4739999999999</v>
      </c>
      <c r="C62" s="81">
        <f t="shared" si="3"/>
        <v>11.131000000000085</v>
      </c>
      <c r="D62" s="81">
        <f>' ВС'!E62+тепло!D58</f>
        <v>1710.605</v>
      </c>
      <c r="E62" s="78">
        <f>тепло!E58+' ВС'!F62</f>
        <v>746.66709999999989</v>
      </c>
      <c r="F62" s="78">
        <f>тепло!F58+' ВС'!G62</f>
        <v>77.440999999999988</v>
      </c>
      <c r="G62" s="78">
        <f>тепло!G58+' ВС'!H62</f>
        <v>77.440999999999988</v>
      </c>
      <c r="H62" s="78">
        <f>тепло!H58+' ВС'!I62</f>
        <v>82.930999999999983</v>
      </c>
      <c r="I62" s="78">
        <f>тепло!I58+' ВС'!J62</f>
        <v>237.81299999999999</v>
      </c>
      <c r="J62" s="78">
        <f>тепло!J58+' ВС'!K62</f>
        <v>77.440999999999988</v>
      </c>
      <c r="K62" s="78">
        <f>тепло!K58+' ВС'!L62</f>
        <v>43.642999999999994</v>
      </c>
      <c r="L62" s="78">
        <f>тепло!L58+' ВС'!M62</f>
        <v>43.642999999999994</v>
      </c>
      <c r="M62" s="78">
        <f>тепло!M58+' ВС'!N62</f>
        <v>164.72699999999998</v>
      </c>
      <c r="N62" s="78">
        <f>тепло!N58+' ВС'!O62</f>
        <v>402.53999999999996</v>
      </c>
      <c r="O62" s="78">
        <f>тепло!O58+' ВС'!P62</f>
        <v>43.642999999999994</v>
      </c>
      <c r="P62" s="78">
        <f>тепло!P58+' ВС'!Q62</f>
        <v>43.642999999999994</v>
      </c>
      <c r="Q62" s="78">
        <f>тепло!Q58+' ВС'!R62</f>
        <v>43.642999999999994</v>
      </c>
      <c r="R62" s="78">
        <f>тепло!R58+' ВС'!S62</f>
        <v>130.92899999999997</v>
      </c>
      <c r="S62" s="78">
        <f>тепло!S58+' ВС'!T62</f>
        <v>533.46899999999994</v>
      </c>
      <c r="T62" s="78">
        <f>тепло!T58+' ВС'!U62</f>
        <v>59.626099999999994</v>
      </c>
      <c r="U62" s="78">
        <f>тепло!U58+' ВС'!V62</f>
        <v>76.820999999999998</v>
      </c>
      <c r="V62" s="78">
        <f>тепло!V58+' ВС'!W62</f>
        <v>76.750999999999991</v>
      </c>
      <c r="W62" s="78">
        <f>тепло!W58+' ВС'!X62</f>
        <v>213.19809999999995</v>
      </c>
    </row>
    <row r="63" spans="1:23" ht="18.75" x14ac:dyDescent="0.25">
      <c r="A63" s="76" t="s">
        <v>55</v>
      </c>
      <c r="B63" s="81">
        <f>' ВС'!C63+тепло!B59</f>
        <v>0</v>
      </c>
      <c r="C63" s="81">
        <f t="shared" si="3"/>
        <v>0</v>
      </c>
      <c r="D63" s="81">
        <f>' ВС'!E63+тепло!D59</f>
        <v>0</v>
      </c>
      <c r="E63" s="78">
        <f>тепло!E59+' ВС'!F63</f>
        <v>29.241999999999997</v>
      </c>
      <c r="F63" s="81">
        <f>тепло!F59+' ВС'!G63</f>
        <v>4.4949999999999992</v>
      </c>
      <c r="G63" s="81">
        <f>тепло!G59+' ВС'!H63</f>
        <v>4.4949999999999992</v>
      </c>
      <c r="H63" s="81">
        <f>тепло!H59+' ВС'!I63</f>
        <v>4.4949999999999992</v>
      </c>
      <c r="I63" s="78">
        <f>тепло!I59+' ВС'!J63</f>
        <v>13.484999999999998</v>
      </c>
      <c r="J63" s="81">
        <f>тепло!J59+' ВС'!K63</f>
        <v>4.4949999999999992</v>
      </c>
      <c r="K63" s="81">
        <f>тепло!K59+' ВС'!L63</f>
        <v>0</v>
      </c>
      <c r="L63" s="81">
        <f>тепло!L59+' ВС'!M63</f>
        <v>0</v>
      </c>
      <c r="M63" s="78">
        <f>тепло!M59+' ВС'!N63</f>
        <v>4.4949999999999992</v>
      </c>
      <c r="N63" s="78">
        <f>тепло!N59+' ВС'!O63</f>
        <v>17.979999999999997</v>
      </c>
      <c r="O63" s="81">
        <f>тепло!O59+' ВС'!P63</f>
        <v>0</v>
      </c>
      <c r="P63" s="81">
        <f>тепло!P59+' ВС'!Q63</f>
        <v>0</v>
      </c>
      <c r="Q63" s="81">
        <f>тепло!Q59+' ВС'!R63</f>
        <v>0</v>
      </c>
      <c r="R63" s="78">
        <f>тепло!R59+' ВС'!S63</f>
        <v>0</v>
      </c>
      <c r="S63" s="78">
        <f>тепло!S59+' ВС'!T63</f>
        <v>17.979999999999997</v>
      </c>
      <c r="T63" s="81">
        <f>тепло!T59+' ВС'!U63</f>
        <v>2.2720000000000002</v>
      </c>
      <c r="U63" s="81">
        <f>тепло!U59+' ВС'!V63</f>
        <v>4.4949999999999992</v>
      </c>
      <c r="V63" s="81">
        <f>тепло!V59+' ВС'!W63</f>
        <v>4.4949999999999992</v>
      </c>
      <c r="W63" s="78">
        <f>тепло!W59+' ВС'!X63</f>
        <v>11.261999999999999</v>
      </c>
    </row>
    <row r="64" spans="1:23" ht="37.5" x14ac:dyDescent="0.25">
      <c r="A64" s="76" t="s">
        <v>56</v>
      </c>
      <c r="B64" s="81">
        <f>' ВС'!C64+тепло!B60</f>
        <v>-11.21</v>
      </c>
      <c r="C64" s="81">
        <f t="shared" si="3"/>
        <v>11.21</v>
      </c>
      <c r="D64" s="81">
        <f>' ВС'!E64+тепло!D60</f>
        <v>0</v>
      </c>
      <c r="E64" s="78">
        <f>тепло!E60+' ВС'!F64</f>
        <v>7.3881999999999994</v>
      </c>
      <c r="F64" s="81">
        <f>тепло!F60+' ВС'!G64</f>
        <v>0.82699999999999996</v>
      </c>
      <c r="G64" s="81">
        <f>тепло!G60+' ВС'!H64</f>
        <v>0.82699999999999996</v>
      </c>
      <c r="H64" s="81">
        <f>тепло!H60+' ВС'!I64</f>
        <v>0.82699999999999996</v>
      </c>
      <c r="I64" s="78">
        <f t="shared" si="5"/>
        <v>2.4809999999999999</v>
      </c>
      <c r="J64" s="81">
        <f>тепло!J60+' ВС'!K64</f>
        <v>0.82699999999999996</v>
      </c>
      <c r="K64" s="81">
        <f>тепло!K60+' ВС'!L64</f>
        <v>0.36599999999999999</v>
      </c>
      <c r="L64" s="81">
        <f>тепло!L60+' ВС'!M64</f>
        <v>0.36599999999999999</v>
      </c>
      <c r="M64" s="78">
        <f t="shared" si="6"/>
        <v>1.5590000000000002</v>
      </c>
      <c r="N64" s="78">
        <f t="shared" si="7"/>
        <v>4.04</v>
      </c>
      <c r="O64" s="81">
        <f>тепло!O60+' ВС'!P64</f>
        <v>0.36599999999999999</v>
      </c>
      <c r="P64" s="81">
        <f>тепло!P60+' ВС'!Q64</f>
        <v>0.36599999999999999</v>
      </c>
      <c r="Q64" s="81">
        <f>тепло!Q60+' ВС'!R64</f>
        <v>0.36599999999999999</v>
      </c>
      <c r="R64" s="78">
        <f t="shared" si="8"/>
        <v>1.0979999999999999</v>
      </c>
      <c r="S64" s="78">
        <f t="shared" si="9"/>
        <v>5.1379999999999999</v>
      </c>
      <c r="T64" s="81">
        <f>тепло!T60+' ВС'!U64</f>
        <v>0.59619999999999995</v>
      </c>
      <c r="U64" s="81">
        <f>тепло!U60+' ВС'!V64</f>
        <v>0.82699999999999996</v>
      </c>
      <c r="V64" s="81">
        <f>тепло!V60+' ВС'!W64</f>
        <v>0.82699999999999996</v>
      </c>
      <c r="W64" s="78">
        <f t="shared" si="10"/>
        <v>2.2502</v>
      </c>
    </row>
    <row r="65" spans="1:23" ht="37.5" x14ac:dyDescent="0.25">
      <c r="A65" s="76" t="s">
        <v>57</v>
      </c>
      <c r="B65" s="81">
        <f>' ВС'!C65+тепло!B61</f>
        <v>-8.1730000000000018</v>
      </c>
      <c r="C65" s="81">
        <f t="shared" si="3"/>
        <v>53.573</v>
      </c>
      <c r="D65" s="81">
        <f>' ВС'!E65+тепло!D61</f>
        <v>45.4</v>
      </c>
      <c r="E65" s="78">
        <f>тепло!E61+' ВС'!F65</f>
        <v>11.004000000000001</v>
      </c>
      <c r="F65" s="81">
        <f>тепло!F61+' ВС'!G65</f>
        <v>0.91700000000000004</v>
      </c>
      <c r="G65" s="81">
        <f>тепло!G61+' ВС'!H65</f>
        <v>0.91700000000000004</v>
      </c>
      <c r="H65" s="81">
        <f>тепло!H61+' ВС'!I65</f>
        <v>0.91700000000000004</v>
      </c>
      <c r="I65" s="78">
        <f>тепло!I61+' ВС'!J65</f>
        <v>2.7510000000000003</v>
      </c>
      <c r="J65" s="81">
        <f>тепло!J61+' ВС'!K65</f>
        <v>0.91700000000000004</v>
      </c>
      <c r="K65" s="81">
        <f>тепло!K61+' ВС'!L65</f>
        <v>0.91700000000000004</v>
      </c>
      <c r="L65" s="81">
        <f>тепло!L61+' ВС'!M65</f>
        <v>0.91700000000000004</v>
      </c>
      <c r="M65" s="78">
        <f>тепло!M61+' ВС'!N65</f>
        <v>2.7510000000000003</v>
      </c>
      <c r="N65" s="78">
        <f>тепло!N61+' ВС'!O65</f>
        <v>5.5020000000000007</v>
      </c>
      <c r="O65" s="81">
        <f>тепло!O61+' ВС'!P65</f>
        <v>0.91700000000000004</v>
      </c>
      <c r="P65" s="81">
        <f>тепло!P61+' ВС'!Q65</f>
        <v>0.91700000000000004</v>
      </c>
      <c r="Q65" s="81">
        <f>тепло!Q61+' ВС'!R65</f>
        <v>0.91700000000000004</v>
      </c>
      <c r="R65" s="78">
        <f>тепло!R61+' ВС'!S65</f>
        <v>2.7510000000000003</v>
      </c>
      <c r="S65" s="78">
        <f>тепло!S61+' ВС'!T65</f>
        <v>8.2530000000000001</v>
      </c>
      <c r="T65" s="81">
        <f>тепло!T61+' ВС'!U65</f>
        <v>0.91700000000000004</v>
      </c>
      <c r="U65" s="81">
        <f>тепло!U61+' ВС'!V65</f>
        <v>0.91700000000000004</v>
      </c>
      <c r="V65" s="81">
        <f>тепло!V61+' ВС'!W65</f>
        <v>0.91700000000000004</v>
      </c>
      <c r="W65" s="78">
        <f>тепло!W61+' ВС'!X65</f>
        <v>2.7510000000000003</v>
      </c>
    </row>
    <row r="66" spans="1:23" ht="18.75" x14ac:dyDescent="0.25">
      <c r="A66" s="76" t="s">
        <v>58</v>
      </c>
      <c r="B66" s="81">
        <f>' ВС'!C66+тепло!B62</f>
        <v>48.05</v>
      </c>
      <c r="C66" s="81">
        <f t="shared" si="3"/>
        <v>44.350000000000009</v>
      </c>
      <c r="D66" s="81">
        <f>' ВС'!E66+тепло!D62</f>
        <v>92.4</v>
      </c>
      <c r="E66" s="78">
        <f>тепло!E62+' ВС'!F66</f>
        <v>7.5</v>
      </c>
      <c r="F66" s="81">
        <f>тепло!F62+' ВС'!G66</f>
        <v>0.625</v>
      </c>
      <c r="G66" s="81">
        <f>тепло!G62+' ВС'!H66</f>
        <v>0.625</v>
      </c>
      <c r="H66" s="81">
        <f>тепло!H62+' ВС'!I66</f>
        <v>0.625</v>
      </c>
      <c r="I66" s="78">
        <f>тепло!I62+' ВС'!J66</f>
        <v>1.875</v>
      </c>
      <c r="J66" s="81">
        <f>тепло!J62+' ВС'!K66</f>
        <v>0.625</v>
      </c>
      <c r="K66" s="81">
        <f>тепло!K62+' ВС'!L66</f>
        <v>0.625</v>
      </c>
      <c r="L66" s="81">
        <f>тепло!L62+' ВС'!M66</f>
        <v>0.625</v>
      </c>
      <c r="M66" s="78">
        <f>тепло!M62+' ВС'!N66</f>
        <v>1.875</v>
      </c>
      <c r="N66" s="78">
        <f>тепло!N62+' ВС'!O66</f>
        <v>3.75</v>
      </c>
      <c r="O66" s="81">
        <f>тепло!O62+' ВС'!P66</f>
        <v>0.625</v>
      </c>
      <c r="P66" s="81">
        <f>тепло!P62+' ВС'!Q66</f>
        <v>0.625</v>
      </c>
      <c r="Q66" s="81">
        <f>тепло!Q62+' ВС'!R66</f>
        <v>0.625</v>
      </c>
      <c r="R66" s="78">
        <f>тепло!R62+' ВС'!S66</f>
        <v>1.875</v>
      </c>
      <c r="S66" s="78">
        <f>тепло!S62+' ВС'!T66</f>
        <v>5.625</v>
      </c>
      <c r="T66" s="81">
        <f>тепло!T62+' ВС'!U66</f>
        <v>0.625</v>
      </c>
      <c r="U66" s="81">
        <f>тепло!U62+' ВС'!V66</f>
        <v>0.625</v>
      </c>
      <c r="V66" s="81">
        <f>тепло!V62+' ВС'!W66</f>
        <v>0.625</v>
      </c>
      <c r="W66" s="78">
        <f>тепло!W62+' ВС'!X66</f>
        <v>1.875</v>
      </c>
    </row>
    <row r="67" spans="1:23" ht="18.75" x14ac:dyDescent="0.25">
      <c r="A67" s="76" t="s">
        <v>59</v>
      </c>
      <c r="B67" s="81">
        <f>' ВС'!C67+тепло!B63</f>
        <v>47.89</v>
      </c>
      <c r="C67" s="81">
        <f t="shared" si="3"/>
        <v>13.549999999999997</v>
      </c>
      <c r="D67" s="81">
        <f>' ВС'!E67+тепло!D63</f>
        <v>61.44</v>
      </c>
      <c r="E67" s="78">
        <f>тепло!E63+' ВС'!F67</f>
        <v>8.1840000000000011</v>
      </c>
      <c r="F67" s="81">
        <f>тепло!F63+' ВС'!G67</f>
        <v>0.68200000000000005</v>
      </c>
      <c r="G67" s="81">
        <f>тепло!G63+' ВС'!H67</f>
        <v>0.68200000000000005</v>
      </c>
      <c r="H67" s="81">
        <f>тепло!H63+' ВС'!I67</f>
        <v>0.68200000000000005</v>
      </c>
      <c r="I67" s="78">
        <f>тепло!I63+' ВС'!J67</f>
        <v>2.0460000000000003</v>
      </c>
      <c r="J67" s="81">
        <f>тепло!J63+' ВС'!K67</f>
        <v>0.68200000000000005</v>
      </c>
      <c r="K67" s="81">
        <f>тепло!K63+' ВС'!L67</f>
        <v>0.68200000000000005</v>
      </c>
      <c r="L67" s="81">
        <f>тепло!L63+' ВС'!M67</f>
        <v>0.68200000000000005</v>
      </c>
      <c r="M67" s="78">
        <f>тепло!M63+' ВС'!N67</f>
        <v>2.0460000000000003</v>
      </c>
      <c r="N67" s="78">
        <f>тепло!N63+' ВС'!O67</f>
        <v>4.0920000000000005</v>
      </c>
      <c r="O67" s="81">
        <f>тепло!O63+' ВС'!P67</f>
        <v>0.68200000000000005</v>
      </c>
      <c r="P67" s="81">
        <f>тепло!P63+' ВС'!Q67</f>
        <v>0.68200000000000005</v>
      </c>
      <c r="Q67" s="81">
        <f>тепло!Q63+' ВС'!R67</f>
        <v>0.68200000000000005</v>
      </c>
      <c r="R67" s="78">
        <f>тепло!R63+' ВС'!S67</f>
        <v>2.0460000000000003</v>
      </c>
      <c r="S67" s="78">
        <f>тепло!S63+' ВС'!T67</f>
        <v>6.1380000000000008</v>
      </c>
      <c r="T67" s="81">
        <f>тепло!T63+' ВС'!U67</f>
        <v>0.68200000000000005</v>
      </c>
      <c r="U67" s="81">
        <f>тепло!U63+' ВС'!V67</f>
        <v>0.68200000000000005</v>
      </c>
      <c r="V67" s="81">
        <f>тепло!V63+' ВС'!W67</f>
        <v>0.68200000000000005</v>
      </c>
      <c r="W67" s="78">
        <f>тепло!W63+' ВС'!X67</f>
        <v>2.0460000000000003</v>
      </c>
    </row>
    <row r="68" spans="1:23" ht="18.75" x14ac:dyDescent="0.25">
      <c r="A68" s="76" t="s">
        <v>60</v>
      </c>
      <c r="B68" s="81">
        <f>' ВС'!C68+тепло!B64</f>
        <v>175.49</v>
      </c>
      <c r="C68" s="81">
        <f t="shared" si="3"/>
        <v>157.90999999999997</v>
      </c>
      <c r="D68" s="81">
        <f>' ВС'!E68+тепло!D64</f>
        <v>333.4</v>
      </c>
      <c r="E68" s="78">
        <f>тепло!E64+' ВС'!F68</f>
        <v>101.209</v>
      </c>
      <c r="F68" s="81">
        <f>тепло!F64+' ВС'!G68</f>
        <v>11.45</v>
      </c>
      <c r="G68" s="81">
        <f>тепло!G64+' ВС'!H68</f>
        <v>11.45</v>
      </c>
      <c r="H68" s="81">
        <f>тепло!H64+' ВС'!I68</f>
        <v>11.45</v>
      </c>
      <c r="I68" s="78">
        <f>тепло!I64+' ВС'!J68</f>
        <v>34.35</v>
      </c>
      <c r="J68" s="81">
        <f>тепло!J64+' ВС'!K68</f>
        <v>11.45</v>
      </c>
      <c r="K68" s="81">
        <f>тепло!K64+' ВС'!L68</f>
        <v>4.87</v>
      </c>
      <c r="L68" s="81">
        <f>тепло!L64+' ВС'!M68</f>
        <v>4.87</v>
      </c>
      <c r="M68" s="78">
        <f>тепло!M64+' ВС'!N68</f>
        <v>21.189999999999998</v>
      </c>
      <c r="N68" s="78">
        <f>тепло!N64+' ВС'!O68</f>
        <v>55.54</v>
      </c>
      <c r="O68" s="81">
        <f>тепло!O64+' ВС'!P68</f>
        <v>4.87</v>
      </c>
      <c r="P68" s="81">
        <f>тепло!P64+' ВС'!Q68</f>
        <v>4.87</v>
      </c>
      <c r="Q68" s="81">
        <f>тепло!Q64+' ВС'!R68</f>
        <v>4.87</v>
      </c>
      <c r="R68" s="78">
        <f>тепло!R64+' ВС'!S68</f>
        <v>14.61</v>
      </c>
      <c r="S68" s="78">
        <f>тепло!S64+' ВС'!T68</f>
        <v>70.150000000000006</v>
      </c>
      <c r="T68" s="81">
        <f>тепло!T64+' ВС'!U68</f>
        <v>8.1590000000000007</v>
      </c>
      <c r="U68" s="81">
        <f>тепло!U64+' ВС'!V68</f>
        <v>11.45</v>
      </c>
      <c r="V68" s="81">
        <f>тепло!V64+' ВС'!W68</f>
        <v>11.45</v>
      </c>
      <c r="W68" s="78">
        <f>тепло!W64+' ВС'!X68</f>
        <v>31.058999999999997</v>
      </c>
    </row>
    <row r="69" spans="1:23" ht="37.5" x14ac:dyDescent="0.25">
      <c r="A69" s="76" t="s">
        <v>61</v>
      </c>
      <c r="B69" s="81">
        <f>' ВС'!C69+тепло!B65</f>
        <v>127.92</v>
      </c>
      <c r="C69" s="81">
        <f t="shared" si="3"/>
        <v>96.58</v>
      </c>
      <c r="D69" s="81">
        <f>' ВС'!E69+тепло!D65</f>
        <v>224.5</v>
      </c>
      <c r="E69" s="78">
        <f>тепло!E65+' ВС'!F69</f>
        <v>48.88</v>
      </c>
      <c r="F69" s="81">
        <f>тепло!F65+' ВС'!G69</f>
        <v>5.9859999999999998</v>
      </c>
      <c r="G69" s="81">
        <f>тепло!G65+' ВС'!H69</f>
        <v>5.9859999999999998</v>
      </c>
      <c r="H69" s="81">
        <f>тепло!H65+' ВС'!I69</f>
        <v>5.9859999999999998</v>
      </c>
      <c r="I69" s="78">
        <f>тепло!I65+' ВС'!J69</f>
        <v>17.957999999999998</v>
      </c>
      <c r="J69" s="81">
        <f>тепло!J65+' ВС'!K69</f>
        <v>5.9859999999999998</v>
      </c>
      <c r="K69" s="81">
        <f>тепло!K65+' ВС'!L69</f>
        <v>1.8129999999999999</v>
      </c>
      <c r="L69" s="81">
        <f>тепло!L65+' ВС'!M69</f>
        <v>1.8129999999999999</v>
      </c>
      <c r="M69" s="78">
        <f>тепло!M65+' ВС'!N69</f>
        <v>9.6120000000000001</v>
      </c>
      <c r="N69" s="78">
        <f>тепло!N65+' ВС'!O69</f>
        <v>27.57</v>
      </c>
      <c r="O69" s="81">
        <f>тепло!O65+' ВС'!P69</f>
        <v>1.8129999999999999</v>
      </c>
      <c r="P69" s="81">
        <f>тепло!P65+' ВС'!Q69</f>
        <v>1.8129999999999999</v>
      </c>
      <c r="Q69" s="81">
        <f>тепло!Q65+' ВС'!R69</f>
        <v>1.8129999999999999</v>
      </c>
      <c r="R69" s="78">
        <f>тепло!R65+' ВС'!S69</f>
        <v>5.4390000000000001</v>
      </c>
      <c r="S69" s="78">
        <f>тепло!S65+' ВС'!T69</f>
        <v>33.009</v>
      </c>
      <c r="T69" s="81">
        <f>тепло!T65+' ВС'!U69</f>
        <v>3.899</v>
      </c>
      <c r="U69" s="81">
        <f>тепло!U65+' ВС'!V69</f>
        <v>5.9859999999999998</v>
      </c>
      <c r="V69" s="81">
        <f>тепло!V65+' ВС'!W69</f>
        <v>5.9859999999999998</v>
      </c>
      <c r="W69" s="78">
        <f>тепло!W65+' ВС'!X69</f>
        <v>15.871</v>
      </c>
    </row>
    <row r="70" spans="1:23" ht="18.75" x14ac:dyDescent="0.25">
      <c r="A70" s="79" t="s">
        <v>62</v>
      </c>
      <c r="B70" s="81">
        <f>тепло!B68+' ВС'!C70</f>
        <v>72.448999999999998</v>
      </c>
      <c r="C70" s="81">
        <f t="shared" si="3"/>
        <v>31.310999999999993</v>
      </c>
      <c r="D70" s="81">
        <f>тепло!D66+' ВС'!E70</f>
        <v>103.75999999999999</v>
      </c>
      <c r="E70" s="78">
        <f>тепло!E66+' ВС'!F70</f>
        <v>100.238</v>
      </c>
      <c r="F70" s="81">
        <f>тепло!F66+' ВС'!G70</f>
        <v>12.105</v>
      </c>
      <c r="G70" s="81">
        <f>тепло!G66+' ВС'!H70</f>
        <v>12.105</v>
      </c>
      <c r="H70" s="81">
        <f>тепло!H66+' ВС'!I70</f>
        <v>12.105</v>
      </c>
      <c r="I70" s="78">
        <f>тепло!I66+' ВС'!J70</f>
        <v>36.314999999999998</v>
      </c>
      <c r="J70" s="81">
        <f>тепло!J66+' ВС'!K70</f>
        <v>12.105</v>
      </c>
      <c r="K70" s="81">
        <f>тепло!K66+' ВС'!L70</f>
        <v>4.0280000000000005</v>
      </c>
      <c r="L70" s="81">
        <f>тепло!L66+' ВС'!M70</f>
        <v>4.0280000000000005</v>
      </c>
      <c r="M70" s="78">
        <f>тепло!M66+' ВС'!N70</f>
        <v>20.161000000000001</v>
      </c>
      <c r="N70" s="78">
        <f>тепло!N66+' ВС'!O70</f>
        <v>56.475999999999999</v>
      </c>
      <c r="O70" s="81">
        <f>тепло!O66+' ВС'!P70</f>
        <v>4.0280000000000005</v>
      </c>
      <c r="P70" s="81">
        <f>тепло!P66+' ВС'!Q70</f>
        <v>4.0280000000000005</v>
      </c>
      <c r="Q70" s="81">
        <f>тепло!Q66+' ВС'!R70</f>
        <v>4.0280000000000005</v>
      </c>
      <c r="R70" s="78">
        <f>тепло!R66+' ВС'!S70</f>
        <v>12.084000000000001</v>
      </c>
      <c r="S70" s="78">
        <f>тепло!S66+' ВС'!T70</f>
        <v>68.56</v>
      </c>
      <c r="T70" s="81">
        <f>тепло!T66+' ВС'!U70</f>
        <v>7.468</v>
      </c>
      <c r="U70" s="81">
        <f>тепло!U66+' ВС'!V70</f>
        <v>12.105</v>
      </c>
      <c r="V70" s="81">
        <f>тепло!V66+' ВС'!W70</f>
        <v>12.105</v>
      </c>
      <c r="W70" s="78">
        <f>тепло!W66+' ВС'!X70</f>
        <v>31.678000000000001</v>
      </c>
    </row>
    <row r="71" spans="1:23" ht="18.75" x14ac:dyDescent="0.25">
      <c r="A71" s="76" t="s">
        <v>84</v>
      </c>
      <c r="B71" s="81">
        <f>тепло!B67+' ВС'!C54</f>
        <v>0</v>
      </c>
      <c r="C71" s="81">
        <f t="shared" si="3"/>
        <v>0</v>
      </c>
      <c r="D71" s="81">
        <f>тепло!D67+' ВС'!E54</f>
        <v>0</v>
      </c>
      <c r="E71" s="78">
        <f>тепло!E67+' ВС'!F71</f>
        <v>41.236000000000004</v>
      </c>
      <c r="F71" s="81">
        <f>тепло!F67+' ВС'!G71</f>
        <v>4.3620000000000001</v>
      </c>
      <c r="G71" s="81">
        <f>тепло!G67+' ВС'!H71</f>
        <v>4.3620000000000001</v>
      </c>
      <c r="H71" s="81">
        <f>тепло!H67+' ВС'!I71</f>
        <v>4.3620000000000001</v>
      </c>
      <c r="I71" s="78">
        <f>тепло!I67+' ВС'!J71</f>
        <v>13.086</v>
      </c>
      <c r="J71" s="81">
        <f>тепло!J67+' ВС'!K71</f>
        <v>4.3620000000000001</v>
      </c>
      <c r="K71" s="81">
        <f>тепло!K67+' ВС'!L71</f>
        <v>2.3620000000000001</v>
      </c>
      <c r="L71" s="81">
        <f>тепло!L67+' ВС'!M71</f>
        <v>2.3620000000000001</v>
      </c>
      <c r="M71" s="78">
        <f>тепло!M67+' ВС'!N71</f>
        <v>9.0860000000000003</v>
      </c>
      <c r="N71" s="78">
        <f>тепло!N67+' ВС'!O71</f>
        <v>22.172000000000001</v>
      </c>
      <c r="O71" s="81">
        <f>тепло!O67+' ВС'!P71</f>
        <v>2.3620000000000001</v>
      </c>
      <c r="P71" s="81">
        <f>тепло!P67+' ВС'!Q71</f>
        <v>2.3620000000000001</v>
      </c>
      <c r="Q71" s="81">
        <f>тепло!Q67+' ВС'!R71</f>
        <v>2.3620000000000001</v>
      </c>
      <c r="R71" s="78">
        <f>тепло!R67+' ВС'!S71</f>
        <v>7.0860000000000003</v>
      </c>
      <c r="S71" s="78">
        <f>тепло!S67+' ВС'!T71</f>
        <v>29.258000000000003</v>
      </c>
      <c r="T71" s="81">
        <f>тепло!T67+' ВС'!U71</f>
        <v>3.254</v>
      </c>
      <c r="U71" s="81">
        <f>тепло!U67+' ВС'!V71</f>
        <v>4.3620000000000001</v>
      </c>
      <c r="V71" s="81">
        <f>тепло!V67+' ВС'!W71</f>
        <v>4.3620000000000001</v>
      </c>
      <c r="W71" s="78">
        <f>тепло!W67+' ВС'!X71</f>
        <v>11.978</v>
      </c>
    </row>
    <row r="72" spans="1:23" ht="18.75" x14ac:dyDescent="0.25">
      <c r="A72" s="76" t="s">
        <v>83</v>
      </c>
      <c r="B72" s="81">
        <f>тепло!B68+' ВС'!C72</f>
        <v>11.414999999999999</v>
      </c>
      <c r="C72" s="81">
        <f t="shared" si="3"/>
        <v>4.3850000000000016</v>
      </c>
      <c r="D72" s="81">
        <f>тепло!D68+' ВС'!E72</f>
        <v>15.8</v>
      </c>
      <c r="E72" s="78">
        <f>тепло!E68+' ВС'!F72</f>
        <v>39.01</v>
      </c>
      <c r="F72" s="81">
        <f>тепло!F68+' ВС'!G72</f>
        <v>6.077</v>
      </c>
      <c r="G72" s="81">
        <f>тепло!G68+' ВС'!H72</f>
        <v>6.077</v>
      </c>
      <c r="H72" s="81">
        <f>тепло!H68+' ВС'!I72</f>
        <v>6.077</v>
      </c>
      <c r="I72" s="78">
        <f>тепло!I68+' ВС'!J72</f>
        <v>18.231000000000002</v>
      </c>
      <c r="J72" s="81">
        <f>тепло!J68+' ВС'!K72</f>
        <v>6.077</v>
      </c>
      <c r="K72" s="81">
        <f>тепло!K68+' ВС'!L72</f>
        <v>0</v>
      </c>
      <c r="L72" s="81">
        <f>тепло!L68+' ВС'!M72</f>
        <v>0</v>
      </c>
      <c r="M72" s="78">
        <f>тепло!M68+' ВС'!N72</f>
        <v>6.077</v>
      </c>
      <c r="N72" s="78">
        <f>тепло!N68+' ВС'!O72</f>
        <v>24.308</v>
      </c>
      <c r="O72" s="81">
        <f>тепло!O68+' ВС'!P72</f>
        <v>0</v>
      </c>
      <c r="P72" s="81">
        <f>тепло!P68+' ВС'!Q72</f>
        <v>0</v>
      </c>
      <c r="Q72" s="81">
        <f>тепло!Q68+' ВС'!R72</f>
        <v>0</v>
      </c>
      <c r="R72" s="78">
        <f>тепло!R68+' ВС'!S72</f>
        <v>0</v>
      </c>
      <c r="S72" s="78">
        <f>тепло!S68+' ВС'!T72</f>
        <v>24.308</v>
      </c>
      <c r="T72" s="81">
        <f>тепло!T68+' ВС'!U72</f>
        <v>2.548</v>
      </c>
      <c r="U72" s="81">
        <f>тепло!U68+' ВС'!V72</f>
        <v>6.077</v>
      </c>
      <c r="V72" s="81">
        <f>тепло!V68+' ВС'!W72</f>
        <v>6.077</v>
      </c>
      <c r="W72" s="78">
        <f>тепло!W68+' ВС'!X72</f>
        <v>14.702</v>
      </c>
    </row>
    <row r="73" spans="1:23" ht="18.75" x14ac:dyDescent="0.25">
      <c r="A73" s="76" t="s">
        <v>63</v>
      </c>
      <c r="B73" s="81">
        <f>тепло!B69+' ВС'!C73</f>
        <v>8.9480000000000004</v>
      </c>
      <c r="C73" s="81">
        <f t="shared" si="3"/>
        <v>4.0120000000000005</v>
      </c>
      <c r="D73" s="81">
        <f>тепло!D69+' ВС'!E73</f>
        <v>12.96</v>
      </c>
      <c r="E73" s="78">
        <f>тепло!E69+' ВС'!F73</f>
        <v>14.844000000000001</v>
      </c>
      <c r="F73" s="81">
        <f>тепло!F69+' ВС'!G73</f>
        <v>1.2370000000000001</v>
      </c>
      <c r="G73" s="81">
        <f>тепло!G69+' ВС'!H73</f>
        <v>1.2370000000000001</v>
      </c>
      <c r="H73" s="81">
        <f>тепло!H69+' ВС'!I73</f>
        <v>1.2370000000000001</v>
      </c>
      <c r="I73" s="78">
        <f>тепло!I69+' ВС'!J73</f>
        <v>3.7110000000000003</v>
      </c>
      <c r="J73" s="81">
        <f>тепло!J69+' ВС'!K73</f>
        <v>1.2370000000000001</v>
      </c>
      <c r="K73" s="81">
        <f>тепло!K69+' ВС'!L73</f>
        <v>1.2370000000000001</v>
      </c>
      <c r="L73" s="81">
        <f>тепло!L69+' ВС'!M73</f>
        <v>1.2370000000000001</v>
      </c>
      <c r="M73" s="78">
        <f>тепло!M69+' ВС'!N73</f>
        <v>3.7110000000000003</v>
      </c>
      <c r="N73" s="78">
        <f>тепло!N69+' ВС'!O73</f>
        <v>7.4220000000000006</v>
      </c>
      <c r="O73" s="81">
        <f>тепло!O69+' ВС'!P73</f>
        <v>1.2370000000000001</v>
      </c>
      <c r="P73" s="81">
        <f>тепло!P69+' ВС'!Q73</f>
        <v>1.2370000000000001</v>
      </c>
      <c r="Q73" s="81">
        <f>тепло!Q69+' ВС'!R73</f>
        <v>1.2370000000000001</v>
      </c>
      <c r="R73" s="78">
        <f>тепло!R69+' ВС'!S73</f>
        <v>3.7110000000000003</v>
      </c>
      <c r="S73" s="78">
        <f>тепло!S69+' ВС'!T73</f>
        <v>11.133000000000001</v>
      </c>
      <c r="T73" s="81">
        <f>тепло!T69+' ВС'!U73</f>
        <v>1.2370000000000001</v>
      </c>
      <c r="U73" s="81">
        <f>тепло!U69+' ВС'!V73</f>
        <v>1.2370000000000001</v>
      </c>
      <c r="V73" s="81">
        <f>тепло!V69+' ВС'!W73</f>
        <v>1.2370000000000001</v>
      </c>
      <c r="W73" s="78">
        <f>тепло!W69+' ВС'!X73</f>
        <v>3.7110000000000003</v>
      </c>
    </row>
    <row r="74" spans="1:23" ht="18.75" x14ac:dyDescent="0.25">
      <c r="A74" s="76" t="s">
        <v>64</v>
      </c>
      <c r="B74" s="81">
        <f>тепло!B72+' ВС'!C74</f>
        <v>23.536999999999999</v>
      </c>
      <c r="C74" s="81">
        <f t="shared" si="3"/>
        <v>24.463000000000001</v>
      </c>
      <c r="D74" s="81">
        <f>тепло!D70+' ВС'!E74</f>
        <v>48</v>
      </c>
      <c r="E74" s="78">
        <f>тепло!E70+' ВС'!F74</f>
        <v>5.1479999999999997</v>
      </c>
      <c r="F74" s="81">
        <f>тепло!F70+' ВС'!G74</f>
        <v>0.42899999999999999</v>
      </c>
      <c r="G74" s="81">
        <f>тепло!G70+' ВС'!H74</f>
        <v>0.42899999999999999</v>
      </c>
      <c r="H74" s="81">
        <f>тепло!H70+' ВС'!I74</f>
        <v>0.42899999999999999</v>
      </c>
      <c r="I74" s="78">
        <f>тепло!I70+' ВС'!J74</f>
        <v>1.2869999999999999</v>
      </c>
      <c r="J74" s="81">
        <f>тепло!J70+' ВС'!K74</f>
        <v>0.42899999999999999</v>
      </c>
      <c r="K74" s="81">
        <f>тепло!K70+' ВС'!L74</f>
        <v>0.42899999999999999</v>
      </c>
      <c r="L74" s="81">
        <f>тепло!L70+' ВС'!M74</f>
        <v>0.42899999999999999</v>
      </c>
      <c r="M74" s="78">
        <f>тепло!M70+' ВС'!N74</f>
        <v>1.2869999999999999</v>
      </c>
      <c r="N74" s="78">
        <f>тепло!N70+' ВС'!O74</f>
        <v>2.5739999999999998</v>
      </c>
      <c r="O74" s="81">
        <f>тепло!O70+' ВС'!P74</f>
        <v>0.42899999999999999</v>
      </c>
      <c r="P74" s="81">
        <f>тепло!P70+' ВС'!Q74</f>
        <v>0.42899999999999999</v>
      </c>
      <c r="Q74" s="81">
        <f>тепло!Q70+' ВС'!R74</f>
        <v>0.42899999999999999</v>
      </c>
      <c r="R74" s="78">
        <f>тепло!R70+' ВС'!S74</f>
        <v>1.2869999999999999</v>
      </c>
      <c r="S74" s="78">
        <f>тепло!S70+' ВС'!T74</f>
        <v>3.8609999999999998</v>
      </c>
      <c r="T74" s="81">
        <f>тепло!T70+' ВС'!U74</f>
        <v>0.42899999999999999</v>
      </c>
      <c r="U74" s="81">
        <f>тепло!U70+' ВС'!V74</f>
        <v>0.42899999999999999</v>
      </c>
      <c r="V74" s="81">
        <f>тепло!V70+' ВС'!W74</f>
        <v>0.42899999999999999</v>
      </c>
      <c r="W74" s="78">
        <f>тепло!W70+' ВС'!X74</f>
        <v>1.2869999999999999</v>
      </c>
    </row>
    <row r="75" spans="1:23" ht="18.75" x14ac:dyDescent="0.25">
      <c r="A75" s="76" t="s">
        <v>92</v>
      </c>
      <c r="B75" s="81">
        <f>тепло!B71+' ВС'!C75</f>
        <v>21.193999999999999</v>
      </c>
      <c r="C75" s="81">
        <f t="shared" si="3"/>
        <v>-21.193999999999999</v>
      </c>
      <c r="D75" s="81">
        <f>тепло!D71+' ВС'!E75</f>
        <v>0</v>
      </c>
      <c r="E75" s="78">
        <f>тепло!E71+' ВС'!F75</f>
        <v>0</v>
      </c>
      <c r="F75" s="81">
        <f>тепло!F71+' ВС'!G75</f>
        <v>0</v>
      </c>
      <c r="G75" s="81">
        <f>тепло!G71+' ВС'!H75</f>
        <v>0</v>
      </c>
      <c r="H75" s="81">
        <f>тепло!H71+' ВС'!I75</f>
        <v>0</v>
      </c>
      <c r="I75" s="78">
        <f>тепло!I71+' ВС'!J75</f>
        <v>0</v>
      </c>
      <c r="J75" s="81">
        <f>тепло!J71+' ВС'!K75</f>
        <v>0</v>
      </c>
      <c r="K75" s="81">
        <f>тепло!K71+' ВС'!L75</f>
        <v>0</v>
      </c>
      <c r="L75" s="81">
        <f>тепло!L71+' ВС'!M75</f>
        <v>0</v>
      </c>
      <c r="M75" s="78">
        <f>тепло!M71+' ВС'!N75</f>
        <v>0</v>
      </c>
      <c r="N75" s="78">
        <f>тепло!N71+' ВС'!O75</f>
        <v>0</v>
      </c>
      <c r="O75" s="81">
        <f>тепло!O71+' ВС'!P75</f>
        <v>0</v>
      </c>
      <c r="P75" s="81">
        <f>тепло!P71+' ВС'!Q75</f>
        <v>0</v>
      </c>
      <c r="Q75" s="81">
        <f>тепло!Q71+' ВС'!R75</f>
        <v>0</v>
      </c>
      <c r="R75" s="78">
        <f>тепло!R71+' ВС'!S75</f>
        <v>0</v>
      </c>
      <c r="S75" s="78">
        <f>тепло!S71+' ВС'!T75</f>
        <v>0</v>
      </c>
      <c r="T75" s="81">
        <f>тепло!T71+' ВС'!U75</f>
        <v>0</v>
      </c>
      <c r="U75" s="81">
        <f>тепло!U71+' ВС'!V75</f>
        <v>0</v>
      </c>
      <c r="V75" s="81">
        <f>тепло!V71+' ВС'!W75</f>
        <v>0</v>
      </c>
      <c r="W75" s="78">
        <f>тепло!W71+' ВС'!X75</f>
        <v>0</v>
      </c>
    </row>
    <row r="76" spans="1:23" ht="18.75" x14ac:dyDescent="0.25">
      <c r="A76" s="64" t="s">
        <v>65</v>
      </c>
      <c r="B76" s="63">
        <f>тепло!B72+' ВС'!C76</f>
        <v>10.6</v>
      </c>
      <c r="C76" s="63">
        <f t="shared" si="3"/>
        <v>207.6</v>
      </c>
      <c r="D76" s="62">
        <f>тепло!D72+' ВС'!E76</f>
        <v>218.2</v>
      </c>
      <c r="E76" s="53">
        <f>тепло!E72+' ВС'!F76</f>
        <v>0</v>
      </c>
      <c r="F76" s="62">
        <f>тепло!F72+' ВС'!G76</f>
        <v>0</v>
      </c>
      <c r="G76" s="62">
        <f>тепло!G72+' ВС'!H76</f>
        <v>0</v>
      </c>
      <c r="H76" s="62">
        <f>тепло!H72+' ВС'!I76</f>
        <v>0</v>
      </c>
      <c r="I76" s="53">
        <f>тепло!I72+' ВС'!J76</f>
        <v>0</v>
      </c>
      <c r="J76" s="62">
        <f>тепло!J72+' ВС'!K76</f>
        <v>0</v>
      </c>
      <c r="K76" s="62">
        <f>тепло!K72+' ВС'!L76</f>
        <v>0</v>
      </c>
      <c r="L76" s="62">
        <f>тепло!L72+' ВС'!M76</f>
        <v>0</v>
      </c>
      <c r="M76" s="53">
        <f>тепло!M72+' ВС'!N76</f>
        <v>0</v>
      </c>
      <c r="N76" s="53">
        <f>тепло!N72+' ВС'!O76</f>
        <v>0</v>
      </c>
      <c r="O76" s="62">
        <f>тепло!O72+' ВС'!P76</f>
        <v>0</v>
      </c>
      <c r="P76" s="62">
        <f>тепло!P72+' ВС'!Q76</f>
        <v>0</v>
      </c>
      <c r="Q76" s="62">
        <f>тепло!Q72+' ВС'!R76</f>
        <v>0</v>
      </c>
      <c r="R76" s="53">
        <f>тепло!R72+' ВС'!S76</f>
        <v>0</v>
      </c>
      <c r="S76" s="53">
        <f>тепло!S72+' ВС'!T76</f>
        <v>0</v>
      </c>
      <c r="T76" s="62">
        <f>тепло!T72+' ВС'!U76</f>
        <v>0</v>
      </c>
      <c r="U76" s="62">
        <f>тепло!U72+' ВС'!V76</f>
        <v>0</v>
      </c>
      <c r="V76" s="62">
        <f>тепло!V72+' ВС'!W76</f>
        <v>0</v>
      </c>
      <c r="W76" s="53">
        <f>тепло!W72+' ВС'!X76</f>
        <v>0</v>
      </c>
    </row>
    <row r="77" spans="1:23" ht="18.75" x14ac:dyDescent="0.25">
      <c r="A77" s="65" t="s">
        <v>66</v>
      </c>
      <c r="B77" s="62">
        <f>тепло!B73+' ВС'!C77</f>
        <v>701.98599999999999</v>
      </c>
      <c r="C77" s="62">
        <f t="shared" si="3"/>
        <v>-72.480999999999995</v>
      </c>
      <c r="D77" s="62">
        <f>тепло!D73+' ВС'!E77</f>
        <v>629.505</v>
      </c>
      <c r="E77" s="53">
        <f>тепло!E73+' ВС'!F77</f>
        <v>431.72590000000002</v>
      </c>
      <c r="F77" s="62">
        <f>тепло!F73+' ВС'!G77</f>
        <v>40.245999999999995</v>
      </c>
      <c r="G77" s="62">
        <f>тепло!G73+' ВС'!H77</f>
        <v>40.245999999999995</v>
      </c>
      <c r="H77" s="62">
        <f>тепло!H73+' ВС'!I77</f>
        <v>45.735999999999997</v>
      </c>
      <c r="I77" s="53">
        <f>тепло!I73+' ВС'!J77</f>
        <v>126.22800000000001</v>
      </c>
      <c r="J77" s="62">
        <f>тепло!J73+' ВС'!K77</f>
        <v>40.245999999999995</v>
      </c>
      <c r="K77" s="62">
        <f>тепло!K73+' ВС'!L77</f>
        <v>30.233999999999998</v>
      </c>
      <c r="L77" s="62">
        <f>тепло!L73+' ВС'!M77</f>
        <v>30.233999999999998</v>
      </c>
      <c r="M77" s="53">
        <f>тепло!M73+' ВС'!N77</f>
        <v>100.714</v>
      </c>
      <c r="N77" s="53">
        <f>тепло!N73+' ВС'!O77</f>
        <v>226.94200000000001</v>
      </c>
      <c r="O77" s="62">
        <f>тепло!O73+' ВС'!P77</f>
        <v>30.233999999999998</v>
      </c>
      <c r="P77" s="62">
        <f>тепло!P73+' ВС'!Q77</f>
        <v>30.233999999999998</v>
      </c>
      <c r="Q77" s="62">
        <f>тепло!Q73+' ВС'!R77</f>
        <v>30.233999999999998</v>
      </c>
      <c r="R77" s="53">
        <f>тепло!R73+' ВС'!S77</f>
        <v>90.701999999999998</v>
      </c>
      <c r="S77" s="53">
        <f>тепло!S73+' ВС'!T77</f>
        <v>317.64400000000001</v>
      </c>
      <c r="T77" s="62">
        <f>тепло!T73+' ВС'!U77</f>
        <v>34.899899999999995</v>
      </c>
      <c r="U77" s="62">
        <f>тепло!U73+' ВС'!V77</f>
        <v>39.625999999999998</v>
      </c>
      <c r="V77" s="62">
        <f>тепло!V73+' ВС'!W77</f>
        <v>39.555999999999997</v>
      </c>
      <c r="W77" s="53">
        <f>тепло!W73+' ВС'!X77</f>
        <v>114.08189999999999</v>
      </c>
    </row>
    <row r="78" spans="1:23" ht="18.75" x14ac:dyDescent="0.25">
      <c r="A78" s="64" t="s">
        <v>67</v>
      </c>
      <c r="B78" s="63">
        <f>тепло!B74+' ВС'!C78</f>
        <v>181.047</v>
      </c>
      <c r="C78" s="63">
        <f t="shared" si="3"/>
        <v>11.953000000000003</v>
      </c>
      <c r="D78" s="62">
        <f>тепло!D74+' ВС'!E78</f>
        <v>193</v>
      </c>
      <c r="E78" s="53">
        <f>тепло!E74+' ВС'!F78</f>
        <v>58.679999999999993</v>
      </c>
      <c r="F78" s="62">
        <f>тепло!F74+' ВС'!G78</f>
        <v>4.8899999999999997</v>
      </c>
      <c r="G78" s="62">
        <f>тепло!G74+' ВС'!H78</f>
        <v>4.8899999999999997</v>
      </c>
      <c r="H78" s="62">
        <f>тепло!H74+' ВС'!I78</f>
        <v>4.8899999999999997</v>
      </c>
      <c r="I78" s="53">
        <f>тепло!I74+' ВС'!J78</f>
        <v>14.669999999999998</v>
      </c>
      <c r="J78" s="62">
        <f>тепло!J74+' ВС'!K78</f>
        <v>4.8899999999999997</v>
      </c>
      <c r="K78" s="62">
        <f>тепло!K74+' ВС'!L78</f>
        <v>4.8899999999999997</v>
      </c>
      <c r="L78" s="62">
        <f>тепло!L74+' ВС'!M78</f>
        <v>4.8899999999999997</v>
      </c>
      <c r="M78" s="53">
        <f>тепло!M74+' ВС'!N78</f>
        <v>14.669999999999998</v>
      </c>
      <c r="N78" s="53">
        <f>тепло!N74+' ВС'!O78</f>
        <v>29.339999999999996</v>
      </c>
      <c r="O78" s="62">
        <f>тепло!O74+' ВС'!P78</f>
        <v>4.8899999999999997</v>
      </c>
      <c r="P78" s="62">
        <f>тепло!P74+' ВС'!Q78</f>
        <v>4.8899999999999997</v>
      </c>
      <c r="Q78" s="62">
        <f>тепло!Q74+' ВС'!R78</f>
        <v>4.8899999999999997</v>
      </c>
      <c r="R78" s="53">
        <f>тепло!R74+' ВС'!S78</f>
        <v>14.669999999999998</v>
      </c>
      <c r="S78" s="53">
        <f>тепло!S74+' ВС'!T78</f>
        <v>44.009999999999991</v>
      </c>
      <c r="T78" s="62">
        <f>тепло!T74+' ВС'!U78</f>
        <v>4.8899999999999997</v>
      </c>
      <c r="U78" s="62">
        <f>тепло!U74+' ВС'!V78</f>
        <v>4.8899999999999997</v>
      </c>
      <c r="V78" s="62">
        <f>тепло!V74+' ВС'!W78</f>
        <v>4.8899999999999997</v>
      </c>
      <c r="W78" s="53">
        <f>тепло!W74+' ВС'!X78</f>
        <v>14.669999999999998</v>
      </c>
    </row>
    <row r="79" spans="1:23" ht="18.75" x14ac:dyDescent="0.25">
      <c r="A79" s="64" t="s">
        <v>68</v>
      </c>
      <c r="B79" s="63">
        <f>тепло!B75+' ВС'!C79</f>
        <v>73.274000000000001</v>
      </c>
      <c r="C79" s="63">
        <f t="shared" si="3"/>
        <v>27.906000000000006</v>
      </c>
      <c r="D79" s="62">
        <f>тепло!D75+' ВС'!E79</f>
        <v>101.18</v>
      </c>
      <c r="E79" s="53">
        <f>тепло!E75+' ВС'!F79</f>
        <v>119.51590000000002</v>
      </c>
      <c r="F79" s="62">
        <f>тепло!F75+' ВС'!G79</f>
        <v>14.686</v>
      </c>
      <c r="G79" s="62">
        <f>тепло!G75+' ВС'!H79</f>
        <v>14.686</v>
      </c>
      <c r="H79" s="62">
        <f>тепло!H75+' ВС'!I79</f>
        <v>14.686</v>
      </c>
      <c r="I79" s="53">
        <f>тепло!I75+' ВС'!J79</f>
        <v>44.058000000000007</v>
      </c>
      <c r="J79" s="62">
        <f>тепло!J75+' ВС'!K79</f>
        <v>14.686</v>
      </c>
      <c r="K79" s="62">
        <f>тепло!K75+' ВС'!L79</f>
        <v>4.6740000000000004</v>
      </c>
      <c r="L79" s="62">
        <f>тепло!L75+' ВС'!M79</f>
        <v>4.6740000000000004</v>
      </c>
      <c r="M79" s="53">
        <f>тепло!M75+' ВС'!N79</f>
        <v>24.034000000000002</v>
      </c>
      <c r="N79" s="53">
        <f>тепло!N75+' ВС'!O79</f>
        <v>68.092000000000013</v>
      </c>
      <c r="O79" s="62">
        <f>тепло!O75+' ВС'!P79</f>
        <v>4.6740000000000004</v>
      </c>
      <c r="P79" s="62">
        <f>тепло!P75+' ВС'!Q79</f>
        <v>4.6740000000000004</v>
      </c>
      <c r="Q79" s="62">
        <f>тепло!Q75+' ВС'!R79</f>
        <v>4.6740000000000004</v>
      </c>
      <c r="R79" s="53">
        <f>тепло!R75+' ВС'!S79</f>
        <v>14.022000000000002</v>
      </c>
      <c r="S79" s="53">
        <f>тепло!S75+' ВС'!T79</f>
        <v>82.114000000000004</v>
      </c>
      <c r="T79" s="62">
        <f>тепло!T75+' ВС'!U79</f>
        <v>9.3399000000000001</v>
      </c>
      <c r="U79" s="62">
        <f>тепло!U75+' ВС'!V79</f>
        <v>14.066000000000003</v>
      </c>
      <c r="V79" s="62">
        <f>тепло!V75+' ВС'!W79</f>
        <v>13.996000000000002</v>
      </c>
      <c r="W79" s="53">
        <f>тепло!W75+' ВС'!X79</f>
        <v>37.401899999999998</v>
      </c>
    </row>
    <row r="80" spans="1:23" ht="18.75" x14ac:dyDescent="0.25">
      <c r="A80" s="64" t="s">
        <v>69</v>
      </c>
      <c r="B80" s="63">
        <f>тепло!B76+' ВС'!C80</f>
        <v>445.27</v>
      </c>
      <c r="C80" s="63">
        <f t="shared" si="3"/>
        <v>-110.26999999999998</v>
      </c>
      <c r="D80" s="62">
        <f>тепло!D76+' ВС'!E80</f>
        <v>335</v>
      </c>
      <c r="E80" s="53">
        <f>тепло!E76+' ВС'!F80</f>
        <v>247.09800000000001</v>
      </c>
      <c r="F80" s="62">
        <f>тепло!F76+' ВС'!G80</f>
        <v>20.134</v>
      </c>
      <c r="G80" s="62">
        <f>тепло!G76+' ВС'!H80</f>
        <v>20.134</v>
      </c>
      <c r="H80" s="62">
        <f>тепло!H76+' ВС'!I80</f>
        <v>25.624000000000002</v>
      </c>
      <c r="I80" s="53">
        <f>тепло!I76+' ВС'!J80</f>
        <v>65.891999999999996</v>
      </c>
      <c r="J80" s="62">
        <f>тепло!J76+' ВС'!K80</f>
        <v>20.134</v>
      </c>
      <c r="K80" s="62">
        <f>тепло!K76+' ВС'!L80</f>
        <v>20.134</v>
      </c>
      <c r="L80" s="62">
        <f>тепло!L76+' ВС'!M80</f>
        <v>20.134</v>
      </c>
      <c r="M80" s="53">
        <f>тепло!M76+' ВС'!N80</f>
        <v>60.402000000000001</v>
      </c>
      <c r="N80" s="53">
        <f>тепло!N76+' ВС'!O80</f>
        <v>126.294</v>
      </c>
      <c r="O80" s="62">
        <f>тепло!O76+' ВС'!P80</f>
        <v>20.134</v>
      </c>
      <c r="P80" s="62">
        <f>тепло!P76+' ВС'!Q80</f>
        <v>20.134</v>
      </c>
      <c r="Q80" s="62">
        <f>тепло!Q76+' ВС'!R80</f>
        <v>20.134</v>
      </c>
      <c r="R80" s="53">
        <f>тепло!R76+' ВС'!S80</f>
        <v>60.402000000000001</v>
      </c>
      <c r="S80" s="53">
        <f>тепло!S76+' ВС'!T80</f>
        <v>186.69600000000003</v>
      </c>
      <c r="T80" s="62">
        <f>тепло!T76+' ВС'!U80</f>
        <v>20.134</v>
      </c>
      <c r="U80" s="62">
        <f>тепло!U76+' ВС'!V80</f>
        <v>20.134</v>
      </c>
      <c r="V80" s="62">
        <f>тепло!V76+' ВС'!W80</f>
        <v>20.134</v>
      </c>
      <c r="W80" s="53">
        <f>тепло!W76+' ВС'!X80</f>
        <v>60.402000000000001</v>
      </c>
    </row>
    <row r="81" spans="1:23" ht="18.75" x14ac:dyDescent="0.25">
      <c r="A81" s="64" t="s">
        <v>82</v>
      </c>
      <c r="B81" s="63">
        <f>тепло!B77+' ВС'!C81</f>
        <v>2.395</v>
      </c>
      <c r="C81" s="63">
        <f t="shared" si="3"/>
        <v>-2.0699999999999998</v>
      </c>
      <c r="D81" s="62">
        <f>тепло!D77+' ВС'!E81</f>
        <v>0.32500000000000001</v>
      </c>
      <c r="E81" s="53">
        <f>тепло!E77+' ВС'!F81</f>
        <v>4.3439999999999994</v>
      </c>
      <c r="F81" s="62">
        <f>тепло!F77+' ВС'!G81</f>
        <v>0.36199999999999999</v>
      </c>
      <c r="G81" s="62">
        <f>тепло!G77+' ВС'!H81</f>
        <v>0.36199999999999999</v>
      </c>
      <c r="H81" s="62">
        <f>тепло!H77+' ВС'!I81</f>
        <v>0.36199999999999999</v>
      </c>
      <c r="I81" s="53">
        <f>тепло!I77+' ВС'!J81</f>
        <v>1.0859999999999999</v>
      </c>
      <c r="J81" s="62">
        <f>тепло!J77+' ВС'!K81</f>
        <v>0.36199999999999999</v>
      </c>
      <c r="K81" s="62">
        <f>тепло!K77+' ВС'!L81</f>
        <v>0.36199999999999999</v>
      </c>
      <c r="L81" s="62">
        <f>тепло!L77+' ВС'!M81</f>
        <v>0.36199999999999999</v>
      </c>
      <c r="M81" s="53">
        <f>тепло!M77+' ВС'!N81</f>
        <v>1.0859999999999999</v>
      </c>
      <c r="N81" s="53">
        <f>тепло!N77+' ВС'!O81</f>
        <v>2.1719999999999997</v>
      </c>
      <c r="O81" s="62">
        <f>тепло!O77+' ВС'!P81</f>
        <v>0.36199999999999999</v>
      </c>
      <c r="P81" s="62">
        <f>тепло!P77+' ВС'!Q81</f>
        <v>0.36199999999999999</v>
      </c>
      <c r="Q81" s="62">
        <f>тепло!Q77+' ВС'!R81</f>
        <v>0.36199999999999999</v>
      </c>
      <c r="R81" s="53">
        <f>тепло!R77+' ВС'!S81</f>
        <v>1.0859999999999999</v>
      </c>
      <c r="S81" s="53">
        <f>тепло!S77+' ВС'!T81</f>
        <v>3.2579999999999996</v>
      </c>
      <c r="T81" s="62">
        <f>тепло!T77+' ВС'!U81</f>
        <v>0.36199999999999999</v>
      </c>
      <c r="U81" s="62">
        <f>тепло!U77+' ВС'!V81</f>
        <v>0.36199999999999999</v>
      </c>
      <c r="V81" s="62">
        <f>тепло!V77+' ВС'!W81</f>
        <v>0.36199999999999999</v>
      </c>
      <c r="W81" s="53">
        <f>тепло!W77+' ВС'!X81</f>
        <v>1.0859999999999999</v>
      </c>
    </row>
    <row r="82" spans="1:23" ht="18.75" x14ac:dyDescent="0.25">
      <c r="A82" s="64" t="s">
        <v>299</v>
      </c>
      <c r="B82" s="63">
        <f>тепло!B78+' ВС'!C82</f>
        <v>2.3849999999999998</v>
      </c>
      <c r="C82" s="63">
        <f t="shared" si="3"/>
        <v>-2.3849999999999998</v>
      </c>
      <c r="D82" s="62">
        <f>тепло!D78+' ВС'!E82</f>
        <v>0</v>
      </c>
      <c r="E82" s="53">
        <f>тепло!E79+' ВС'!F82</f>
        <v>2.0880000000000001</v>
      </c>
      <c r="F82" s="62">
        <f>тепло!F79+' ВС'!G82</f>
        <v>0.17399999999999999</v>
      </c>
      <c r="G82" s="62">
        <f>тепло!G79+' ВС'!H82</f>
        <v>0.17399999999999999</v>
      </c>
      <c r="H82" s="62">
        <f>тепло!H79+' ВС'!I82</f>
        <v>0.17399999999999999</v>
      </c>
      <c r="I82" s="53">
        <f>тепло!I79+' ВС'!J82</f>
        <v>0.52200000000000002</v>
      </c>
      <c r="J82" s="62">
        <f>тепло!J79+' ВС'!K82</f>
        <v>0.17399999999999999</v>
      </c>
      <c r="K82" s="62">
        <f>тепло!K79+' ВС'!L82</f>
        <v>0.17399999999999999</v>
      </c>
      <c r="L82" s="62">
        <f>тепло!L79+' ВС'!M82</f>
        <v>0.17399999999999999</v>
      </c>
      <c r="M82" s="53">
        <f>тепло!M79+' ВС'!N82</f>
        <v>0.52200000000000002</v>
      </c>
      <c r="N82" s="53">
        <f>тепло!N79+' ВС'!O82</f>
        <v>1.044</v>
      </c>
      <c r="O82" s="62">
        <f>тепло!O79+' ВС'!P82</f>
        <v>0.17399999999999999</v>
      </c>
      <c r="P82" s="62">
        <f>тепло!P79+' ВС'!Q82</f>
        <v>0.17399999999999999</v>
      </c>
      <c r="Q82" s="62">
        <f>тепло!Q79+' ВС'!R82</f>
        <v>0.17399999999999999</v>
      </c>
      <c r="R82" s="53">
        <f>тепло!R79+' ВС'!S82</f>
        <v>0.52200000000000002</v>
      </c>
      <c r="S82" s="53">
        <f>тепло!S79+' ВС'!T82</f>
        <v>1.5660000000000001</v>
      </c>
      <c r="T82" s="62">
        <f>тепло!T79+' ВС'!U82</f>
        <v>0.17399999999999999</v>
      </c>
      <c r="U82" s="62">
        <f>тепло!U79+' ВС'!V82</f>
        <v>0.17399999999999999</v>
      </c>
      <c r="V82" s="62">
        <f>тепло!V79+' ВС'!W82</f>
        <v>0.17399999999999999</v>
      </c>
      <c r="W82" s="53">
        <f>тепло!W79+' ВС'!X82</f>
        <v>0.52200000000000002</v>
      </c>
    </row>
    <row r="83" spans="1:23" ht="18.75" x14ac:dyDescent="0.25">
      <c r="A83" s="65" t="s">
        <v>70</v>
      </c>
      <c r="B83" s="62">
        <f>тепло!B79+' ВС'!C83</f>
        <v>513.27800000000002</v>
      </c>
      <c r="C83" s="62">
        <f t="shared" si="3"/>
        <v>-511.27800000000002</v>
      </c>
      <c r="D83" s="62">
        <f>тепло!D79+' ВС'!E83</f>
        <v>2</v>
      </c>
      <c r="E83" s="53">
        <f>тепло!E79+' ВС'!F83</f>
        <v>1.296</v>
      </c>
      <c r="F83" s="62">
        <f>тепло!F79+' ВС'!G83</f>
        <v>0.108</v>
      </c>
      <c r="G83" s="62">
        <f>тепло!G79+' ВС'!H83</f>
        <v>0.108</v>
      </c>
      <c r="H83" s="62">
        <f>тепло!H79+' ВС'!I83</f>
        <v>0.108</v>
      </c>
      <c r="I83" s="53">
        <f>тепло!I79+' ВС'!J83</f>
        <v>0.32400000000000001</v>
      </c>
      <c r="J83" s="62">
        <f>тепло!J79+' ВС'!K83</f>
        <v>0.108</v>
      </c>
      <c r="K83" s="62">
        <f>тепло!K79+' ВС'!L83</f>
        <v>0.108</v>
      </c>
      <c r="L83" s="62">
        <f>тепло!L79+' ВС'!M83</f>
        <v>0.108</v>
      </c>
      <c r="M83" s="53">
        <f>тепло!M79+' ВС'!N83</f>
        <v>0.32400000000000001</v>
      </c>
      <c r="N83" s="53">
        <f>тепло!N79+' ВС'!O83</f>
        <v>0.64800000000000002</v>
      </c>
      <c r="O83" s="62">
        <f>тепло!O79+' ВС'!P83</f>
        <v>0.108</v>
      </c>
      <c r="P83" s="62">
        <f>тепло!P79+' ВС'!Q83</f>
        <v>0.108</v>
      </c>
      <c r="Q83" s="62">
        <f>тепло!Q79+' ВС'!R83</f>
        <v>0.108</v>
      </c>
      <c r="R83" s="53">
        <f>тепло!R79+' ВС'!S83</f>
        <v>0.32400000000000001</v>
      </c>
      <c r="S83" s="53">
        <f>тепло!S79+' ВС'!T83</f>
        <v>0.97199999999999998</v>
      </c>
      <c r="T83" s="62">
        <f>тепло!T79+' ВС'!U83</f>
        <v>0.108</v>
      </c>
      <c r="U83" s="62">
        <f>тепло!U79+' ВС'!V83</f>
        <v>0.108</v>
      </c>
      <c r="V83" s="62">
        <f>тепло!V79+' ВС'!W83</f>
        <v>0.108</v>
      </c>
      <c r="W83" s="53">
        <f>тепло!W79+' ВС'!X83</f>
        <v>0.32400000000000001</v>
      </c>
    </row>
    <row r="84" spans="1:23" ht="18.75" x14ac:dyDescent="0.25">
      <c r="A84" s="64" t="s">
        <v>72</v>
      </c>
      <c r="B84" s="63">
        <f>тепло!B80+' ВС'!C84</f>
        <v>31.330000000000002</v>
      </c>
      <c r="C84" s="63">
        <f t="shared" si="3"/>
        <v>-31.330000000000002</v>
      </c>
      <c r="D84" s="62">
        <f>тепло!D80+' ВС'!E84</f>
        <v>0</v>
      </c>
      <c r="E84" s="53">
        <f>тепло!E80+' ВС'!F84</f>
        <v>0</v>
      </c>
      <c r="F84" s="62">
        <f>тепло!F80+' ВС'!G84</f>
        <v>0</v>
      </c>
      <c r="G84" s="62">
        <f>тепло!G80+' ВС'!H84</f>
        <v>0</v>
      </c>
      <c r="H84" s="62">
        <f>тепло!H80+' ВС'!I84</f>
        <v>0</v>
      </c>
      <c r="I84" s="53">
        <f>тепло!I80+' ВС'!J84</f>
        <v>0</v>
      </c>
      <c r="J84" s="62">
        <f>тепло!J80+' ВС'!K84</f>
        <v>0</v>
      </c>
      <c r="K84" s="62">
        <f>тепло!K80+' ВС'!L84</f>
        <v>0</v>
      </c>
      <c r="L84" s="62">
        <f>тепло!L80+' ВС'!M84</f>
        <v>0</v>
      </c>
      <c r="M84" s="53">
        <f>тепло!M80+' ВС'!N84</f>
        <v>0</v>
      </c>
      <c r="N84" s="53">
        <f>тепло!N80+' ВС'!O84</f>
        <v>0</v>
      </c>
      <c r="O84" s="62">
        <f>тепло!O80+' ВС'!P84</f>
        <v>0</v>
      </c>
      <c r="P84" s="62">
        <f>тепло!P80+' ВС'!Q84</f>
        <v>0</v>
      </c>
      <c r="Q84" s="62">
        <f>тепло!Q80+' ВС'!R84</f>
        <v>0</v>
      </c>
      <c r="R84" s="53">
        <f>тепло!R80+' ВС'!S84</f>
        <v>0</v>
      </c>
      <c r="S84" s="53">
        <f>тепло!S80+' ВС'!T84</f>
        <v>0</v>
      </c>
      <c r="T84" s="62">
        <f>тепло!T80+' ВС'!U84</f>
        <v>0</v>
      </c>
      <c r="U84" s="62">
        <f>тепло!U80+' ВС'!V84</f>
        <v>0</v>
      </c>
      <c r="V84" s="62">
        <f>тепло!V80+' ВС'!W84</f>
        <v>0</v>
      </c>
      <c r="W84" s="53">
        <f>тепло!W80+' ВС'!X84</f>
        <v>0</v>
      </c>
    </row>
    <row r="85" spans="1:23" ht="18.75" x14ac:dyDescent="0.25">
      <c r="A85" s="64" t="s">
        <v>71</v>
      </c>
      <c r="B85" s="63">
        <f>тепло!B81+' ВС'!C85</f>
        <v>7.76</v>
      </c>
      <c r="C85" s="63">
        <f t="shared" si="3"/>
        <v>-5.76</v>
      </c>
      <c r="D85" s="62">
        <f>тепло!D81+' ВС'!E85</f>
        <v>2</v>
      </c>
      <c r="E85" s="53">
        <f>тепло!E81+' ВС'!F85</f>
        <v>1.296</v>
      </c>
      <c r="F85" s="62">
        <f>тепло!F81+' ВС'!G85</f>
        <v>0.108</v>
      </c>
      <c r="G85" s="62">
        <f>тепло!G81+' ВС'!H85</f>
        <v>0.108</v>
      </c>
      <c r="H85" s="62">
        <f>тепло!H81+' ВС'!I85</f>
        <v>0.108</v>
      </c>
      <c r="I85" s="53">
        <f>тепло!I81+' ВС'!J85</f>
        <v>0.32400000000000001</v>
      </c>
      <c r="J85" s="62">
        <f>тепло!J81+' ВС'!K85</f>
        <v>0.108</v>
      </c>
      <c r="K85" s="62">
        <f>тепло!K81+' ВС'!L85</f>
        <v>0.108</v>
      </c>
      <c r="L85" s="62">
        <f>тепло!L81+' ВС'!M85</f>
        <v>0.108</v>
      </c>
      <c r="M85" s="53">
        <f>тепло!M81+' ВС'!N85</f>
        <v>0.32400000000000001</v>
      </c>
      <c r="N85" s="53">
        <f>тепло!N81+' ВС'!O85</f>
        <v>0.64800000000000002</v>
      </c>
      <c r="O85" s="62">
        <f>тепло!O81+' ВС'!P85</f>
        <v>0.108</v>
      </c>
      <c r="P85" s="62">
        <f>тепло!P81+' ВС'!Q85</f>
        <v>0.108</v>
      </c>
      <c r="Q85" s="62">
        <f>тепло!Q81+' ВС'!R85</f>
        <v>0.108</v>
      </c>
      <c r="R85" s="53">
        <f>тепло!R81+' ВС'!S85</f>
        <v>0.32400000000000001</v>
      </c>
      <c r="S85" s="53">
        <f>тепло!S81+' ВС'!T85</f>
        <v>0.97199999999999998</v>
      </c>
      <c r="T85" s="62">
        <f>тепло!T81+' ВС'!U85</f>
        <v>0.108</v>
      </c>
      <c r="U85" s="62">
        <f>тепло!U81+' ВС'!V85</f>
        <v>0.108</v>
      </c>
      <c r="V85" s="62">
        <f>тепло!V81+' ВС'!W85</f>
        <v>0.108</v>
      </c>
      <c r="W85" s="53">
        <f>тепло!W81+' ВС'!X85</f>
        <v>0.32400000000000001</v>
      </c>
    </row>
    <row r="86" spans="1:23" ht="18.75" x14ac:dyDescent="0.25">
      <c r="A86" s="64" t="s">
        <v>91</v>
      </c>
      <c r="B86" s="63">
        <f>тепло!B82+' ВС'!C86</f>
        <v>474.18799999999999</v>
      </c>
      <c r="C86" s="63">
        <f t="shared" si="3"/>
        <v>-474.18799999999999</v>
      </c>
      <c r="D86" s="62">
        <f>тепло!D82+' ВС'!E86</f>
        <v>0</v>
      </c>
      <c r="E86" s="53">
        <f>тепло!E82+' ВС'!F86</f>
        <v>0</v>
      </c>
      <c r="F86" s="62">
        <f>тепло!F82+' ВС'!G86</f>
        <v>0</v>
      </c>
      <c r="G86" s="62">
        <f>тепло!G82+' ВС'!H86</f>
        <v>0</v>
      </c>
      <c r="H86" s="62">
        <f>тепло!H82+' ВС'!I86</f>
        <v>0</v>
      </c>
      <c r="I86" s="53">
        <f>тепло!I82+' ВС'!J86</f>
        <v>0</v>
      </c>
      <c r="J86" s="62">
        <f>тепло!J82+' ВС'!K86</f>
        <v>0</v>
      </c>
      <c r="K86" s="62">
        <f>тепло!K82+' ВС'!L86</f>
        <v>0</v>
      </c>
      <c r="L86" s="62">
        <f>тепло!L82+' ВС'!M86</f>
        <v>0</v>
      </c>
      <c r="M86" s="53">
        <f>тепло!M82+' ВС'!N86</f>
        <v>0</v>
      </c>
      <c r="N86" s="53">
        <f>тепло!N82+' ВС'!O86</f>
        <v>0</v>
      </c>
      <c r="O86" s="62">
        <f>тепло!O82+' ВС'!P86</f>
        <v>0</v>
      </c>
      <c r="P86" s="62">
        <f>тепло!P82+' ВС'!Q86</f>
        <v>0</v>
      </c>
      <c r="Q86" s="62">
        <f>тепло!Q82+' ВС'!R86</f>
        <v>0</v>
      </c>
      <c r="R86" s="53">
        <f>тепло!R82+' ВС'!S86</f>
        <v>0</v>
      </c>
      <c r="S86" s="53">
        <f>тепло!S82+' ВС'!T86</f>
        <v>0</v>
      </c>
      <c r="T86" s="62">
        <f>тепло!T82+' ВС'!U86</f>
        <v>0</v>
      </c>
      <c r="U86" s="62">
        <f>тепло!U82+' ВС'!V86</f>
        <v>0</v>
      </c>
      <c r="V86" s="62">
        <f>тепло!V82+' ВС'!W86</f>
        <v>0</v>
      </c>
      <c r="W86" s="53">
        <f>тепло!W82+' ВС'!X86</f>
        <v>0</v>
      </c>
    </row>
    <row r="87" spans="1:23" ht="18.75" x14ac:dyDescent="0.25">
      <c r="A87" s="67" t="s">
        <v>75</v>
      </c>
      <c r="B87" s="220">
        <f>тепло!B83+' ВС'!C87</f>
        <v>20515.116827288453</v>
      </c>
      <c r="C87" s="220">
        <f t="shared" si="3"/>
        <v>9020.8680611915443</v>
      </c>
      <c r="D87" s="220">
        <f>тепло!D83+' ВС'!E87</f>
        <v>29535.984888479998</v>
      </c>
      <c r="E87" s="221">
        <f>тепло!E83+' ВС'!F87</f>
        <v>30379.785007999999</v>
      </c>
      <c r="F87" s="220">
        <f>тепло!F83+' ВС'!G87</f>
        <v>2805.5398599999999</v>
      </c>
      <c r="G87" s="220">
        <f>тепло!G83+' ВС'!H87</f>
        <v>2761.1340230000001</v>
      </c>
      <c r="H87" s="220">
        <f>тепло!H83+' ВС'!I87</f>
        <v>2761.1340230000001</v>
      </c>
      <c r="I87" s="221">
        <f>тепло!I83+' ВС'!J87</f>
        <v>8327.807906</v>
      </c>
      <c r="J87" s="220">
        <f>тепло!J83+' ВС'!K87</f>
        <v>2936.8682180000001</v>
      </c>
      <c r="K87" s="220">
        <f>тепло!K83+' ВС'!L87</f>
        <v>2220.413423</v>
      </c>
      <c r="L87" s="220">
        <f>тепло!L83+' ВС'!M87</f>
        <v>2220.413423</v>
      </c>
      <c r="M87" s="221">
        <f>тепло!M83+' ВС'!N87</f>
        <v>7377.6950640000005</v>
      </c>
      <c r="N87" s="221">
        <f>тепло!N83+' ВС'!O87</f>
        <v>15705.502970000001</v>
      </c>
      <c r="O87" s="220">
        <f t="shared" ref="O87:V87" si="11">O88+O92</f>
        <v>2220.413423</v>
      </c>
      <c r="P87" s="220">
        <f t="shared" si="11"/>
        <v>2220.413423</v>
      </c>
      <c r="Q87" s="220">
        <f t="shared" si="11"/>
        <v>2220.413423</v>
      </c>
      <c r="R87" s="221">
        <f t="shared" si="8"/>
        <v>6661.2402689999999</v>
      </c>
      <c r="S87" s="221">
        <f t="shared" si="9"/>
        <v>22366.743239000003</v>
      </c>
      <c r="T87" s="220">
        <f t="shared" si="11"/>
        <v>2490.7737229999998</v>
      </c>
      <c r="U87" s="220">
        <f t="shared" si="11"/>
        <v>2761.1340229999996</v>
      </c>
      <c r="V87" s="220">
        <f t="shared" si="11"/>
        <v>2761.1340229999996</v>
      </c>
      <c r="W87" s="221">
        <f t="shared" si="10"/>
        <v>8013.0417689999986</v>
      </c>
    </row>
    <row r="88" spans="1:23" ht="18.75" x14ac:dyDescent="0.25">
      <c r="A88" s="69" t="s">
        <v>80</v>
      </c>
      <c r="B88" s="220">
        <f>тепло!B84+' ВС'!C88</f>
        <v>15748.15222</v>
      </c>
      <c r="C88" s="220">
        <f t="shared" si="3"/>
        <v>6936.9360199999974</v>
      </c>
      <c r="D88" s="220">
        <f>тепло!D84+' ВС'!E88</f>
        <v>22685.088239999997</v>
      </c>
      <c r="E88" s="221">
        <f>тепло!E84+' ВС'!F88</f>
        <v>23334.456172999999</v>
      </c>
      <c r="F88" s="220">
        <f>тепло!F84+' ВС'!G88</f>
        <v>2154.94749</v>
      </c>
      <c r="G88" s="220">
        <f>тепло!G84+' ВС'!H88</f>
        <v>2120.7896529999998</v>
      </c>
      <c r="H88" s="220">
        <f>тепло!H84+' ВС'!I88</f>
        <v>2120.7896529999998</v>
      </c>
      <c r="I88" s="221">
        <f>тепло!I84+' ВС'!J88</f>
        <v>6396.5267960000001</v>
      </c>
      <c r="J88" s="220">
        <f>тепло!J84+' ВС'!K88</f>
        <v>2255.7621530000001</v>
      </c>
      <c r="K88" s="220">
        <f>тепло!K84+' ВС'!L88</f>
        <v>1705.4896530000001</v>
      </c>
      <c r="L88" s="220">
        <f>тепло!L84+' ВС'!M88</f>
        <v>1705.4896530000001</v>
      </c>
      <c r="M88" s="221">
        <f>тепло!M84+' ВС'!N88</f>
        <v>5666.7414589999998</v>
      </c>
      <c r="N88" s="221">
        <f>тепло!N84+' ВС'!O88</f>
        <v>12063.268254999999</v>
      </c>
      <c r="O88" s="220">
        <f>тепло!O84+' ВС'!P88</f>
        <v>1705.4896530000001</v>
      </c>
      <c r="P88" s="220">
        <f>тепло!P84+' ВС'!Q88</f>
        <v>1705.4896530000001</v>
      </c>
      <c r="Q88" s="220">
        <f>тепло!Q84+' ВС'!R88</f>
        <v>1705.4896530000001</v>
      </c>
      <c r="R88" s="221">
        <f>тепло!R84+' ВС'!S88</f>
        <v>5116.4689589999998</v>
      </c>
      <c r="S88" s="221">
        <f>тепло!S84+' ВС'!T88</f>
        <v>17179.737214000001</v>
      </c>
      <c r="T88" s="220">
        <f>тепло!T84+' ВС'!U88</f>
        <v>1913.139653</v>
      </c>
      <c r="U88" s="220">
        <f>тепло!U84+' ВС'!V88</f>
        <v>2120.7896529999998</v>
      </c>
      <c r="V88" s="220">
        <f>тепло!V84+' ВС'!W88</f>
        <v>2120.7896529999998</v>
      </c>
      <c r="W88" s="221">
        <f>тепло!W84+' ВС'!X88</f>
        <v>6154.7189589999998</v>
      </c>
    </row>
    <row r="89" spans="1:23" ht="18.75" x14ac:dyDescent="0.25">
      <c r="A89" s="68" t="s">
        <v>76</v>
      </c>
      <c r="B89" s="222">
        <f>тепло!B85+' ВС'!C89</f>
        <v>11130.043</v>
      </c>
      <c r="C89" s="222">
        <f t="shared" si="3"/>
        <v>4229.2012400000003</v>
      </c>
      <c r="D89" s="220">
        <f>тепло!D85+' ВС'!E89</f>
        <v>15359.24424</v>
      </c>
      <c r="E89" s="221">
        <f>тепло!E85+' ВС'!F89</f>
        <v>16779.502499999999</v>
      </c>
      <c r="F89" s="220">
        <f>тепло!F85+' ВС'!G89</f>
        <v>1577.3899999999999</v>
      </c>
      <c r="G89" s="220">
        <f>тепло!G85+' ВС'!H89</f>
        <v>1577.3899999999999</v>
      </c>
      <c r="H89" s="220">
        <f>тепло!H85+' ВС'!I89</f>
        <v>1577.3899999999999</v>
      </c>
      <c r="I89" s="221">
        <f>тепло!I85+' ВС'!J89</f>
        <v>4732.17</v>
      </c>
      <c r="J89" s="220">
        <f>тепло!J85+' ВС'!K89</f>
        <v>1712.3625</v>
      </c>
      <c r="K89" s="220">
        <f>тепло!K85+' ВС'!L89</f>
        <v>1162.0899999999999</v>
      </c>
      <c r="L89" s="220">
        <f>тепло!L85+' ВС'!M89</f>
        <v>1162.0899999999999</v>
      </c>
      <c r="M89" s="221">
        <f>тепло!M85+' ВС'!N89</f>
        <v>4036.5424999999996</v>
      </c>
      <c r="N89" s="221">
        <f>тепло!N85+' ВС'!O89</f>
        <v>8768.7124999999996</v>
      </c>
      <c r="O89" s="220">
        <f>тепло!O85+' ВС'!P89</f>
        <v>1162.0899999999999</v>
      </c>
      <c r="P89" s="220">
        <f>тепло!P85+' ВС'!Q89</f>
        <v>1162.0899999999999</v>
      </c>
      <c r="Q89" s="220">
        <f>тепло!Q85+' ВС'!R89</f>
        <v>1162.0899999999999</v>
      </c>
      <c r="R89" s="221">
        <f>тепло!R85+' ВС'!S89</f>
        <v>3486.2699999999995</v>
      </c>
      <c r="S89" s="221">
        <f>тепло!S85+' ВС'!T89</f>
        <v>12254.982499999998</v>
      </c>
      <c r="T89" s="220">
        <f>тепло!T85+' ВС'!U89</f>
        <v>1369.74</v>
      </c>
      <c r="U89" s="220">
        <f>тепло!U85+' ВС'!V89</f>
        <v>1577.3899999999999</v>
      </c>
      <c r="V89" s="220">
        <f>тепло!V85+' ВС'!W89</f>
        <v>1577.3899999999999</v>
      </c>
      <c r="W89" s="221">
        <f>тепло!W85+' ВС'!X89</f>
        <v>4524.5199999999995</v>
      </c>
    </row>
    <row r="90" spans="1:23" ht="18.75" x14ac:dyDescent="0.25">
      <c r="A90" s="68" t="s">
        <v>77</v>
      </c>
      <c r="B90" s="222">
        <f>тепло!B88+' ВС'!C90</f>
        <v>5053.6092200000003</v>
      </c>
      <c r="C90" s="222">
        <f t="shared" si="3"/>
        <v>2667.602746479999</v>
      </c>
      <c r="D90" s="220">
        <f>тепло!D88+' ВС'!E90</f>
        <v>7721.2119664799993</v>
      </c>
      <c r="E90" s="221">
        <f>тепло!E86+' ВС'!F90</f>
        <v>6554.953673</v>
      </c>
      <c r="F90" s="220">
        <f>тепло!F86+' ВС'!G90</f>
        <v>577.55749000000003</v>
      </c>
      <c r="G90" s="220">
        <f>тепло!G86+' ВС'!H90</f>
        <v>543.39965300000006</v>
      </c>
      <c r="H90" s="220">
        <f>тепло!H86+' ВС'!I90</f>
        <v>543.39965300000006</v>
      </c>
      <c r="I90" s="221">
        <f>тепло!I86+' ВС'!J90</f>
        <v>1664.356796</v>
      </c>
      <c r="J90" s="220">
        <f>тепло!J86+' ВС'!K90</f>
        <v>543.39965300000006</v>
      </c>
      <c r="K90" s="220">
        <f>тепло!K86+' ВС'!L90</f>
        <v>543.39965300000006</v>
      </c>
      <c r="L90" s="220">
        <f>тепло!L86+' ВС'!M90</f>
        <v>543.39965300000006</v>
      </c>
      <c r="M90" s="221">
        <f>тепло!M86+' ВС'!N90</f>
        <v>1630.1989590000001</v>
      </c>
      <c r="N90" s="221">
        <f>тепло!N86+' ВС'!O90</f>
        <v>3294.5557549999999</v>
      </c>
      <c r="O90" s="220">
        <f>тепло!O86+' ВС'!P90</f>
        <v>543.39965300000006</v>
      </c>
      <c r="P90" s="220">
        <f>тепло!P86+' ВС'!Q90</f>
        <v>543.39965300000006</v>
      </c>
      <c r="Q90" s="220">
        <f>тепло!Q86+' ВС'!R90</f>
        <v>543.39965300000006</v>
      </c>
      <c r="R90" s="221">
        <f>тепло!R86+' ВС'!S90</f>
        <v>1630.1989590000001</v>
      </c>
      <c r="S90" s="221">
        <f>тепло!S86+' ВС'!T90</f>
        <v>4924.7547139999997</v>
      </c>
      <c r="T90" s="220">
        <f>тепло!T86+' ВС'!U90</f>
        <v>543.39965300000006</v>
      </c>
      <c r="U90" s="220">
        <f>тепло!U86+' ВС'!V90</f>
        <v>543.39965300000006</v>
      </c>
      <c r="V90" s="220">
        <f>тепло!V86+' ВС'!W90</f>
        <v>543.39965300000006</v>
      </c>
      <c r="W90" s="221">
        <f>тепло!W86+' ВС'!X90</f>
        <v>1630.1989590000001</v>
      </c>
    </row>
    <row r="91" spans="1:23" ht="18.75" x14ac:dyDescent="0.25">
      <c r="A91" s="68" t="s">
        <v>78</v>
      </c>
      <c r="B91" s="222">
        <v>0</v>
      </c>
      <c r="C91" s="222">
        <v>0</v>
      </c>
      <c r="D91" s="220">
        <v>0</v>
      </c>
      <c r="E91" s="221">
        <f>тепло!E87+' ВС'!F91</f>
        <v>0</v>
      </c>
      <c r="F91" s="220">
        <f>тепло!F87+' ВС'!G91</f>
        <v>0</v>
      </c>
      <c r="G91" s="220">
        <f>тепло!G87+' ВС'!H91</f>
        <v>0</v>
      </c>
      <c r="H91" s="220">
        <f>тепло!H87+' ВС'!I91</f>
        <v>0</v>
      </c>
      <c r="I91" s="221">
        <f>тепло!I87+' ВС'!J91</f>
        <v>0</v>
      </c>
      <c r="J91" s="220">
        <f>тепло!J87+' ВС'!K91</f>
        <v>0</v>
      </c>
      <c r="K91" s="220">
        <f>тепло!K87+' ВС'!L91</f>
        <v>0</v>
      </c>
      <c r="L91" s="220">
        <f>тепло!L87+' ВС'!M91</f>
        <v>0</v>
      </c>
      <c r="M91" s="221">
        <f>тепло!M87+' ВС'!N91</f>
        <v>0</v>
      </c>
      <c r="N91" s="221">
        <f>тепло!N87+' ВС'!O91</f>
        <v>0</v>
      </c>
      <c r="O91" s="220">
        <f>тепло!O87+' ВС'!P91</f>
        <v>0</v>
      </c>
      <c r="P91" s="220">
        <f>тепло!P87+' ВС'!Q91</f>
        <v>0</v>
      </c>
      <c r="Q91" s="220">
        <f>тепло!Q87+' ВС'!R91</f>
        <v>0</v>
      </c>
      <c r="R91" s="221">
        <f>тепло!R87+' ВС'!S91</f>
        <v>0</v>
      </c>
      <c r="S91" s="221">
        <f>тепло!S87+' ВС'!T91</f>
        <v>0</v>
      </c>
      <c r="T91" s="220">
        <f>тепло!T87+' ВС'!U91</f>
        <v>0</v>
      </c>
      <c r="U91" s="220">
        <f>тепло!U87+' ВС'!V91</f>
        <v>0</v>
      </c>
      <c r="V91" s="220">
        <f>тепло!V87+' ВС'!W91</f>
        <v>0</v>
      </c>
      <c r="W91" s="221">
        <f>тепло!W87+' ВС'!X91</f>
        <v>0</v>
      </c>
    </row>
    <row r="92" spans="1:23" ht="18.75" x14ac:dyDescent="0.25">
      <c r="A92" s="69" t="s">
        <v>79</v>
      </c>
      <c r="B92" s="220">
        <f>тепло!B88+' ВС'!C92</f>
        <v>4766.9646072884534</v>
      </c>
      <c r="C92" s="220">
        <f t="shared" ref="C92:C112" si="12">D92-B92</f>
        <v>2083.9320411915469</v>
      </c>
      <c r="D92" s="220">
        <f>тепло!D88+' ВС'!E92</f>
        <v>6850.8966484800003</v>
      </c>
      <c r="E92" s="221">
        <f>тепло!E88+' ВС'!F92</f>
        <v>7045.3288350000003</v>
      </c>
      <c r="F92" s="220">
        <f>тепло!F88+' ВС'!G92</f>
        <v>650.59236999999996</v>
      </c>
      <c r="G92" s="220">
        <f>тепло!G88+' ВС'!H92</f>
        <v>640.34436999999991</v>
      </c>
      <c r="H92" s="220">
        <f>тепло!H88+' ВС'!I92</f>
        <v>640.34436999999991</v>
      </c>
      <c r="I92" s="221">
        <f>тепло!I88+' ВС'!J92</f>
        <v>1931.2811099999999</v>
      </c>
      <c r="J92" s="220">
        <f>тепло!J88+' ВС'!K92</f>
        <v>681.10606499999994</v>
      </c>
      <c r="K92" s="220">
        <f>тепло!K88+' ВС'!L92</f>
        <v>514.92376999999999</v>
      </c>
      <c r="L92" s="220">
        <f>тепло!L88+' ВС'!M92</f>
        <v>514.92376999999999</v>
      </c>
      <c r="M92" s="221">
        <f>тепло!M88+' ВС'!N92</f>
        <v>1710.9536049999999</v>
      </c>
      <c r="N92" s="221">
        <f>тепло!N88+' ВС'!O92</f>
        <v>3642.2347150000001</v>
      </c>
      <c r="O92" s="220">
        <f>тепло!O88+' ВС'!P92</f>
        <v>514.92376999999999</v>
      </c>
      <c r="P92" s="220">
        <f>тепло!P88+' ВС'!Q92</f>
        <v>514.92376999999999</v>
      </c>
      <c r="Q92" s="220">
        <f>тепло!Q88+' ВС'!R92</f>
        <v>514.92376999999999</v>
      </c>
      <c r="R92" s="221">
        <f>тепло!R88+' ВС'!S92</f>
        <v>1544.7713100000001</v>
      </c>
      <c r="S92" s="221">
        <f>тепло!S88+' ВС'!T92</f>
        <v>5187.0060249999997</v>
      </c>
      <c r="T92" s="220">
        <f>тепло!T88+' ВС'!U92</f>
        <v>577.63406999999995</v>
      </c>
      <c r="U92" s="220">
        <f>тепло!U88+' ВС'!V92</f>
        <v>640.34436999999991</v>
      </c>
      <c r="V92" s="220">
        <f>тепло!V88+' ВС'!W92</f>
        <v>640.34436999999991</v>
      </c>
      <c r="W92" s="221">
        <f>тепло!W88+' ВС'!X92</f>
        <v>1858.3228099999999</v>
      </c>
    </row>
    <row r="93" spans="1:23" ht="18.75" x14ac:dyDescent="0.25">
      <c r="A93" s="68" t="s">
        <v>76</v>
      </c>
      <c r="B93" s="222">
        <f>тепло!B89+' ВС'!C93</f>
        <v>3362.5260000000003</v>
      </c>
      <c r="C93" s="222">
        <f t="shared" si="12"/>
        <v>1275.96576048</v>
      </c>
      <c r="D93" s="220">
        <f>тепло!D89+' ВС'!E93</f>
        <v>4638.4917604800003</v>
      </c>
      <c r="E93" s="221">
        <f>тепло!E89+' ВС'!F93</f>
        <v>5067.4097549999997</v>
      </c>
      <c r="F93" s="220">
        <f>тепло!F89+' ВС'!G93</f>
        <v>476.37177999999994</v>
      </c>
      <c r="G93" s="220">
        <f>тепло!G89+' ВС'!H93</f>
        <v>476.37177999999994</v>
      </c>
      <c r="H93" s="220">
        <f>тепло!H89+' ВС'!I93</f>
        <v>476.37177999999994</v>
      </c>
      <c r="I93" s="221">
        <f>тепло!I89+' ВС'!J93</f>
        <v>1429.1153399999998</v>
      </c>
      <c r="J93" s="220">
        <f>тепло!J89+' ВС'!K93</f>
        <v>517.13347499999998</v>
      </c>
      <c r="K93" s="220">
        <f>тепло!K89+' ВС'!L93</f>
        <v>350.95117999999997</v>
      </c>
      <c r="L93" s="220">
        <f>тепло!L89+' ВС'!M93</f>
        <v>350.95117999999997</v>
      </c>
      <c r="M93" s="221">
        <f>тепло!M89+' ВС'!N93</f>
        <v>1219.0358349999999</v>
      </c>
      <c r="N93" s="221">
        <f>тепло!N89+' ВС'!O93</f>
        <v>2648.151175</v>
      </c>
      <c r="O93" s="220">
        <f>тепло!O89+' ВС'!P93</f>
        <v>350.95117999999997</v>
      </c>
      <c r="P93" s="220">
        <f>тепло!P89+' ВС'!Q93</f>
        <v>350.95117999999997</v>
      </c>
      <c r="Q93" s="220">
        <f>тепло!Q89+' ВС'!R93</f>
        <v>350.95117999999997</v>
      </c>
      <c r="R93" s="221">
        <f>тепло!R89+' ВС'!S93</f>
        <v>1052.8535399999998</v>
      </c>
      <c r="S93" s="221">
        <f>тепло!S89+' ВС'!T93</f>
        <v>3701.0047149999991</v>
      </c>
      <c r="T93" s="220">
        <f>тепло!T89+' ВС'!U93</f>
        <v>413.66147999999998</v>
      </c>
      <c r="U93" s="220">
        <f>тепло!U89+' ВС'!V93</f>
        <v>476.37177999999994</v>
      </c>
      <c r="V93" s="220">
        <f>тепло!V89+' ВС'!W93</f>
        <v>476.37177999999994</v>
      </c>
      <c r="W93" s="221">
        <f>тепло!W89+' ВС'!X93</f>
        <v>1366.4050399999999</v>
      </c>
    </row>
    <row r="94" spans="1:23" ht="18.75" x14ac:dyDescent="0.25">
      <c r="A94" s="68" t="s">
        <v>77</v>
      </c>
      <c r="B94" s="222">
        <f>тепло!B90+' ВС'!C94</f>
        <v>1404.4386072884531</v>
      </c>
      <c r="C94" s="222">
        <f t="shared" si="12"/>
        <v>807.96628071154691</v>
      </c>
      <c r="D94" s="220">
        <f>тепло!D90+' ВС'!E94</f>
        <v>2212.404888</v>
      </c>
      <c r="E94" s="221">
        <f>тепло!E90+' ВС'!F94</f>
        <v>1977.9190800000001</v>
      </c>
      <c r="F94" s="220">
        <f>тепло!F90+' ВС'!G94</f>
        <v>174.22059000000002</v>
      </c>
      <c r="G94" s="220">
        <f>тепло!G90+' ВС'!H94</f>
        <v>163.97259000000003</v>
      </c>
      <c r="H94" s="220">
        <f>тепло!H90+' ВС'!I94</f>
        <v>163.97259000000003</v>
      </c>
      <c r="I94" s="221">
        <f>тепло!I90+' ВС'!J94</f>
        <v>502.16577000000001</v>
      </c>
      <c r="J94" s="220">
        <f>тепло!J90+' ВС'!K94</f>
        <v>163.97259000000003</v>
      </c>
      <c r="K94" s="220">
        <f>тепло!K90+' ВС'!L94</f>
        <v>163.97259000000003</v>
      </c>
      <c r="L94" s="220">
        <f>тепло!L90+' ВС'!M94</f>
        <v>163.97259000000003</v>
      </c>
      <c r="M94" s="221">
        <f>тепло!M90+' ВС'!N94</f>
        <v>491.91777000000002</v>
      </c>
      <c r="N94" s="221">
        <f>тепло!N90+' ВС'!O94</f>
        <v>994.08354000000008</v>
      </c>
      <c r="O94" s="220">
        <f>тепло!O90+' ВС'!P94</f>
        <v>163.97259000000003</v>
      </c>
      <c r="P94" s="220">
        <f>тепло!P90+' ВС'!Q94</f>
        <v>163.97259000000003</v>
      </c>
      <c r="Q94" s="220">
        <f>тепло!Q90+' ВС'!R94</f>
        <v>163.97259000000003</v>
      </c>
      <c r="R94" s="221">
        <f>тепло!R90+' ВС'!S94</f>
        <v>491.91777000000002</v>
      </c>
      <c r="S94" s="221">
        <f>тепло!S90+' ВС'!T94</f>
        <v>1486.0013100000001</v>
      </c>
      <c r="T94" s="220">
        <f>тепло!T90+' ВС'!U94</f>
        <v>163.97259000000003</v>
      </c>
      <c r="U94" s="220">
        <f>тепло!U90+' ВС'!V94</f>
        <v>163.97259000000003</v>
      </c>
      <c r="V94" s="220">
        <f>тепло!V90+' ВС'!W94</f>
        <v>163.97259000000003</v>
      </c>
      <c r="W94" s="221">
        <f>тепло!W90+' ВС'!X94</f>
        <v>491.91777000000002</v>
      </c>
    </row>
    <row r="95" spans="1:23" ht="18.75" x14ac:dyDescent="0.25">
      <c r="A95" s="68" t="s">
        <v>78</v>
      </c>
      <c r="B95" s="222">
        <f>тепло!B93+' ВС'!C95</f>
        <v>0</v>
      </c>
      <c r="C95" s="222">
        <f t="shared" si="12"/>
        <v>0</v>
      </c>
      <c r="D95" s="220">
        <f>тепло!D93+' ВС'!E95</f>
        <v>0</v>
      </c>
      <c r="E95" s="221">
        <f>тепло!E91+' ВС'!F95</f>
        <v>0</v>
      </c>
      <c r="F95" s="220">
        <f>тепло!F91+' ВС'!G95</f>
        <v>0</v>
      </c>
      <c r="G95" s="220">
        <f>тепло!G91+' ВС'!H95</f>
        <v>0</v>
      </c>
      <c r="H95" s="220">
        <f>тепло!H91+' ВС'!I95</f>
        <v>0</v>
      </c>
      <c r="I95" s="221">
        <f>тепло!I91+' ВС'!J95</f>
        <v>0</v>
      </c>
      <c r="J95" s="220">
        <f>тепло!J91+' ВС'!K95</f>
        <v>0</v>
      </c>
      <c r="K95" s="220">
        <f>тепло!K91+' ВС'!L95</f>
        <v>0</v>
      </c>
      <c r="L95" s="220">
        <f>тепло!L91+' ВС'!M95</f>
        <v>0</v>
      </c>
      <c r="M95" s="221">
        <f>тепло!M91+' ВС'!N95</f>
        <v>0</v>
      </c>
      <c r="N95" s="221">
        <f>тепло!N91+' ВС'!O95</f>
        <v>0</v>
      </c>
      <c r="O95" s="220">
        <f>тепло!O91+' ВС'!P95</f>
        <v>0</v>
      </c>
      <c r="P95" s="220">
        <f>тепло!P91+' ВС'!Q95</f>
        <v>0</v>
      </c>
      <c r="Q95" s="220">
        <f>тепло!Q91+' ВС'!R95</f>
        <v>0</v>
      </c>
      <c r="R95" s="221">
        <f>тепло!R91+' ВС'!S95</f>
        <v>0</v>
      </c>
      <c r="S95" s="221">
        <f>тепло!S91+' ВС'!T95</f>
        <v>0</v>
      </c>
      <c r="T95" s="220">
        <f>тепло!T91+' ВС'!U95</f>
        <v>0</v>
      </c>
      <c r="U95" s="220">
        <f>тепло!U91+' ВС'!V95</f>
        <v>0</v>
      </c>
      <c r="V95" s="220">
        <f>тепло!V91+' ВС'!W95</f>
        <v>0</v>
      </c>
      <c r="W95" s="221">
        <f>тепло!W91+' ВС'!X95</f>
        <v>0</v>
      </c>
    </row>
    <row r="96" spans="1:23" ht="18.75" x14ac:dyDescent="0.25">
      <c r="A96" s="64"/>
      <c r="B96" s="63">
        <f>тепло!B94+' ВС'!C96</f>
        <v>0</v>
      </c>
      <c r="C96" s="63">
        <f t="shared" si="12"/>
        <v>0</v>
      </c>
      <c r="D96" s="62">
        <f>тепло!D92+' ВС'!E95</f>
        <v>0</v>
      </c>
      <c r="E96" s="53">
        <f>тепло!E92+' ВС'!F95</f>
        <v>0</v>
      </c>
      <c r="F96" s="62">
        <f>тепло!F92+' ВС'!G95</f>
        <v>0</v>
      </c>
      <c r="G96" s="62">
        <f>тепло!G92+' ВС'!H95</f>
        <v>0</v>
      </c>
      <c r="H96" s="62">
        <f>тепло!H92+' ВС'!I95</f>
        <v>0</v>
      </c>
      <c r="I96" s="53">
        <f>тепло!I92+' ВС'!J95</f>
        <v>0</v>
      </c>
      <c r="J96" s="62">
        <f>тепло!J92+' ВС'!K95</f>
        <v>0</v>
      </c>
      <c r="K96" s="62">
        <f>тепло!K92+' ВС'!L95</f>
        <v>0</v>
      </c>
      <c r="L96" s="62">
        <f>тепло!L92+' ВС'!M95</f>
        <v>0</v>
      </c>
      <c r="M96" s="53">
        <f>тепло!M92+' ВС'!N95</f>
        <v>0</v>
      </c>
      <c r="N96" s="53">
        <f>тепло!N92+' ВС'!O95</f>
        <v>0</v>
      </c>
      <c r="O96" s="62">
        <f>тепло!O92+' ВС'!P95</f>
        <v>0</v>
      </c>
      <c r="P96" s="62">
        <f>тепло!P92+' ВС'!Q95</f>
        <v>0</v>
      </c>
      <c r="Q96" s="62">
        <f>тепло!Q92+' ВС'!R95</f>
        <v>0</v>
      </c>
      <c r="R96" s="53">
        <f>тепло!R92+' ВС'!S95</f>
        <v>0</v>
      </c>
      <c r="S96" s="53">
        <f>тепло!S92+' ВС'!T95</f>
        <v>0</v>
      </c>
      <c r="T96" s="62">
        <f>тепло!T92+' ВС'!U95</f>
        <v>0</v>
      </c>
      <c r="U96" s="62">
        <f>тепло!U92+' ВС'!V95</f>
        <v>0</v>
      </c>
      <c r="V96" s="62">
        <f>тепло!V92+' ВС'!W95</f>
        <v>0</v>
      </c>
      <c r="W96" s="53">
        <f>тепло!W92+' ВС'!X95</f>
        <v>0</v>
      </c>
    </row>
    <row r="97" spans="1:23" ht="37.5" x14ac:dyDescent="0.25">
      <c r="A97" s="67" t="s">
        <v>96</v>
      </c>
      <c r="B97" s="62">
        <f>тепло!B93+' ВС'!C97</f>
        <v>2015.04</v>
      </c>
      <c r="C97" s="62">
        <f t="shared" si="12"/>
        <v>-894.09404981999978</v>
      </c>
      <c r="D97" s="62">
        <f>тепло!D93+' ВС'!E97</f>
        <v>1120.9459501800002</v>
      </c>
      <c r="E97" s="53">
        <f>' ВС'!F97</f>
        <v>281.98195199999998</v>
      </c>
      <c r="F97" s="62">
        <f>' ВС'!G97</f>
        <v>23.498495999999996</v>
      </c>
      <c r="G97" s="62">
        <f>' ВС'!H97</f>
        <v>23.498495999999996</v>
      </c>
      <c r="H97" s="62">
        <f t="shared" ref="H97" si="13">H98+H101</f>
        <v>23.498495999999996</v>
      </c>
      <c r="I97" s="53">
        <f>тепло!I93+' ВС'!J97</f>
        <v>70.495487999999995</v>
      </c>
      <c r="J97" s="62">
        <f>' ВС'!K97</f>
        <v>23.498495999999996</v>
      </c>
      <c r="K97" s="62">
        <f>' ВС'!L97</f>
        <v>23.498495999999996</v>
      </c>
      <c r="L97" s="62">
        <f>' ВС'!M97</f>
        <v>23.498495999999996</v>
      </c>
      <c r="M97" s="53">
        <f>' ВС'!N97</f>
        <v>70.495487999999995</v>
      </c>
      <c r="N97" s="53">
        <f>' ВС'!O97</f>
        <v>140.99097599999999</v>
      </c>
      <c r="O97" s="62">
        <f>' ВС'!P97</f>
        <v>23.498495999999996</v>
      </c>
      <c r="P97" s="62">
        <f>' ВС'!Q97</f>
        <v>23.498495999999996</v>
      </c>
      <c r="Q97" s="62">
        <f>' ВС'!R97</f>
        <v>23.498495999999996</v>
      </c>
      <c r="R97" s="53">
        <f>' ВС'!S97</f>
        <v>70.495487999999995</v>
      </c>
      <c r="S97" s="53">
        <f>' ВС'!T97</f>
        <v>211.48646399999998</v>
      </c>
      <c r="T97" s="62">
        <f>' ВС'!U97</f>
        <v>23.498495999999996</v>
      </c>
      <c r="U97" s="62">
        <f>' ВС'!V97</f>
        <v>23.498495999999996</v>
      </c>
      <c r="V97" s="62">
        <f>' ВС'!W97</f>
        <v>23.498495999999996</v>
      </c>
      <c r="W97" s="53">
        <f>' ВС'!X97</f>
        <v>70.495487999999995</v>
      </c>
    </row>
    <row r="98" spans="1:23" ht="18.75" x14ac:dyDescent="0.25">
      <c r="A98" s="68" t="s">
        <v>116</v>
      </c>
      <c r="B98" s="62">
        <f>' ВС'!C98</f>
        <v>339.18731500000001</v>
      </c>
      <c r="C98" s="62">
        <f t="shared" si="12"/>
        <v>521.75427500000001</v>
      </c>
      <c r="D98" s="62">
        <f>' ВС'!E98</f>
        <v>860.94159000000002</v>
      </c>
      <c r="E98" s="53">
        <f>' ВС'!F98</f>
        <v>216.57599999999996</v>
      </c>
      <c r="F98" s="62">
        <f>' ВС'!G98</f>
        <v>18.047999999999998</v>
      </c>
      <c r="G98" s="62">
        <f>' ВС'!H98</f>
        <v>18.047999999999998</v>
      </c>
      <c r="H98" s="62">
        <f t="shared" ref="H98" si="14">H99+H100</f>
        <v>18.047999999999998</v>
      </c>
      <c r="I98" s="53">
        <f>' ВС'!J98</f>
        <v>54.143999999999991</v>
      </c>
      <c r="J98" s="62">
        <f>' ВС'!K98</f>
        <v>18.047999999999998</v>
      </c>
      <c r="K98" s="62">
        <f>' ВС'!L98</f>
        <v>18.047999999999998</v>
      </c>
      <c r="L98" s="62">
        <f>' ВС'!M98</f>
        <v>18.047999999999998</v>
      </c>
      <c r="M98" s="53">
        <f>' ВС'!N98</f>
        <v>54.143999999999991</v>
      </c>
      <c r="N98" s="53">
        <f>' ВС'!O98</f>
        <v>108.28799999999998</v>
      </c>
      <c r="O98" s="62">
        <f>' ВС'!P98</f>
        <v>18.047999999999998</v>
      </c>
      <c r="P98" s="62">
        <f>' ВС'!Q98</f>
        <v>18.047999999999998</v>
      </c>
      <c r="Q98" s="62">
        <f>' ВС'!R98</f>
        <v>18.047999999999998</v>
      </c>
      <c r="R98" s="53">
        <f>' ВС'!S98</f>
        <v>54.143999999999991</v>
      </c>
      <c r="S98" s="53">
        <f>' ВС'!T98</f>
        <v>162.43199999999996</v>
      </c>
      <c r="T98" s="62">
        <f>' ВС'!U98</f>
        <v>18.047999999999998</v>
      </c>
      <c r="U98" s="62">
        <f>' ВС'!V98</f>
        <v>18.047999999999998</v>
      </c>
      <c r="V98" s="62">
        <f>' ВС'!W98</f>
        <v>18.047999999999998</v>
      </c>
      <c r="W98" s="53">
        <f>' ВС'!X98</f>
        <v>54.143999999999991</v>
      </c>
    </row>
    <row r="99" spans="1:23" ht="18.75" x14ac:dyDescent="0.25">
      <c r="A99" s="69" t="s">
        <v>78</v>
      </c>
      <c r="B99" s="62">
        <f>' ВС'!C99</f>
        <v>133.05287999999999</v>
      </c>
      <c r="C99" s="62">
        <f t="shared" si="12"/>
        <v>49.635120000000001</v>
      </c>
      <c r="D99" s="62">
        <f>' ВС'!E99</f>
        <v>182.68799999999999</v>
      </c>
      <c r="E99" s="53">
        <f>' ВС'!F99</f>
        <v>216.57599999999996</v>
      </c>
      <c r="F99" s="62">
        <f>' ВС'!G99</f>
        <v>18.047999999999998</v>
      </c>
      <c r="G99" s="62">
        <f>' ВС'!H99</f>
        <v>18.047999999999998</v>
      </c>
      <c r="H99" s="62">
        <v>18.047999999999998</v>
      </c>
      <c r="I99" s="53">
        <f>' ВС'!J99</f>
        <v>54.143999999999991</v>
      </c>
      <c r="J99" s="62">
        <f>' ВС'!K99</f>
        <v>18.047999999999998</v>
      </c>
      <c r="K99" s="62">
        <f>' ВС'!L99</f>
        <v>18.047999999999998</v>
      </c>
      <c r="L99" s="62">
        <f>' ВС'!M99</f>
        <v>18.047999999999998</v>
      </c>
      <c r="M99" s="53">
        <f>' ВС'!N99</f>
        <v>54.143999999999991</v>
      </c>
      <c r="N99" s="53">
        <f>' ВС'!O99</f>
        <v>108.28799999999998</v>
      </c>
      <c r="O99" s="62">
        <f>' ВС'!P99</f>
        <v>18.047999999999998</v>
      </c>
      <c r="P99" s="62">
        <f>' ВС'!Q99</f>
        <v>18.047999999999998</v>
      </c>
      <c r="Q99" s="62">
        <f>' ВС'!R99</f>
        <v>18.047999999999998</v>
      </c>
      <c r="R99" s="53">
        <f>' ВС'!S99</f>
        <v>54.143999999999991</v>
      </c>
      <c r="S99" s="53">
        <f>' ВС'!T99</f>
        <v>162.43199999999996</v>
      </c>
      <c r="T99" s="62">
        <f>' ВС'!U99</f>
        <v>18.047999999999998</v>
      </c>
      <c r="U99" s="62">
        <f>' ВС'!V99</f>
        <v>18.047999999999998</v>
      </c>
      <c r="V99" s="62">
        <f>' ВС'!W99</f>
        <v>18.047999999999998</v>
      </c>
      <c r="W99" s="53">
        <f>' ВС'!X99</f>
        <v>54.143999999999991</v>
      </c>
    </row>
    <row r="100" spans="1:23" ht="18.75" x14ac:dyDescent="0.25">
      <c r="A100" s="68" t="s">
        <v>117</v>
      </c>
      <c r="B100" s="62">
        <f>тепло!B98+' ВС'!C100</f>
        <v>206.13443500000002</v>
      </c>
      <c r="C100" s="62">
        <f t="shared" si="12"/>
        <v>472.11915499999986</v>
      </c>
      <c r="D100" s="62">
        <f>тепло!D98+' ВС'!E100</f>
        <v>678.25358999999992</v>
      </c>
      <c r="E100" s="62">
        <f>' ВС'!F100</f>
        <v>0</v>
      </c>
      <c r="F100" s="62">
        <f>' ВС'!G100</f>
        <v>0</v>
      </c>
      <c r="G100" s="62">
        <f>' ВС'!H100</f>
        <v>0</v>
      </c>
      <c r="H100" s="62">
        <f>' ВС'!I100</f>
        <v>0</v>
      </c>
      <c r="I100" s="62">
        <f>' ВС'!J100</f>
        <v>0</v>
      </c>
      <c r="J100" s="62">
        <f>' ВС'!K100</f>
        <v>0</v>
      </c>
      <c r="K100" s="62">
        <f>' ВС'!L100</f>
        <v>0</v>
      </c>
      <c r="L100" s="62">
        <f>' ВС'!M100</f>
        <v>0</v>
      </c>
      <c r="M100" s="62">
        <f>' ВС'!N100</f>
        <v>0</v>
      </c>
      <c r="N100" s="62">
        <f>' ВС'!O100</f>
        <v>0</v>
      </c>
      <c r="O100" s="62">
        <f>' ВС'!P100</f>
        <v>0</v>
      </c>
      <c r="P100" s="62">
        <f>' ВС'!Q100</f>
        <v>0</v>
      </c>
      <c r="Q100" s="62">
        <f>' ВС'!R100</f>
        <v>0</v>
      </c>
      <c r="R100" s="62">
        <f>' ВС'!S100</f>
        <v>0</v>
      </c>
      <c r="S100" s="62">
        <f>' ВС'!T100</f>
        <v>0</v>
      </c>
      <c r="T100" s="62">
        <f>' ВС'!U100</f>
        <v>0</v>
      </c>
      <c r="U100" s="62">
        <f>' ВС'!V100</f>
        <v>0</v>
      </c>
      <c r="V100" s="62">
        <f>' ВС'!W100</f>
        <v>0</v>
      </c>
      <c r="W100" s="62">
        <f>' ВС'!X100</f>
        <v>0</v>
      </c>
    </row>
    <row r="101" spans="1:23" ht="18.75" x14ac:dyDescent="0.25">
      <c r="A101" s="69" t="s">
        <v>118</v>
      </c>
      <c r="B101" s="62">
        <f>' ВС'!C101</f>
        <v>102.43545973489999</v>
      </c>
      <c r="C101" s="62">
        <f t="shared" si="12"/>
        <v>157.56890044509993</v>
      </c>
      <c r="D101" s="62">
        <f>' ВС'!E101</f>
        <v>260.00436017999994</v>
      </c>
      <c r="E101" s="53">
        <f>' ВС'!F101</f>
        <v>65.405951999999985</v>
      </c>
      <c r="F101" s="62">
        <f>' ВС'!G101</f>
        <v>5.4504959999999993</v>
      </c>
      <c r="G101" s="62">
        <f>' ВС'!H101</f>
        <v>5.4504959999999993</v>
      </c>
      <c r="H101" s="62">
        <f t="shared" ref="H101" si="15">H102+H103</f>
        <v>5.4504959999999993</v>
      </c>
      <c r="I101" s="53">
        <f>' ВС'!J101</f>
        <v>16.351487999999996</v>
      </c>
      <c r="J101" s="62">
        <f>' ВС'!K101</f>
        <v>5.4504959999999993</v>
      </c>
      <c r="K101" s="62">
        <f>' ВС'!L101</f>
        <v>5.4504959999999993</v>
      </c>
      <c r="L101" s="62">
        <f>' ВС'!M101</f>
        <v>5.4504959999999993</v>
      </c>
      <c r="M101" s="53">
        <f>' ВС'!N101</f>
        <v>16.351487999999996</v>
      </c>
      <c r="N101" s="53">
        <f>' ВС'!O101</f>
        <v>32.702975999999992</v>
      </c>
      <c r="O101" s="62">
        <f>' ВС'!P101</f>
        <v>5.4504959999999993</v>
      </c>
      <c r="P101" s="62">
        <f>' ВС'!Q101</f>
        <v>5.4504959999999993</v>
      </c>
      <c r="Q101" s="62">
        <f>' ВС'!R101</f>
        <v>5.4504959999999993</v>
      </c>
      <c r="R101" s="53">
        <f>' ВС'!S101</f>
        <v>16.351487999999996</v>
      </c>
      <c r="S101" s="53">
        <f>' ВС'!T101</f>
        <v>49.054463999999989</v>
      </c>
      <c r="T101" s="62">
        <f>' ВС'!U101</f>
        <v>5.4504959999999993</v>
      </c>
      <c r="U101" s="62">
        <f>' ВС'!V101</f>
        <v>5.4504959999999993</v>
      </c>
      <c r="V101" s="62">
        <f>' ВС'!W101</f>
        <v>5.4504959999999993</v>
      </c>
      <c r="W101" s="53">
        <f>' ВС'!X101</f>
        <v>16.351487999999996</v>
      </c>
    </row>
    <row r="102" spans="1:23" ht="18.75" x14ac:dyDescent="0.25">
      <c r="A102" s="68" t="s">
        <v>78</v>
      </c>
      <c r="B102" s="62">
        <f>' ВС'!C102</f>
        <v>40.182860364899994</v>
      </c>
      <c r="C102" s="62">
        <f t="shared" si="12"/>
        <v>14.9889156351</v>
      </c>
      <c r="D102" s="62">
        <f>' ВС'!E102</f>
        <v>55.171775999999994</v>
      </c>
      <c r="E102" s="53">
        <f>' ВС'!F102</f>
        <v>65.405951999999985</v>
      </c>
      <c r="F102" s="62">
        <f>' ВС'!G102</f>
        <v>5.4504959999999993</v>
      </c>
      <c r="G102" s="62">
        <f>' ВС'!H102</f>
        <v>5.4504959999999993</v>
      </c>
      <c r="H102" s="62">
        <f t="shared" ref="H102" si="16">H99*0.302</f>
        <v>5.4504959999999993</v>
      </c>
      <c r="I102" s="53">
        <f>' ВС'!J102</f>
        <v>16.351487999999996</v>
      </c>
      <c r="J102" s="62">
        <f>' ВС'!K102</f>
        <v>5.4504959999999993</v>
      </c>
      <c r="K102" s="62">
        <f>' ВС'!L102</f>
        <v>5.4504959999999993</v>
      </c>
      <c r="L102" s="62">
        <f>' ВС'!M102</f>
        <v>5.4504959999999993</v>
      </c>
      <c r="M102" s="53">
        <f>' ВС'!N102</f>
        <v>16.351487999999996</v>
      </c>
      <c r="N102" s="53">
        <f>' ВС'!O102</f>
        <v>32.702975999999992</v>
      </c>
      <c r="O102" s="62">
        <f>' ВС'!P102</f>
        <v>5.4504959999999993</v>
      </c>
      <c r="P102" s="62">
        <f>' ВС'!Q102</f>
        <v>5.4504959999999993</v>
      </c>
      <c r="Q102" s="62">
        <f>' ВС'!R102</f>
        <v>5.4504959999999993</v>
      </c>
      <c r="R102" s="53">
        <f>' ВС'!S102</f>
        <v>16.351487999999996</v>
      </c>
      <c r="S102" s="53">
        <f>' ВС'!T102</f>
        <v>49.054463999999989</v>
      </c>
      <c r="T102" s="62">
        <f>' ВС'!U102</f>
        <v>5.4504959999999993</v>
      </c>
      <c r="U102" s="62">
        <f>' ВС'!V102</f>
        <v>5.4504959999999993</v>
      </c>
      <c r="V102" s="62">
        <f>' ВС'!W102</f>
        <v>5.4504959999999993</v>
      </c>
      <c r="W102" s="53">
        <f>' ВС'!X102</f>
        <v>16.351487999999996</v>
      </c>
    </row>
    <row r="103" spans="1:23" ht="18.75" x14ac:dyDescent="0.25">
      <c r="A103" s="69" t="s">
        <v>117</v>
      </c>
      <c r="B103" s="62">
        <f>' ВС'!C103</f>
        <v>62.252599369999999</v>
      </c>
      <c r="C103" s="62">
        <f t="shared" si="12"/>
        <v>142.57998480999998</v>
      </c>
      <c r="D103" s="62">
        <f>' ВС'!E103</f>
        <v>204.83258417999997</v>
      </c>
      <c r="E103" s="53">
        <f>' ВС'!F103</f>
        <v>0</v>
      </c>
      <c r="F103" s="62">
        <f>' ВС'!G103</f>
        <v>0</v>
      </c>
      <c r="G103" s="62">
        <f>' ВС'!H103</f>
        <v>0</v>
      </c>
      <c r="H103" s="62">
        <f>' ВС'!I103</f>
        <v>0</v>
      </c>
      <c r="I103" s="53">
        <f>' ВС'!J103</f>
        <v>0</v>
      </c>
      <c r="J103" s="62">
        <f>' ВС'!K103</f>
        <v>0</v>
      </c>
      <c r="K103" s="62">
        <f>' ВС'!L103</f>
        <v>0</v>
      </c>
      <c r="L103" s="62">
        <f>' ВС'!M103</f>
        <v>0</v>
      </c>
      <c r="M103" s="53">
        <f>' ВС'!N103</f>
        <v>0</v>
      </c>
      <c r="N103" s="53">
        <f>' ВС'!O103</f>
        <v>0</v>
      </c>
      <c r="O103" s="62">
        <f>' ВС'!P103</f>
        <v>0</v>
      </c>
      <c r="P103" s="62">
        <f>' ВС'!Q103</f>
        <v>0</v>
      </c>
      <c r="Q103" s="62">
        <f>' ВС'!R103</f>
        <v>0</v>
      </c>
      <c r="R103" s="53">
        <f>' ВС'!S103</f>
        <v>0</v>
      </c>
      <c r="S103" s="53">
        <f>' ВС'!T103</f>
        <v>0</v>
      </c>
      <c r="T103" s="62">
        <f>' ВС'!U103</f>
        <v>0</v>
      </c>
      <c r="U103" s="62">
        <f>' ВС'!V103</f>
        <v>0</v>
      </c>
      <c r="V103" s="62">
        <f>' ВС'!W103</f>
        <v>0</v>
      </c>
      <c r="W103" s="53">
        <f>' ВС'!X103</f>
        <v>0</v>
      </c>
    </row>
    <row r="104" spans="1:23" ht="18.75" x14ac:dyDescent="0.25">
      <c r="A104" s="66" t="s">
        <v>93</v>
      </c>
      <c r="B104" s="53">
        <f>тепло!B94+' ВС'!C104</f>
        <v>109.83</v>
      </c>
      <c r="C104" s="53">
        <f t="shared" si="12"/>
        <v>-18.63000000000001</v>
      </c>
      <c r="D104" s="62">
        <f>тепло!D94+' ВС'!E104</f>
        <v>91.199999999999989</v>
      </c>
      <c r="E104" s="53">
        <f>тепло!E94+' ВС'!F104</f>
        <v>0</v>
      </c>
      <c r="F104" s="53">
        <f>тепло!F94+' ВС'!G104</f>
        <v>0</v>
      </c>
      <c r="G104" s="53">
        <f>тепло!G94+' ВС'!H104</f>
        <v>0</v>
      </c>
      <c r="H104" s="53">
        <f>тепло!H94+' ВС'!I104</f>
        <v>0</v>
      </c>
      <c r="I104" s="53">
        <f>тепло!I94+' ВС'!J104</f>
        <v>0</v>
      </c>
      <c r="J104" s="53">
        <f>тепло!J94+' ВС'!K104</f>
        <v>0</v>
      </c>
      <c r="K104" s="53">
        <f>тепло!K94+' ВС'!L104</f>
        <v>0</v>
      </c>
      <c r="L104" s="53">
        <f>тепло!L94+' ВС'!M104</f>
        <v>0</v>
      </c>
      <c r="M104" s="53">
        <f>тепло!M94+' ВС'!N104</f>
        <v>0</v>
      </c>
      <c r="N104" s="53">
        <f>тепло!N94+' ВС'!O104</f>
        <v>0</v>
      </c>
      <c r="O104" s="53">
        <f>тепло!O94+' ВС'!P104</f>
        <v>0</v>
      </c>
      <c r="P104" s="53">
        <f>тепло!P94+' ВС'!Q104</f>
        <v>0</v>
      </c>
      <c r="Q104" s="53">
        <f>тепло!Q94+' ВС'!R104</f>
        <v>0</v>
      </c>
      <c r="R104" s="53">
        <f>тепло!R94+' ВС'!S104</f>
        <v>0</v>
      </c>
      <c r="S104" s="53">
        <f>тепло!S94+' ВС'!T104</f>
        <v>0</v>
      </c>
      <c r="T104" s="53">
        <f>тепло!T94+' ВС'!U104</f>
        <v>0</v>
      </c>
      <c r="U104" s="53">
        <f>тепло!U94+' ВС'!V104</f>
        <v>0</v>
      </c>
      <c r="V104" s="53">
        <f>тепло!V94+' ВС'!W104</f>
        <v>0</v>
      </c>
      <c r="W104" s="53">
        <f>тепло!W94+' ВС'!X104</f>
        <v>0</v>
      </c>
    </row>
    <row r="105" spans="1:23" ht="18.75" x14ac:dyDescent="0.25">
      <c r="A105" s="61" t="s">
        <v>73</v>
      </c>
      <c r="B105" s="62">
        <f>тепло!B95+' ВС'!C105</f>
        <v>109.83</v>
      </c>
      <c r="C105" s="62">
        <f t="shared" si="12"/>
        <v>-18.63000000000001</v>
      </c>
      <c r="D105" s="62">
        <f>тепло!D95+' ВС'!E105</f>
        <v>91.199999999999989</v>
      </c>
      <c r="E105" s="53">
        <f>тепло!E95+' ВС'!F105</f>
        <v>0</v>
      </c>
      <c r="F105" s="62">
        <f>тепло!F95+' ВС'!G105</f>
        <v>0</v>
      </c>
      <c r="G105" s="62">
        <f>тепло!G95+' ВС'!H105</f>
        <v>0</v>
      </c>
      <c r="H105" s="62">
        <f>тепло!H95+' ВС'!I105</f>
        <v>0</v>
      </c>
      <c r="I105" s="53">
        <f>тепло!I95+' ВС'!J105</f>
        <v>0</v>
      </c>
      <c r="J105" s="62">
        <f>тепло!J95+' ВС'!K105</f>
        <v>0</v>
      </c>
      <c r="K105" s="62">
        <f>тепло!K95+' ВС'!L105</f>
        <v>0</v>
      </c>
      <c r="L105" s="62">
        <f>тепло!L95+' ВС'!M105</f>
        <v>0</v>
      </c>
      <c r="M105" s="53">
        <f>тепло!M95+' ВС'!N105</f>
        <v>0</v>
      </c>
      <c r="N105" s="53">
        <f>тепло!N95+' ВС'!O105</f>
        <v>0</v>
      </c>
      <c r="O105" s="62">
        <f>тепло!O95+' ВС'!P105</f>
        <v>0</v>
      </c>
      <c r="P105" s="62">
        <f>тепло!P95+' ВС'!Q105</f>
        <v>0</v>
      </c>
      <c r="Q105" s="62">
        <f>тепло!Q95+' ВС'!R105</f>
        <v>0</v>
      </c>
      <c r="R105" s="53">
        <f>тепло!R95+' ВС'!S105</f>
        <v>0</v>
      </c>
      <c r="S105" s="53">
        <f>тепло!S95+' ВС'!T105</f>
        <v>0</v>
      </c>
      <c r="T105" s="62">
        <f>тепло!T95+' ВС'!U105</f>
        <v>0</v>
      </c>
      <c r="U105" s="62">
        <f>тепло!U95+' ВС'!V105</f>
        <v>0</v>
      </c>
      <c r="V105" s="62">
        <f>тепло!V95+' ВС'!W105</f>
        <v>0</v>
      </c>
      <c r="W105" s="53">
        <f>тепло!W95+' ВС'!X105</f>
        <v>0</v>
      </c>
    </row>
    <row r="106" spans="1:23" ht="18.75" x14ac:dyDescent="0.25">
      <c r="A106" s="61" t="s">
        <v>74</v>
      </c>
      <c r="B106" s="62">
        <f>тепло!B104+' ВС'!C106</f>
        <v>0</v>
      </c>
      <c r="C106" s="62">
        <f t="shared" si="12"/>
        <v>0</v>
      </c>
      <c r="D106" s="62">
        <f>тепло!D104+' ВС'!E106</f>
        <v>0</v>
      </c>
      <c r="E106" s="53">
        <f>тепло!E96+' ВС'!F106</f>
        <v>0</v>
      </c>
      <c r="F106" s="62">
        <f>тепло!F96+' ВС'!G106</f>
        <v>0</v>
      </c>
      <c r="G106" s="62">
        <f>тепло!G96+' ВС'!H106</f>
        <v>0</v>
      </c>
      <c r="H106" s="62">
        <f>тепло!H96+' ВС'!I106</f>
        <v>0</v>
      </c>
      <c r="I106" s="53">
        <f>тепло!I96+' ВС'!J106</f>
        <v>0</v>
      </c>
      <c r="J106" s="62">
        <f>тепло!J96+' ВС'!K106</f>
        <v>0</v>
      </c>
      <c r="K106" s="62">
        <f>тепло!K96+' ВС'!L106</f>
        <v>0</v>
      </c>
      <c r="L106" s="62">
        <f>тепло!L96+' ВС'!M106</f>
        <v>0</v>
      </c>
      <c r="M106" s="53">
        <f>тепло!M96+' ВС'!N106</f>
        <v>0</v>
      </c>
      <c r="N106" s="53">
        <f>тепло!N96+' ВС'!O106</f>
        <v>0</v>
      </c>
      <c r="O106" s="62">
        <f>тепло!O96+' ВС'!P106</f>
        <v>0</v>
      </c>
      <c r="P106" s="62">
        <f>тепло!P96+' ВС'!Q106</f>
        <v>0</v>
      </c>
      <c r="Q106" s="62">
        <f>тепло!Q96+' ВС'!R106</f>
        <v>0</v>
      </c>
      <c r="R106" s="53">
        <f>тепло!R96+' ВС'!S106</f>
        <v>0</v>
      </c>
      <c r="S106" s="53">
        <f>тепло!S96+' ВС'!T106</f>
        <v>0</v>
      </c>
      <c r="T106" s="62">
        <f>тепло!T96+' ВС'!U106</f>
        <v>0</v>
      </c>
      <c r="U106" s="62">
        <f>тепло!U96+' ВС'!V106</f>
        <v>0</v>
      </c>
      <c r="V106" s="62">
        <f>тепло!V96+' ВС'!W106</f>
        <v>0</v>
      </c>
      <c r="W106" s="53">
        <f>тепло!W96+' ВС'!X106</f>
        <v>0</v>
      </c>
    </row>
    <row r="107" spans="1:23" ht="18.75" x14ac:dyDescent="0.25">
      <c r="A107" s="61" t="s">
        <v>94</v>
      </c>
      <c r="B107" s="62">
        <f>тепло!B105+' ВС'!C107</f>
        <v>0</v>
      </c>
      <c r="C107" s="62">
        <f t="shared" si="12"/>
        <v>0</v>
      </c>
      <c r="D107" s="62">
        <f>тепло!D105+' ВС'!E107</f>
        <v>0</v>
      </c>
      <c r="E107" s="53">
        <f>тепло!E97+' ВС'!F107</f>
        <v>0</v>
      </c>
      <c r="F107" s="62">
        <f>тепло!F97+' ВС'!G107</f>
        <v>0</v>
      </c>
      <c r="G107" s="62">
        <f>тепло!G97+' ВС'!H107</f>
        <v>0</v>
      </c>
      <c r="H107" s="62">
        <f>тепло!H97+' ВС'!I107</f>
        <v>0</v>
      </c>
      <c r="I107" s="53">
        <f>тепло!I97+' ВС'!J107</f>
        <v>0</v>
      </c>
      <c r="J107" s="62">
        <f>тепло!J97+' ВС'!K107</f>
        <v>0</v>
      </c>
      <c r="K107" s="62">
        <f>тепло!K97+' ВС'!L107</f>
        <v>0</v>
      </c>
      <c r="L107" s="62">
        <f>тепло!L97+' ВС'!M107</f>
        <v>0</v>
      </c>
      <c r="M107" s="53">
        <f>тепло!M97+' ВС'!N107</f>
        <v>0</v>
      </c>
      <c r="N107" s="53">
        <f>тепло!N97+' ВС'!O107</f>
        <v>0</v>
      </c>
      <c r="O107" s="62">
        <f>тепло!O97+' ВС'!P107</f>
        <v>0</v>
      </c>
      <c r="P107" s="62">
        <f>тепло!P97+' ВС'!Q107</f>
        <v>0</v>
      </c>
      <c r="Q107" s="62">
        <f>тепло!Q97+' ВС'!R107</f>
        <v>0</v>
      </c>
      <c r="R107" s="53">
        <f>тепло!R97+' ВС'!S107</f>
        <v>0</v>
      </c>
      <c r="S107" s="53">
        <f>тепло!S97+' ВС'!T107</f>
        <v>0</v>
      </c>
      <c r="T107" s="62">
        <f>тепло!T97+' ВС'!U107</f>
        <v>0</v>
      </c>
      <c r="U107" s="62">
        <f>тепло!U97+' ВС'!V107</f>
        <v>0</v>
      </c>
      <c r="V107" s="62">
        <f>тепло!V97+' ВС'!W107</f>
        <v>0</v>
      </c>
      <c r="W107" s="53">
        <f>тепло!W97+' ВС'!X107</f>
        <v>0</v>
      </c>
    </row>
    <row r="108" spans="1:23" ht="36.75" customHeight="1" x14ac:dyDescent="0.25">
      <c r="A108" s="2" t="s">
        <v>129</v>
      </c>
      <c r="B108" s="62">
        <f>тепло!B106+' ВС'!C108</f>
        <v>0</v>
      </c>
      <c r="C108" s="62">
        <f t="shared" si="12"/>
        <v>5600.0039999999999</v>
      </c>
      <c r="D108" s="62">
        <f>тепло!D97+' ВС'!E108</f>
        <v>5600.0039999999999</v>
      </c>
      <c r="E108" s="221">
        <f>S108+W108</f>
        <v>0</v>
      </c>
      <c r="F108" s="62"/>
      <c r="G108" s="62"/>
      <c r="H108" s="62"/>
      <c r="I108" s="53">
        <f>F108+G108+H108</f>
        <v>0</v>
      </c>
      <c r="J108" s="62"/>
      <c r="K108" s="62"/>
      <c r="L108" s="62"/>
      <c r="M108" s="53"/>
      <c r="N108" s="53"/>
      <c r="O108" s="62"/>
      <c r="P108" s="62"/>
      <c r="Q108" s="62"/>
      <c r="R108" s="53"/>
      <c r="S108" s="53"/>
      <c r="T108" s="62"/>
      <c r="U108" s="62"/>
      <c r="V108" s="62"/>
      <c r="W108" s="53"/>
    </row>
    <row r="109" spans="1:23" ht="18.75" x14ac:dyDescent="0.25">
      <c r="A109" s="2" t="s">
        <v>123</v>
      </c>
      <c r="B109" s="53">
        <v>0</v>
      </c>
      <c r="C109" s="53">
        <v>0</v>
      </c>
      <c r="D109" s="62">
        <f>тепло!D98+' ВС'!E109</f>
        <v>0</v>
      </c>
      <c r="E109" s="53">
        <f>тепло!E98+' ВС'!F109</f>
        <v>0</v>
      </c>
      <c r="F109" s="62">
        <f>тепло!F98+' ВС'!G109</f>
        <v>0</v>
      </c>
      <c r="G109" s="62">
        <f>тепло!G98+' ВС'!H109</f>
        <v>0</v>
      </c>
      <c r="H109" s="62">
        <f>тепло!H98+' ВС'!I109</f>
        <v>0</v>
      </c>
      <c r="I109" s="53">
        <f>тепло!I98+' ВС'!J109</f>
        <v>0</v>
      </c>
      <c r="J109" s="62">
        <f>тепло!J98+' ВС'!K109</f>
        <v>0</v>
      </c>
      <c r="K109" s="62">
        <f>тепло!K98+' ВС'!L109</f>
        <v>0</v>
      </c>
      <c r="L109" s="62">
        <f>тепло!L98+' ВС'!M109</f>
        <v>0</v>
      </c>
      <c r="M109" s="53">
        <f>тепло!M98+' ВС'!N109</f>
        <v>0</v>
      </c>
      <c r="N109" s="53">
        <f>тепло!N98+' ВС'!O109</f>
        <v>0</v>
      </c>
      <c r="O109" s="62">
        <f>тепло!O98+' ВС'!P109</f>
        <v>0</v>
      </c>
      <c r="P109" s="62">
        <f>тепло!P98+' ВС'!Q109</f>
        <v>0</v>
      </c>
      <c r="Q109" s="62">
        <f>тепло!Q98+' ВС'!R109</f>
        <v>0</v>
      </c>
      <c r="R109" s="53">
        <f>тепло!R98+' ВС'!S109</f>
        <v>0</v>
      </c>
      <c r="S109" s="53">
        <f>тепло!S98+' ВС'!T109</f>
        <v>0</v>
      </c>
      <c r="T109" s="62">
        <f>тепло!T98+' ВС'!U109</f>
        <v>0</v>
      </c>
      <c r="U109" s="62">
        <f>тепло!U98+' ВС'!V109</f>
        <v>0</v>
      </c>
      <c r="V109" s="62">
        <f>тепло!V98+' ВС'!W109</f>
        <v>0</v>
      </c>
      <c r="W109" s="53">
        <f>тепло!W98+' ВС'!X109</f>
        <v>0</v>
      </c>
    </row>
    <row r="110" spans="1:23" ht="18.75" x14ac:dyDescent="0.25">
      <c r="A110" s="2" t="s">
        <v>124</v>
      </c>
      <c r="B110" s="53">
        <f>тепло!B99+' ВС'!C110</f>
        <v>-5869.9328272884468</v>
      </c>
      <c r="C110" s="53">
        <f t="shared" si="12"/>
        <v>-4912.6300413715453</v>
      </c>
      <c r="D110" s="53">
        <f>тепло!D99+' ВС'!E110</f>
        <v>-10782.562868659992</v>
      </c>
      <c r="E110" s="53">
        <f>ВСЕГО!E12-ВСЕГО!E27</f>
        <v>-7755.4544792847228</v>
      </c>
      <c r="F110" s="63">
        <f>ВСЕГО!F12-ВСЕГО!F27</f>
        <v>-230.46258745814612</v>
      </c>
      <c r="G110" s="63">
        <f>ВСЕГО!G12-ВСЕГО!G27</f>
        <v>-772.87153217976811</v>
      </c>
      <c r="H110" s="63">
        <f>ВСЕГО!H12-ВСЕГО!H27</f>
        <v>-897.74006990325233</v>
      </c>
      <c r="I110" s="53">
        <f>тепло!I99+' ВС'!J110</f>
        <v>-1901.0741895411666</v>
      </c>
      <c r="J110" s="63">
        <f>ВСЕГО!J12-ВСЕГО!J27</f>
        <v>-909.7170215139995</v>
      </c>
      <c r="K110" s="63">
        <f>ВСЕГО!K12-ВСЕГО!K27</f>
        <v>-738.10158566666678</v>
      </c>
      <c r="L110" s="63">
        <f>ВСЕГО!L12-ВСЕГО!L27</f>
        <v>-713.73158566666689</v>
      </c>
      <c r="M110" s="53">
        <f>ВСЕГО!M12-ВСЕГО!M27</f>
        <v>-2361.550192847335</v>
      </c>
      <c r="N110" s="53">
        <f>ВСЕГО!N12-ВСЕГО!N27</f>
        <v>-4262.6243823885015</v>
      </c>
      <c r="O110" s="63">
        <f>ВСЕГО!O12-ВСЕГО!O27</f>
        <v>-450.47958566666648</v>
      </c>
      <c r="P110" s="63">
        <f>ВСЕГО!P12-ВСЕГО!P27</f>
        <v>-481.43058566666696</v>
      </c>
      <c r="Q110" s="63">
        <f>ВСЕГО!Q12-ВСЕГО!Q27</f>
        <v>-672.34758566666733</v>
      </c>
      <c r="R110" s="53">
        <f>ВСЕГО!R12-ВСЕГО!R27</f>
        <v>-1604.2577570000012</v>
      </c>
      <c r="S110" s="53">
        <f>ВСЕГО!S12-ВСЕГО!S27</f>
        <v>-5866.8821393885009</v>
      </c>
      <c r="T110" s="63">
        <f>ВСЕГО!T12-ВСЕГО!T27</f>
        <v>-787.4951280594496</v>
      </c>
      <c r="U110" s="63">
        <f>ВСЕГО!U12-ВСЕГО!U27</f>
        <v>-831.06854457376039</v>
      </c>
      <c r="V110" s="63">
        <f>ВСЕГО!V12-ВСЕГО!V27</f>
        <v>-270.00866726300683</v>
      </c>
      <c r="W110" s="53">
        <f>ВСЕГО!W12-ВСЕГО!W27</f>
        <v>-1888.5723398962145</v>
      </c>
    </row>
    <row r="111" spans="1:23" ht="56.25" x14ac:dyDescent="0.25">
      <c r="A111" s="2" t="s">
        <v>125</v>
      </c>
      <c r="B111" s="63">
        <f>тепло!B100+' ВС'!C111</f>
        <v>0</v>
      </c>
      <c r="C111" s="63"/>
      <c r="D111" s="62"/>
      <c r="E111" s="63"/>
      <c r="F111" s="63">
        <f>тепло!F100+' ВС'!G111</f>
        <v>0</v>
      </c>
      <c r="G111" s="63">
        <f>тепло!G100+' ВС'!H111</f>
        <v>0</v>
      </c>
      <c r="H111" s="63">
        <f>тепло!H100+' ВС'!I111</f>
        <v>0</v>
      </c>
      <c r="I111" s="63">
        <v>0</v>
      </c>
      <c r="J111" s="63">
        <v>0</v>
      </c>
      <c r="K111" s="63">
        <f>тепло!K100+' ВС'!L111</f>
        <v>0</v>
      </c>
      <c r="L111" s="63">
        <f>тепло!L100+' ВС'!M111</f>
        <v>0</v>
      </c>
      <c r="M111" s="63">
        <f>тепло!M100+' ВС'!N111</f>
        <v>0</v>
      </c>
      <c r="N111" s="63">
        <f>тепло!N100+' ВС'!O111</f>
        <v>0</v>
      </c>
      <c r="O111" s="63">
        <f>тепло!O100+' ВС'!P111</f>
        <v>0</v>
      </c>
      <c r="P111" s="63">
        <f>тепло!P100+' ВС'!Q111</f>
        <v>0</v>
      </c>
      <c r="Q111" s="63">
        <f>тепло!Q100+' ВС'!R111</f>
        <v>0</v>
      </c>
      <c r="R111" s="63">
        <f>тепло!R100+' ВС'!S111</f>
        <v>0</v>
      </c>
      <c r="S111" s="63">
        <f>тепло!S100+' ВС'!T111</f>
        <v>0</v>
      </c>
      <c r="T111" s="63">
        <f>тепло!T100+' ВС'!U111</f>
        <v>0</v>
      </c>
      <c r="U111" s="63">
        <f>тепло!U100+' ВС'!V111</f>
        <v>0</v>
      </c>
      <c r="V111" s="63">
        <f>тепло!V100+' ВС'!W111</f>
        <v>0</v>
      </c>
      <c r="W111" s="63">
        <f>тепло!W100+' ВС'!X111</f>
        <v>0</v>
      </c>
    </row>
    <row r="112" spans="1:23" ht="37.5" x14ac:dyDescent="0.25">
      <c r="A112" s="2" t="s">
        <v>126</v>
      </c>
      <c r="B112" s="63">
        <v>90.5</v>
      </c>
      <c r="C112" s="63">
        <f t="shared" si="12"/>
        <v>0</v>
      </c>
      <c r="D112" s="62">
        <v>90.5</v>
      </c>
      <c r="E112" s="63">
        <v>90.5</v>
      </c>
      <c r="F112" s="62">
        <f>тепло!F101+' ВС'!G112</f>
        <v>98</v>
      </c>
      <c r="G112" s="62">
        <f>тепло!G101+' ВС'!H112</f>
        <v>97.5</v>
      </c>
      <c r="H112" s="62">
        <f>тепло!H101+' ВС'!I112</f>
        <v>97.5</v>
      </c>
      <c r="I112" s="62">
        <v>104.5</v>
      </c>
      <c r="J112" s="62">
        <f>тепло!J101+' ВС'!K112</f>
        <v>97.5</v>
      </c>
      <c r="K112" s="62">
        <f>тепло!K101+' ВС'!L112</f>
        <v>73.5</v>
      </c>
      <c r="L112" s="62">
        <f>тепло!L101+' ВС'!M112</f>
        <v>73.5</v>
      </c>
      <c r="M112" s="62">
        <v>85.83</v>
      </c>
      <c r="N112" s="62">
        <f>тепло!N101+' ВС'!O112</f>
        <v>89.583333333333329</v>
      </c>
      <c r="O112" s="62">
        <f>тепло!O101+' ВС'!P112</f>
        <v>73.5</v>
      </c>
      <c r="P112" s="62">
        <f>тепло!P101+' ВС'!Q112</f>
        <v>73.5</v>
      </c>
      <c r="Q112" s="62">
        <f>тепло!Q101+' ВС'!R112</f>
        <v>73.5</v>
      </c>
      <c r="R112" s="62">
        <v>76.5</v>
      </c>
      <c r="S112" s="62">
        <f>тепло!S101+' ВС'!T112</f>
        <v>81.541666666666657</v>
      </c>
      <c r="T112" s="62">
        <f>тепло!T101+' ВС'!U112</f>
        <v>85.5</v>
      </c>
      <c r="U112" s="62">
        <f>тепло!U101+' ВС'!V112</f>
        <v>97.5</v>
      </c>
      <c r="V112" s="62">
        <f>тепло!V101+' ВС'!W112</f>
        <v>97.5</v>
      </c>
      <c r="W112" s="62">
        <v>99.83</v>
      </c>
    </row>
    <row r="113" spans="1:23" ht="37.5" x14ac:dyDescent="0.25">
      <c r="A113" s="2" t="s">
        <v>127</v>
      </c>
      <c r="B113" s="63">
        <f>(B88+B98)/9/B112*1000</f>
        <v>19751.184205033762</v>
      </c>
      <c r="C113" s="63"/>
      <c r="D113" s="63">
        <f t="shared" ref="D113" si="17">(D88+D98)/12/D112*1000</f>
        <v>21681.427099447512</v>
      </c>
      <c r="E113" s="63">
        <f>(E88+E98)/12/E112*1000</f>
        <v>21686.033308471455</v>
      </c>
      <c r="F113" s="63">
        <f>(F88+F98)/F112*1000</f>
        <v>22173.423367346939</v>
      </c>
      <c r="G113" s="63">
        <f t="shared" ref="G113:H113" si="18">(G88+G98)/G112*1000</f>
        <v>21936.796441025639</v>
      </c>
      <c r="H113" s="63">
        <f t="shared" si="18"/>
        <v>21936.796441025639</v>
      </c>
      <c r="I113" s="63">
        <v>21286.05</v>
      </c>
      <c r="J113" s="63">
        <f>(J88+J98)/J112*1000</f>
        <v>23321.129774358971</v>
      </c>
      <c r="K113" s="63">
        <f t="shared" ref="K113" si="19">(K88+K98)/K112*1000</f>
        <v>23449.491877551023</v>
      </c>
      <c r="L113" s="63">
        <f>(L88+L98)/L112*1000</f>
        <v>23449.491877551023</v>
      </c>
      <c r="M113" s="63">
        <f>((M88+M98)/M112*1000)/3</f>
        <v>22217.8937395627</v>
      </c>
      <c r="N113" s="63">
        <f>N88/6/N112*1000</f>
        <v>22443.289776744183</v>
      </c>
      <c r="O113" s="63">
        <f t="shared" ref="O113:Q113" si="20">(O88+O98)/O112*1000</f>
        <v>23449.491877551023</v>
      </c>
      <c r="P113" s="63">
        <f t="shared" si="20"/>
        <v>23449.491877551023</v>
      </c>
      <c r="Q113" s="63">
        <f t="shared" si="20"/>
        <v>23449.491877551023</v>
      </c>
      <c r="R113" s="63">
        <f>((R88+R98)/R112*1000)/3</f>
        <v>22529.903960784315</v>
      </c>
      <c r="S113" s="63">
        <f>S88/9/S112*1000</f>
        <v>23409.623183784712</v>
      </c>
      <c r="T113" s="63">
        <f t="shared" ref="T113:V113" si="21">(T88+T98)/T112*1000</f>
        <v>22586.990093567252</v>
      </c>
      <c r="U113" s="63">
        <f t="shared" si="21"/>
        <v>21936.796441025639</v>
      </c>
      <c r="V113" s="63">
        <f t="shared" si="21"/>
        <v>21936.796441025639</v>
      </c>
      <c r="W113" s="63">
        <v>21257.26</v>
      </c>
    </row>
    <row r="114" spans="1:23" ht="37.5" x14ac:dyDescent="0.25">
      <c r="A114" s="2" t="s">
        <v>128</v>
      </c>
      <c r="B114" s="63"/>
      <c r="C114" s="63"/>
      <c r="D114" s="62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</row>
    <row r="115" spans="1:23" ht="18.75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</row>
    <row r="117" spans="1:23" ht="11.25" customHeight="1" x14ac:dyDescent="0.25">
      <c r="A117" s="241"/>
      <c r="B117" s="241"/>
      <c r="C117" s="241"/>
      <c r="D117" s="241"/>
      <c r="E117" s="241"/>
    </row>
    <row r="118" spans="1:23" x14ac:dyDescent="0.25">
      <c r="E118" s="59"/>
    </row>
    <row r="119" spans="1:23" x14ac:dyDescent="0.25">
      <c r="G119" t="s">
        <v>121</v>
      </c>
    </row>
    <row r="121" spans="1:23" hidden="1" x14ac:dyDescent="0.25"/>
    <row r="122" spans="1:23" hidden="1" x14ac:dyDescent="0.25"/>
    <row r="123" spans="1:23" x14ac:dyDescent="0.25">
      <c r="F123" t="s">
        <v>119</v>
      </c>
    </row>
  </sheetData>
  <mergeCells count="14">
    <mergeCell ref="I1:W1"/>
    <mergeCell ref="I3:W3"/>
    <mergeCell ref="A5:W5"/>
    <mergeCell ref="A6:W6"/>
    <mergeCell ref="A117:E117"/>
    <mergeCell ref="A8:A10"/>
    <mergeCell ref="B8:B10"/>
    <mergeCell ref="C8:C10"/>
    <mergeCell ref="D8:D10"/>
    <mergeCell ref="E8:W8"/>
    <mergeCell ref="E9:E10"/>
    <mergeCell ref="F9:W9"/>
    <mergeCell ref="I2:W2"/>
    <mergeCell ref="I4:W4"/>
  </mergeCells>
  <printOptions horizontalCentered="1"/>
  <pageMargins left="0" right="0" top="1.1811023622047245" bottom="0" header="0" footer="0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23"/>
  <sheetViews>
    <sheetView view="pageBreakPreview" topLeftCell="A13" zoomScale="60" zoomScaleNormal="100" workbookViewId="0">
      <selection activeCell="T119" sqref="T119"/>
    </sheetView>
  </sheetViews>
  <sheetFormatPr defaultRowHeight="15" x14ac:dyDescent="0.25"/>
  <cols>
    <col min="1" max="1" width="0.140625" customWidth="1"/>
    <col min="2" max="2" width="40.5703125" customWidth="1"/>
    <col min="3" max="3" width="12" customWidth="1"/>
    <col min="4" max="4" width="10.42578125" customWidth="1"/>
    <col min="5" max="5" width="13.28515625" customWidth="1"/>
    <col min="6" max="6" width="10.7109375" customWidth="1"/>
    <col min="7" max="8" width="11.7109375" customWidth="1"/>
    <col min="9" max="9" width="10.7109375" customWidth="1"/>
    <col min="10" max="10" width="11.7109375" customWidth="1"/>
    <col min="11" max="11" width="10.7109375" customWidth="1"/>
    <col min="12" max="12" width="12.140625" customWidth="1"/>
    <col min="13" max="13" width="11.42578125" customWidth="1"/>
    <col min="14" max="14" width="12.140625" customWidth="1"/>
    <col min="15" max="15" width="11.7109375" customWidth="1"/>
    <col min="16" max="16" width="11.7109375" bestFit="1" customWidth="1"/>
    <col min="17" max="17" width="11.7109375" customWidth="1"/>
    <col min="18" max="18" width="12.85546875" customWidth="1"/>
    <col min="19" max="19" width="12.7109375" customWidth="1"/>
    <col min="20" max="21" width="11.7109375" bestFit="1" customWidth="1"/>
    <col min="22" max="22" width="13.140625" customWidth="1"/>
    <col min="23" max="23" width="12.42578125" customWidth="1"/>
    <col min="24" max="24" width="12.140625" customWidth="1"/>
    <col min="25" max="25" width="9.7109375" bestFit="1" customWidth="1"/>
  </cols>
  <sheetData>
    <row r="3" spans="2:24" ht="21" x14ac:dyDescent="0.35">
      <c r="G3" s="6"/>
      <c r="H3" s="6"/>
      <c r="I3" s="6"/>
      <c r="J3" s="6"/>
      <c r="K3" s="226" t="s">
        <v>0</v>
      </c>
      <c r="L3" s="226"/>
      <c r="M3" s="226"/>
      <c r="N3" s="6"/>
      <c r="O3" s="6"/>
      <c r="P3" s="6"/>
      <c r="Q3" s="6"/>
      <c r="R3" s="6"/>
      <c r="S3" s="6"/>
      <c r="T3" s="6"/>
      <c r="U3" s="6"/>
    </row>
    <row r="4" spans="2:24" ht="18.75" x14ac:dyDescent="0.3">
      <c r="F4" s="227" t="s">
        <v>1</v>
      </c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2:24" ht="18.75" x14ac:dyDescent="0.3">
      <c r="F5" s="227" t="s">
        <v>303</v>
      </c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</row>
    <row r="7" spans="2:24" x14ac:dyDescent="0.25">
      <c r="E7" s="59"/>
      <c r="F7" s="59"/>
      <c r="J7" s="59"/>
    </row>
    <row r="8" spans="2:24" ht="28.5" x14ac:dyDescent="0.25">
      <c r="B8" s="228" t="s">
        <v>22</v>
      </c>
      <c r="C8" s="244" t="s">
        <v>9</v>
      </c>
      <c r="D8" s="244" t="s">
        <v>115</v>
      </c>
      <c r="E8" s="244" t="s">
        <v>302</v>
      </c>
      <c r="F8" s="231" t="s">
        <v>304</v>
      </c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3"/>
    </row>
    <row r="9" spans="2:24" x14ac:dyDescent="0.25">
      <c r="B9" s="229"/>
      <c r="C9" s="245"/>
      <c r="D9" s="245"/>
      <c r="E9" s="245"/>
      <c r="F9" s="234" t="s">
        <v>21</v>
      </c>
      <c r="G9" s="236" t="s">
        <v>20</v>
      </c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</row>
    <row r="10" spans="2:24" ht="27" customHeight="1" x14ac:dyDescent="0.25">
      <c r="B10" s="230"/>
      <c r="C10" s="246"/>
      <c r="D10" s="246"/>
      <c r="E10" s="246"/>
      <c r="F10" s="235"/>
      <c r="G10" s="3" t="s">
        <v>2</v>
      </c>
      <c r="H10" s="3" t="s">
        <v>3</v>
      </c>
      <c r="I10" s="3" t="s">
        <v>4</v>
      </c>
      <c r="J10" s="7" t="s">
        <v>5</v>
      </c>
      <c r="K10" s="3" t="s">
        <v>11</v>
      </c>
      <c r="L10" s="3" t="s">
        <v>12</v>
      </c>
      <c r="M10" s="3" t="s">
        <v>13</v>
      </c>
      <c r="N10" s="7" t="s">
        <v>6</v>
      </c>
      <c r="O10" s="7" t="s">
        <v>7</v>
      </c>
      <c r="P10" s="3" t="s">
        <v>14</v>
      </c>
      <c r="Q10" s="3" t="s">
        <v>15</v>
      </c>
      <c r="R10" s="3" t="s">
        <v>16</v>
      </c>
      <c r="S10" s="7" t="s">
        <v>8</v>
      </c>
      <c r="T10" s="7" t="s">
        <v>9</v>
      </c>
      <c r="U10" s="3" t="s">
        <v>17</v>
      </c>
      <c r="V10" s="3" t="s">
        <v>18</v>
      </c>
      <c r="W10" s="3" t="s">
        <v>19</v>
      </c>
      <c r="X10" s="7" t="s">
        <v>10</v>
      </c>
    </row>
    <row r="11" spans="2:24" ht="9.75" customHeight="1" x14ac:dyDescent="0.25">
      <c r="B11" s="1"/>
      <c r="C11" s="212"/>
      <c r="D11" s="212"/>
      <c r="E11" s="21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38.25" thickBot="1" x14ac:dyDescent="0.3">
      <c r="B12" s="2" t="s">
        <v>31</v>
      </c>
      <c r="C12" s="213">
        <f>C13+C21+C22+C23+C24+C25+C26</f>
        <v>31389.414000000004</v>
      </c>
      <c r="D12" s="213">
        <f t="shared" ref="D12:D13" si="0">E12-C12</f>
        <v>9757.9209699999919</v>
      </c>
      <c r="E12" s="213">
        <v>41147.334969999996</v>
      </c>
      <c r="F12" s="45">
        <f>T12+X12</f>
        <v>35358.762999999999</v>
      </c>
      <c r="G12" s="45">
        <f>G13+G21+G22+G23+G24+G25+G26+G108</f>
        <v>3009.2113333333332</v>
      </c>
      <c r="H12" s="45">
        <f t="shared" ref="H12:I12" si="1">H13+H21+H22+H23+H24+H25+H26+H108</f>
        <v>2743.1733333333332</v>
      </c>
      <c r="I12" s="45">
        <f t="shared" si="1"/>
        <v>2708.9793333333332</v>
      </c>
      <c r="J12" s="45">
        <f>G12+H12+I12</f>
        <v>8461.3639999999996</v>
      </c>
      <c r="K12" s="45">
        <f t="shared" ref="K12:M12" si="2">K13+K21+K22+K23+K24+K25+K26+K108</f>
        <v>2867.9023333333334</v>
      </c>
      <c r="L12" s="45">
        <f t="shared" si="2"/>
        <v>2915.6933333333332</v>
      </c>
      <c r="M12" s="45">
        <f t="shared" si="2"/>
        <v>2941.2733333333331</v>
      </c>
      <c r="N12" s="45">
        <f>M12+L12+K12</f>
        <v>8724.8689999999988</v>
      </c>
      <c r="O12" s="45">
        <f>N12+J12</f>
        <v>17186.233</v>
      </c>
      <c r="P12" s="45">
        <f t="shared" ref="P12:R12" si="3">P13+P21+P22+P23+P24+P25+P26+P108</f>
        <v>3244.9713333333334</v>
      </c>
      <c r="Q12" s="45">
        <f t="shared" si="3"/>
        <v>3209.7323333333334</v>
      </c>
      <c r="R12" s="45">
        <f t="shared" si="3"/>
        <v>2955.9933333333329</v>
      </c>
      <c r="S12" s="45">
        <f>P12+Q12+R12</f>
        <v>9410.6970000000001</v>
      </c>
      <c r="T12" s="45">
        <f>S12+O12</f>
        <v>26596.93</v>
      </c>
      <c r="U12" s="45">
        <f t="shared" ref="U12:W12" si="4">U13+U21+U22+U23+U24+U25+U26+U108</f>
        <v>2887.2643333333331</v>
      </c>
      <c r="V12" s="45">
        <f t="shared" si="4"/>
        <v>2853.3473333333336</v>
      </c>
      <c r="W12" s="45">
        <f t="shared" si="4"/>
        <v>3021.2213333333334</v>
      </c>
      <c r="X12" s="45">
        <f>U12+V12+W12</f>
        <v>8761.8330000000005</v>
      </c>
    </row>
    <row r="13" spans="2:24" ht="55.5" customHeight="1" thickBot="1" x14ac:dyDescent="0.3">
      <c r="B13" s="8" t="s">
        <v>23</v>
      </c>
      <c r="C13" s="213">
        <v>19053.013999999999</v>
      </c>
      <c r="D13" s="213">
        <f t="shared" si="0"/>
        <v>8287.7370000000046</v>
      </c>
      <c r="E13" s="213">
        <v>27340.751000000004</v>
      </c>
      <c r="F13" s="45">
        <f>T13+X13</f>
        <v>31039.682999999997</v>
      </c>
      <c r="G13" s="45">
        <f>G14+G15+G16+G17+G18+G19+G20</f>
        <v>2649.288</v>
      </c>
      <c r="H13" s="45">
        <f>H14+H15+H16+H17+H18+H19+H20</f>
        <v>2383.25</v>
      </c>
      <c r="I13" s="45">
        <f>I14+I15+I16+I17+I18+I19+I20</f>
        <v>2349.056</v>
      </c>
      <c r="J13" s="45">
        <f>G13+H13+I13</f>
        <v>7381.594000000001</v>
      </c>
      <c r="K13" s="45">
        <f>K14+K15+K16+K17+K18+K19+K20</f>
        <v>2507.9790000000003</v>
      </c>
      <c r="L13" s="45">
        <f>L14+L15+L16+L17+L18+L19+L20</f>
        <v>2555.77</v>
      </c>
      <c r="M13" s="45">
        <f>M14+M15+M16+M17+M18+M19+M20</f>
        <v>2581.35</v>
      </c>
      <c r="N13" s="45">
        <f>K13+L13+M13</f>
        <v>7645.0990000000002</v>
      </c>
      <c r="O13" s="45">
        <f t="shared" ref="O13:W13" si="5">O14+O15+O16+O17+O18+O19+O20</f>
        <v>15026.693000000003</v>
      </c>
      <c r="P13" s="45">
        <f>P14+P15+P16+P17</f>
        <v>2885.0480000000002</v>
      </c>
      <c r="Q13" s="45">
        <f t="shared" si="5"/>
        <v>2849.8090000000002</v>
      </c>
      <c r="R13" s="45">
        <f t="shared" si="5"/>
        <v>2596.0699999999997</v>
      </c>
      <c r="S13" s="45">
        <f>P13+Q13+R13</f>
        <v>8330.9269999999997</v>
      </c>
      <c r="T13" s="45">
        <f t="shared" si="5"/>
        <v>23357.62</v>
      </c>
      <c r="U13" s="45">
        <f t="shared" si="5"/>
        <v>2527.3409999999999</v>
      </c>
      <c r="V13" s="45">
        <f t="shared" si="5"/>
        <v>2493.4240000000004</v>
      </c>
      <c r="W13" s="45">
        <f t="shared" si="5"/>
        <v>2661.2980000000002</v>
      </c>
      <c r="X13" s="45">
        <f>U13+V13+W13</f>
        <v>7682.0630000000001</v>
      </c>
    </row>
    <row r="14" spans="2:24" ht="57" thickBot="1" x14ac:dyDescent="0.3">
      <c r="B14" s="9" t="s">
        <v>24</v>
      </c>
      <c r="C14" s="214">
        <v>11440.56</v>
      </c>
      <c r="D14" s="214">
        <f>E14-C14</f>
        <v>5002.7090000000007</v>
      </c>
      <c r="E14" s="213">
        <v>16443.269</v>
      </c>
      <c r="F14" s="45">
        <f t="shared" ref="F14:F24" si="6">J14+N14+S14+X14</f>
        <v>18204.690000000002</v>
      </c>
      <c r="G14" s="44">
        <v>1637.08</v>
      </c>
      <c r="H14" s="44">
        <v>1389.84</v>
      </c>
      <c r="I14" s="44">
        <v>1329.59</v>
      </c>
      <c r="J14" s="45">
        <f t="shared" ref="J14:J24" si="7">G14+H14+I14</f>
        <v>4356.51</v>
      </c>
      <c r="K14" s="44">
        <v>1526.14</v>
      </c>
      <c r="L14" s="44">
        <v>1444.13</v>
      </c>
      <c r="M14" s="44">
        <v>1460.92</v>
      </c>
      <c r="N14" s="45">
        <f t="shared" ref="N14:N24" si="8">K14+L14+M14</f>
        <v>4431.1900000000005</v>
      </c>
      <c r="O14" s="45">
        <f t="shared" ref="O14:O24" si="9">J14+N14</f>
        <v>8787.7000000000007</v>
      </c>
      <c r="P14" s="44">
        <v>1724.66</v>
      </c>
      <c r="Q14" s="44">
        <v>1708.23</v>
      </c>
      <c r="R14" s="44">
        <v>1443.18</v>
      </c>
      <c r="S14" s="45">
        <f t="shared" ref="S14:S24" si="10">P14+Q14+R14</f>
        <v>4876.0700000000006</v>
      </c>
      <c r="T14" s="45">
        <f t="shared" ref="T14:T24" si="11">O14+S14</f>
        <v>13663.77</v>
      </c>
      <c r="U14" s="44">
        <v>1499.93</v>
      </c>
      <c r="V14" s="44">
        <v>1463.96</v>
      </c>
      <c r="W14" s="44">
        <v>1577.03</v>
      </c>
      <c r="X14" s="45">
        <f t="shared" ref="X14:X26" si="12">U14+V14+W14</f>
        <v>4540.92</v>
      </c>
    </row>
    <row r="15" spans="2:24" ht="56.25" x14ac:dyDescent="0.25">
      <c r="B15" s="10" t="s">
        <v>25</v>
      </c>
      <c r="C15" s="214">
        <v>4218.53</v>
      </c>
      <c r="D15" s="214">
        <f>E15-C15</f>
        <v>2187.1960000000008</v>
      </c>
      <c r="E15" s="213">
        <v>6405.7260000000006</v>
      </c>
      <c r="F15" s="45">
        <f t="shared" si="6"/>
        <v>6733.91</v>
      </c>
      <c r="G15" s="44">
        <v>496.54</v>
      </c>
      <c r="H15" s="44">
        <v>496.54</v>
      </c>
      <c r="I15" s="44">
        <v>496.54</v>
      </c>
      <c r="J15" s="45">
        <f t="shared" si="7"/>
        <v>1489.6200000000001</v>
      </c>
      <c r="K15" s="44">
        <v>496.54</v>
      </c>
      <c r="L15" s="44">
        <v>617.87</v>
      </c>
      <c r="M15" s="44">
        <v>617.87</v>
      </c>
      <c r="N15" s="45">
        <f t="shared" si="8"/>
        <v>1732.2800000000002</v>
      </c>
      <c r="O15" s="45">
        <f t="shared" si="9"/>
        <v>3221.9000000000005</v>
      </c>
      <c r="P15" s="44">
        <v>649.05999999999995</v>
      </c>
      <c r="Q15" s="44">
        <v>649.05999999999995</v>
      </c>
      <c r="R15" s="44">
        <v>649.05999999999995</v>
      </c>
      <c r="S15" s="45">
        <f t="shared" si="10"/>
        <v>1947.1799999999998</v>
      </c>
      <c r="T15" s="45">
        <f t="shared" si="11"/>
        <v>5169.08</v>
      </c>
      <c r="U15" s="44">
        <v>521.61</v>
      </c>
      <c r="V15" s="44">
        <v>521.61</v>
      </c>
      <c r="W15" s="44">
        <v>521.61</v>
      </c>
      <c r="X15" s="45">
        <f t="shared" si="12"/>
        <v>1564.83</v>
      </c>
    </row>
    <row r="16" spans="2:24" ht="21.75" customHeight="1" x14ac:dyDescent="0.25">
      <c r="B16" s="11" t="s">
        <v>26</v>
      </c>
      <c r="C16" s="214">
        <v>966.83199999999999</v>
      </c>
      <c r="D16" s="214">
        <f>E16-C16</f>
        <v>378.45699999999999</v>
      </c>
      <c r="E16" s="213">
        <v>1345.289</v>
      </c>
      <c r="F16" s="45">
        <f t="shared" si="6"/>
        <v>1465.0030000000002</v>
      </c>
      <c r="G16" s="44">
        <v>129.328</v>
      </c>
      <c r="H16" s="44">
        <v>110.53</v>
      </c>
      <c r="I16" s="44">
        <v>136.58600000000001</v>
      </c>
      <c r="J16" s="45">
        <f t="shared" si="7"/>
        <v>376.44400000000002</v>
      </c>
      <c r="K16" s="44">
        <v>98.959000000000003</v>
      </c>
      <c r="L16" s="44">
        <v>107.43</v>
      </c>
      <c r="M16" s="44">
        <v>116.22</v>
      </c>
      <c r="N16" s="45">
        <f t="shared" si="8"/>
        <v>322.60900000000004</v>
      </c>
      <c r="O16" s="45">
        <f t="shared" si="9"/>
        <v>699.05300000000011</v>
      </c>
      <c r="P16" s="44">
        <v>124.988</v>
      </c>
      <c r="Q16" s="44">
        <v>106.179</v>
      </c>
      <c r="R16" s="44">
        <v>117.49</v>
      </c>
      <c r="S16" s="45">
        <f t="shared" si="10"/>
        <v>348.65699999999998</v>
      </c>
      <c r="T16" s="45">
        <f t="shared" si="11"/>
        <v>1047.71</v>
      </c>
      <c r="U16" s="44">
        <v>119.461</v>
      </c>
      <c r="V16" s="44">
        <v>121.514</v>
      </c>
      <c r="W16" s="44">
        <v>176.31800000000001</v>
      </c>
      <c r="X16" s="45">
        <f t="shared" si="12"/>
        <v>417.29300000000001</v>
      </c>
    </row>
    <row r="17" spans="1:24" ht="38.25" thickBot="1" x14ac:dyDescent="0.3">
      <c r="B17" s="9" t="s">
        <v>27</v>
      </c>
      <c r="C17" s="214">
        <v>2427.0920000000001</v>
      </c>
      <c r="D17" s="214">
        <f>E17-C17</f>
        <v>719.375</v>
      </c>
      <c r="E17" s="213">
        <v>3146.4670000000001</v>
      </c>
      <c r="F17" s="45">
        <f>J17+N17+S17+X17</f>
        <v>4636.08</v>
      </c>
      <c r="G17" s="44">
        <v>386.34</v>
      </c>
      <c r="H17" s="44">
        <v>386.34</v>
      </c>
      <c r="I17" s="44">
        <v>386.34</v>
      </c>
      <c r="J17" s="45">
        <f t="shared" si="7"/>
        <v>1159.02</v>
      </c>
      <c r="K17" s="44">
        <v>386.34</v>
      </c>
      <c r="L17" s="44">
        <v>386.34</v>
      </c>
      <c r="M17" s="44">
        <v>386.34</v>
      </c>
      <c r="N17" s="45">
        <f t="shared" si="8"/>
        <v>1159.02</v>
      </c>
      <c r="O17" s="45">
        <f t="shared" si="9"/>
        <v>2318.04</v>
      </c>
      <c r="P17" s="44">
        <v>386.34</v>
      </c>
      <c r="Q17" s="44">
        <v>386.34</v>
      </c>
      <c r="R17" s="44">
        <v>386.34</v>
      </c>
      <c r="S17" s="45">
        <f t="shared" si="10"/>
        <v>1159.02</v>
      </c>
      <c r="T17" s="45">
        <f t="shared" si="11"/>
        <v>3477.06</v>
      </c>
      <c r="U17" s="44">
        <v>386.34</v>
      </c>
      <c r="V17" s="44">
        <v>386.34</v>
      </c>
      <c r="W17" s="44">
        <v>386.34</v>
      </c>
      <c r="X17" s="45">
        <f t="shared" si="12"/>
        <v>1159.02</v>
      </c>
    </row>
    <row r="18" spans="1:24" ht="38.25" thickBot="1" x14ac:dyDescent="0.3">
      <c r="B18" s="9" t="s">
        <v>100</v>
      </c>
      <c r="C18" s="214">
        <v>0</v>
      </c>
      <c r="D18" s="214">
        <v>0</v>
      </c>
      <c r="E18" s="213">
        <v>0</v>
      </c>
      <c r="F18" s="45">
        <v>0</v>
      </c>
      <c r="G18" s="44">
        <v>0</v>
      </c>
      <c r="H18" s="44">
        <v>0</v>
      </c>
      <c r="I18" s="44">
        <v>0</v>
      </c>
      <c r="J18" s="45">
        <v>0</v>
      </c>
      <c r="K18" s="44"/>
      <c r="L18" s="44">
        <v>0</v>
      </c>
      <c r="M18" s="44"/>
      <c r="N18" s="45">
        <v>0</v>
      </c>
      <c r="O18" s="45">
        <v>0</v>
      </c>
      <c r="P18" s="44">
        <v>0</v>
      </c>
      <c r="Q18" s="44">
        <v>0</v>
      </c>
      <c r="R18" s="44">
        <v>0</v>
      </c>
      <c r="S18" s="45">
        <v>0</v>
      </c>
      <c r="T18" s="45">
        <v>0</v>
      </c>
      <c r="U18" s="44">
        <v>0</v>
      </c>
      <c r="V18" s="44">
        <v>0</v>
      </c>
      <c r="W18" s="44">
        <v>0</v>
      </c>
      <c r="X18" s="45">
        <v>0</v>
      </c>
    </row>
    <row r="19" spans="1:24" ht="38.25" thickBot="1" x14ac:dyDescent="0.3">
      <c r="B19" s="9" t="s">
        <v>108</v>
      </c>
      <c r="C19" s="214">
        <v>0</v>
      </c>
      <c r="D19" s="214">
        <v>0</v>
      </c>
      <c r="E19" s="213">
        <v>0</v>
      </c>
      <c r="F19" s="45">
        <v>0</v>
      </c>
      <c r="G19" s="44">
        <v>0</v>
      </c>
      <c r="H19" s="44">
        <v>0</v>
      </c>
      <c r="I19" s="44">
        <v>0</v>
      </c>
      <c r="J19" s="45">
        <v>0</v>
      </c>
      <c r="K19" s="44"/>
      <c r="L19" s="44"/>
      <c r="M19" s="44"/>
      <c r="N19" s="45">
        <v>0</v>
      </c>
      <c r="O19" s="45">
        <v>0</v>
      </c>
      <c r="P19" s="44">
        <v>0</v>
      </c>
      <c r="Q19" s="44">
        <v>0</v>
      </c>
      <c r="R19" s="44">
        <v>0</v>
      </c>
      <c r="S19" s="45">
        <v>0</v>
      </c>
      <c r="T19" s="45">
        <v>0</v>
      </c>
      <c r="U19" s="44">
        <v>0</v>
      </c>
      <c r="V19" s="44">
        <v>0</v>
      </c>
      <c r="W19" s="44">
        <v>0</v>
      </c>
      <c r="X19" s="45">
        <v>0</v>
      </c>
    </row>
    <row r="20" spans="1:24" ht="38.25" thickBot="1" x14ac:dyDescent="0.3">
      <c r="B20" s="9" t="s">
        <v>109</v>
      </c>
      <c r="C20" s="214">
        <v>0</v>
      </c>
      <c r="D20" s="214">
        <v>0</v>
      </c>
      <c r="E20" s="213">
        <v>0</v>
      </c>
      <c r="F20" s="45">
        <v>0</v>
      </c>
      <c r="G20" s="44">
        <v>0</v>
      </c>
      <c r="H20" s="44">
        <v>0</v>
      </c>
      <c r="I20" s="44">
        <v>0</v>
      </c>
      <c r="J20" s="45">
        <v>0</v>
      </c>
      <c r="K20" s="44"/>
      <c r="L20" s="44"/>
      <c r="M20" s="44"/>
      <c r="N20" s="45">
        <v>0</v>
      </c>
      <c r="O20" s="45">
        <v>0</v>
      </c>
      <c r="P20" s="44">
        <v>0</v>
      </c>
      <c r="Q20" s="44">
        <v>0</v>
      </c>
      <c r="R20" s="44">
        <v>0</v>
      </c>
      <c r="S20" s="45">
        <v>0</v>
      </c>
      <c r="T20" s="45">
        <v>0</v>
      </c>
      <c r="U20" s="44">
        <v>0</v>
      </c>
      <c r="V20" s="44">
        <v>0</v>
      </c>
      <c r="W20" s="44">
        <v>0</v>
      </c>
      <c r="X20" s="45">
        <v>0</v>
      </c>
    </row>
    <row r="21" spans="1:24" ht="38.25" thickBot="1" x14ac:dyDescent="0.3">
      <c r="B21" s="12" t="s">
        <v>28</v>
      </c>
      <c r="C21" s="213">
        <f>3282.92+500.46</f>
        <v>3783.38</v>
      </c>
      <c r="D21" s="213">
        <f>E21-C21</f>
        <v>-3783.38</v>
      </c>
      <c r="E21" s="213">
        <v>0</v>
      </c>
      <c r="F21" s="45">
        <f t="shared" si="6"/>
        <v>0</v>
      </c>
      <c r="G21" s="44">
        <v>0</v>
      </c>
      <c r="H21" s="44">
        <v>0</v>
      </c>
      <c r="I21" s="44">
        <v>0</v>
      </c>
      <c r="J21" s="45">
        <f t="shared" si="7"/>
        <v>0</v>
      </c>
      <c r="K21" s="44">
        <v>0</v>
      </c>
      <c r="L21" s="44">
        <v>0</v>
      </c>
      <c r="M21" s="44">
        <v>0</v>
      </c>
      <c r="N21" s="45">
        <f t="shared" si="8"/>
        <v>0</v>
      </c>
      <c r="O21" s="45">
        <f t="shared" si="9"/>
        <v>0</v>
      </c>
      <c r="P21" s="44">
        <v>0</v>
      </c>
      <c r="Q21" s="44">
        <v>0</v>
      </c>
      <c r="R21" s="44">
        <v>0</v>
      </c>
      <c r="S21" s="45">
        <f t="shared" si="10"/>
        <v>0</v>
      </c>
      <c r="T21" s="45">
        <f t="shared" si="11"/>
        <v>0</v>
      </c>
      <c r="U21" s="44">
        <v>0</v>
      </c>
      <c r="V21" s="44">
        <v>0</v>
      </c>
      <c r="W21" s="44">
        <v>0</v>
      </c>
      <c r="X21" s="45">
        <f t="shared" si="12"/>
        <v>0</v>
      </c>
    </row>
    <row r="22" spans="1:24" ht="19.5" thickBot="1" x14ac:dyDescent="0.3">
      <c r="B22" s="12" t="s">
        <v>29</v>
      </c>
      <c r="C22" s="213">
        <v>0</v>
      </c>
      <c r="D22" s="213">
        <v>0</v>
      </c>
      <c r="E22" s="213">
        <v>0</v>
      </c>
      <c r="F22" s="45">
        <f t="shared" si="6"/>
        <v>0</v>
      </c>
      <c r="G22" s="44">
        <v>0</v>
      </c>
      <c r="H22" s="44">
        <v>0</v>
      </c>
      <c r="I22" s="44">
        <v>0</v>
      </c>
      <c r="J22" s="45">
        <f t="shared" si="7"/>
        <v>0</v>
      </c>
      <c r="K22" s="44">
        <v>0</v>
      </c>
      <c r="L22" s="44">
        <v>0</v>
      </c>
      <c r="M22" s="44">
        <v>0</v>
      </c>
      <c r="N22" s="45">
        <f t="shared" si="8"/>
        <v>0</v>
      </c>
      <c r="O22" s="45">
        <f t="shared" si="9"/>
        <v>0</v>
      </c>
      <c r="P22" s="44">
        <v>0</v>
      </c>
      <c r="Q22" s="44">
        <v>0</v>
      </c>
      <c r="R22" s="44">
        <v>0</v>
      </c>
      <c r="S22" s="45">
        <f t="shared" si="10"/>
        <v>0</v>
      </c>
      <c r="T22" s="45">
        <f t="shared" si="11"/>
        <v>0</v>
      </c>
      <c r="U22" s="44">
        <v>0</v>
      </c>
      <c r="V22" s="44">
        <v>0</v>
      </c>
      <c r="W22" s="44">
        <v>0</v>
      </c>
      <c r="X22" s="45">
        <f t="shared" si="12"/>
        <v>0</v>
      </c>
    </row>
    <row r="23" spans="1:24" ht="19.5" thickBot="1" x14ac:dyDescent="0.3">
      <c r="B23" s="12" t="s">
        <v>30</v>
      </c>
      <c r="C23" s="213">
        <v>89.31</v>
      </c>
      <c r="D23" s="213">
        <f>E23-C23</f>
        <v>116.48999999999998</v>
      </c>
      <c r="E23" s="213">
        <v>205.79999999999998</v>
      </c>
      <c r="F23" s="45">
        <f>J23+N23+S23+X23</f>
        <v>119.08000000000001</v>
      </c>
      <c r="G23" s="44">
        <f>89.31/9</f>
        <v>9.9233333333333338</v>
      </c>
      <c r="H23" s="44">
        <f t="shared" ref="H23:I23" si="13">89.31/9</f>
        <v>9.9233333333333338</v>
      </c>
      <c r="I23" s="44">
        <f t="shared" si="13"/>
        <v>9.9233333333333338</v>
      </c>
      <c r="J23" s="45">
        <f t="shared" si="7"/>
        <v>29.770000000000003</v>
      </c>
      <c r="K23" s="44">
        <f t="shared" ref="K23:M23" si="14">89.31/9</f>
        <v>9.9233333333333338</v>
      </c>
      <c r="L23" s="44">
        <f t="shared" si="14"/>
        <v>9.9233333333333338</v>
      </c>
      <c r="M23" s="44">
        <f t="shared" si="14"/>
        <v>9.9233333333333338</v>
      </c>
      <c r="N23" s="45">
        <f t="shared" si="8"/>
        <v>29.770000000000003</v>
      </c>
      <c r="O23" s="45">
        <f t="shared" si="9"/>
        <v>59.540000000000006</v>
      </c>
      <c r="P23" s="44">
        <f t="shared" ref="P23:R23" si="15">89.31/9</f>
        <v>9.9233333333333338</v>
      </c>
      <c r="Q23" s="44">
        <f t="shared" si="15"/>
        <v>9.9233333333333338</v>
      </c>
      <c r="R23" s="44">
        <f t="shared" si="15"/>
        <v>9.9233333333333338</v>
      </c>
      <c r="S23" s="45">
        <f t="shared" si="10"/>
        <v>29.770000000000003</v>
      </c>
      <c r="T23" s="45">
        <f t="shared" si="11"/>
        <v>89.31</v>
      </c>
      <c r="U23" s="44">
        <f t="shared" ref="U23:W23" si="16">89.31/9</f>
        <v>9.9233333333333338</v>
      </c>
      <c r="V23" s="44">
        <f t="shared" si="16"/>
        <v>9.9233333333333338</v>
      </c>
      <c r="W23" s="44">
        <f t="shared" si="16"/>
        <v>9.9233333333333338</v>
      </c>
      <c r="X23" s="45">
        <f t="shared" si="12"/>
        <v>29.770000000000003</v>
      </c>
    </row>
    <row r="24" spans="1:24" ht="56.25" x14ac:dyDescent="0.25">
      <c r="B24" s="13" t="s">
        <v>95</v>
      </c>
      <c r="C24" s="213">
        <v>231.24</v>
      </c>
      <c r="D24" s="213">
        <f>E24-C24</f>
        <v>-231.24</v>
      </c>
      <c r="E24" s="213">
        <v>0</v>
      </c>
      <c r="F24" s="45">
        <f t="shared" si="6"/>
        <v>0</v>
      </c>
      <c r="G24" s="44">
        <v>0</v>
      </c>
      <c r="H24" s="44">
        <v>0</v>
      </c>
      <c r="I24" s="44">
        <v>0</v>
      </c>
      <c r="J24" s="45">
        <f t="shared" si="7"/>
        <v>0</v>
      </c>
      <c r="K24" s="44">
        <v>0</v>
      </c>
      <c r="L24" s="44">
        <v>0</v>
      </c>
      <c r="M24" s="44">
        <v>0</v>
      </c>
      <c r="N24" s="45">
        <f t="shared" si="8"/>
        <v>0</v>
      </c>
      <c r="O24" s="45">
        <f t="shared" si="9"/>
        <v>0</v>
      </c>
      <c r="P24" s="44">
        <v>0</v>
      </c>
      <c r="Q24" s="44">
        <v>0</v>
      </c>
      <c r="R24" s="44">
        <v>0</v>
      </c>
      <c r="S24" s="45">
        <f t="shared" si="10"/>
        <v>0</v>
      </c>
      <c r="T24" s="45">
        <f t="shared" si="11"/>
        <v>0</v>
      </c>
      <c r="U24" s="44">
        <v>0</v>
      </c>
      <c r="V24" s="44">
        <v>0</v>
      </c>
      <c r="W24" s="44">
        <v>0</v>
      </c>
      <c r="X24" s="45">
        <f t="shared" si="12"/>
        <v>0</v>
      </c>
    </row>
    <row r="25" spans="1:24" ht="37.5" x14ac:dyDescent="0.25">
      <c r="B25" s="13" t="s">
        <v>112</v>
      </c>
      <c r="C25" s="213">
        <v>4002.31</v>
      </c>
      <c r="D25" s="213">
        <f>E25-C25</f>
        <v>197.69000000000005</v>
      </c>
      <c r="E25" s="213">
        <v>4200</v>
      </c>
      <c r="F25" s="45">
        <f>J25+N25+S25+X25</f>
        <v>4200</v>
      </c>
      <c r="G25" s="44">
        <v>350</v>
      </c>
      <c r="H25" s="44">
        <v>350</v>
      </c>
      <c r="I25" s="44">
        <v>350</v>
      </c>
      <c r="J25" s="45">
        <f>G25+H25+I25</f>
        <v>1050</v>
      </c>
      <c r="K25" s="44">
        <v>350</v>
      </c>
      <c r="L25" s="44">
        <v>350</v>
      </c>
      <c r="M25" s="44">
        <v>350</v>
      </c>
      <c r="N25" s="45">
        <f t="shared" ref="N25" si="17">K25+L25+M25</f>
        <v>1050</v>
      </c>
      <c r="O25" s="45">
        <f>J25+N25</f>
        <v>2100</v>
      </c>
      <c r="P25" s="44">
        <v>350</v>
      </c>
      <c r="Q25" s="44">
        <v>350</v>
      </c>
      <c r="R25" s="44">
        <v>350</v>
      </c>
      <c r="S25" s="45">
        <f t="shared" ref="S25" si="18">P25+Q25+R25</f>
        <v>1050</v>
      </c>
      <c r="T25" s="45">
        <f t="shared" ref="T25" si="19">O25+S25</f>
        <v>3150</v>
      </c>
      <c r="U25" s="44">
        <v>350</v>
      </c>
      <c r="V25" s="44">
        <v>350</v>
      </c>
      <c r="W25" s="44">
        <v>350</v>
      </c>
      <c r="X25" s="45">
        <f t="shared" si="12"/>
        <v>1050</v>
      </c>
    </row>
    <row r="26" spans="1:24" ht="18.75" x14ac:dyDescent="0.25">
      <c r="B26" s="13" t="s">
        <v>113</v>
      </c>
      <c r="C26" s="213">
        <v>4230.16</v>
      </c>
      <c r="D26" s="213">
        <f t="shared" ref="D26:D32" si="20">E26-C26</f>
        <v>-429.38002999999981</v>
      </c>
      <c r="E26" s="213">
        <v>3800.77997</v>
      </c>
      <c r="F26" s="45">
        <f>T26+X26</f>
        <v>0</v>
      </c>
      <c r="G26" s="44"/>
      <c r="H26" s="44"/>
      <c r="I26" s="44"/>
      <c r="J26" s="45">
        <f>G26+H26+I26</f>
        <v>0</v>
      </c>
      <c r="K26" s="44"/>
      <c r="L26" s="44"/>
      <c r="M26" s="44"/>
      <c r="N26" s="45">
        <f>K26+L26+M26</f>
        <v>0</v>
      </c>
      <c r="O26" s="45">
        <f t="shared" ref="O26" si="21">J26+N26</f>
        <v>0</v>
      </c>
      <c r="P26" s="44"/>
      <c r="Q26" s="44"/>
      <c r="R26" s="44"/>
      <c r="S26" s="45">
        <f t="shared" ref="S26" si="22">P26+Q26+R26</f>
        <v>0</v>
      </c>
      <c r="T26" s="45">
        <f t="shared" ref="T26" si="23">O26+S26</f>
        <v>0</v>
      </c>
      <c r="U26" s="44"/>
      <c r="V26" s="44"/>
      <c r="W26" s="44"/>
      <c r="X26" s="45">
        <f t="shared" si="12"/>
        <v>0</v>
      </c>
    </row>
    <row r="27" spans="1:24" ht="39.75" customHeight="1" thickBot="1" x14ac:dyDescent="0.3">
      <c r="B27" s="13" t="s">
        <v>32</v>
      </c>
      <c r="C27" s="213">
        <f t="shared" ref="C27:X27" si="24">C28+C97+C104</f>
        <v>34377.669827288453</v>
      </c>
      <c r="D27" s="213">
        <f t="shared" si="20"/>
        <v>11548.972804891542</v>
      </c>
      <c r="E27" s="213">
        <v>45926.642632179995</v>
      </c>
      <c r="F27" s="197">
        <f t="shared" si="24"/>
        <v>43114.222192000001</v>
      </c>
      <c r="G27" s="197">
        <f t="shared" si="24"/>
        <v>3672.7882660000005</v>
      </c>
      <c r="H27" s="197">
        <f t="shared" si="24"/>
        <v>3590.6732659999998</v>
      </c>
      <c r="I27" s="197">
        <f t="shared" si="24"/>
        <v>3586.2452659999999</v>
      </c>
      <c r="J27" s="197">
        <f t="shared" si="24"/>
        <v>10849.706797999999</v>
      </c>
      <c r="K27" s="197">
        <f t="shared" si="24"/>
        <v>3630.2912660000002</v>
      </c>
      <c r="L27" s="197">
        <f t="shared" si="24"/>
        <v>3557.4722659999998</v>
      </c>
      <c r="M27" s="197">
        <f t="shared" si="24"/>
        <v>3558.6822659999998</v>
      </c>
      <c r="N27" s="197">
        <f t="shared" si="24"/>
        <v>10746.445798000001</v>
      </c>
      <c r="O27" s="197">
        <f t="shared" si="24"/>
        <v>21596.152596</v>
      </c>
      <c r="P27" s="197">
        <f t="shared" si="24"/>
        <v>3599.1292659999999</v>
      </c>
      <c r="Q27" s="197">
        <f t="shared" si="24"/>
        <v>3594.8412660000004</v>
      </c>
      <c r="R27" s="197">
        <f t="shared" si="24"/>
        <v>3532.0192660000002</v>
      </c>
      <c r="S27" s="197">
        <f t="shared" si="24"/>
        <v>10725.989798000001</v>
      </c>
      <c r="T27" s="197">
        <f t="shared" si="24"/>
        <v>32322.142394000002</v>
      </c>
      <c r="U27" s="197">
        <f t="shared" si="24"/>
        <v>3576.156266</v>
      </c>
      <c r="V27" s="197">
        <f t="shared" si="24"/>
        <v>3592.1202659999999</v>
      </c>
      <c r="W27" s="197">
        <f t="shared" si="24"/>
        <v>3623.8032659999999</v>
      </c>
      <c r="X27" s="197">
        <f t="shared" si="24"/>
        <v>10792.079797999999</v>
      </c>
    </row>
    <row r="28" spans="1:24" ht="56.25" customHeight="1" x14ac:dyDescent="0.25">
      <c r="A28" s="59"/>
      <c r="B28" s="14" t="s">
        <v>33</v>
      </c>
      <c r="C28" s="213">
        <f>C30+C31+C32+C35+C40+C62+C87</f>
        <v>32252.799827288454</v>
      </c>
      <c r="D28" s="213">
        <f t="shared" si="20"/>
        <v>12477.296854711542</v>
      </c>
      <c r="E28" s="213">
        <v>44730.096681999996</v>
      </c>
      <c r="F28" s="197">
        <f>X28+T28</f>
        <v>42832.240239999999</v>
      </c>
      <c r="G28" s="197">
        <f>G29+G30+G31+G32+G33+G34+G35+G40+G62+G87</f>
        <v>3649.2897700000003</v>
      </c>
      <c r="H28" s="197">
        <f t="shared" ref="H28:I28" si="25">H29+H30+H31+H32+H33+H34+H35+H40+H62+H87</f>
        <v>3567.1747699999996</v>
      </c>
      <c r="I28" s="197">
        <f t="shared" si="25"/>
        <v>3562.7467699999997</v>
      </c>
      <c r="J28" s="197">
        <f>SUM(G28:I28)</f>
        <v>10779.211309999999</v>
      </c>
      <c r="K28" s="197">
        <f t="shared" ref="K28:W28" si="26">K29+K30+K31+K32+K33+K34+K35+K40+K62+K87</f>
        <v>3606.79277</v>
      </c>
      <c r="L28" s="197">
        <f t="shared" si="26"/>
        <v>3533.9737699999996</v>
      </c>
      <c r="M28" s="197">
        <f t="shared" si="26"/>
        <v>3535.1837699999996</v>
      </c>
      <c r="N28" s="197">
        <f>SUM(K28:M28)</f>
        <v>10675.95031</v>
      </c>
      <c r="O28" s="197">
        <f>N28+J28</f>
        <v>21455.161619999999</v>
      </c>
      <c r="P28" s="197">
        <f t="shared" si="26"/>
        <v>3575.6307699999998</v>
      </c>
      <c r="Q28" s="197">
        <f t="shared" si="26"/>
        <v>3571.3427700000002</v>
      </c>
      <c r="R28" s="197">
        <f t="shared" si="26"/>
        <v>3508.5207700000001</v>
      </c>
      <c r="S28" s="197">
        <f>SUM(P28:R28)</f>
        <v>10655.49431</v>
      </c>
      <c r="T28" s="197">
        <f>S28+O28</f>
        <v>32110.655930000001</v>
      </c>
      <c r="U28" s="197">
        <f t="shared" si="26"/>
        <v>3552.6577699999998</v>
      </c>
      <c r="V28" s="197">
        <f t="shared" si="26"/>
        <v>3568.6217699999997</v>
      </c>
      <c r="W28" s="197">
        <f t="shared" si="26"/>
        <v>3600.3047699999997</v>
      </c>
      <c r="X28" s="197">
        <f>SUM(U28:W28)</f>
        <v>10721.584309999998</v>
      </c>
    </row>
    <row r="29" spans="1:24" ht="15" customHeight="1" x14ac:dyDescent="0.25">
      <c r="B29" s="4" t="s">
        <v>101</v>
      </c>
      <c r="C29" s="213">
        <v>0</v>
      </c>
      <c r="D29" s="213">
        <f t="shared" si="20"/>
        <v>0</v>
      </c>
      <c r="E29" s="213">
        <v>0</v>
      </c>
      <c r="F29" s="197">
        <f t="shared" ref="F29:F92" si="27">X29+T29</f>
        <v>0</v>
      </c>
      <c r="G29" s="197">
        <v>0</v>
      </c>
      <c r="H29" s="197">
        <v>0</v>
      </c>
      <c r="I29" s="197">
        <v>0</v>
      </c>
      <c r="J29" s="197">
        <f t="shared" ref="J29:J92" si="28">SUM(G29:I29)</f>
        <v>0</v>
      </c>
      <c r="K29" s="197">
        <v>0</v>
      </c>
      <c r="L29" s="197">
        <v>0</v>
      </c>
      <c r="M29" s="197">
        <v>0</v>
      </c>
      <c r="N29" s="197">
        <f t="shared" ref="N29:N92" si="29">SUM(K29:M29)</f>
        <v>0</v>
      </c>
      <c r="O29" s="197">
        <f>J29+N29</f>
        <v>0</v>
      </c>
      <c r="P29" s="197">
        <v>0</v>
      </c>
      <c r="Q29" s="197">
        <v>0</v>
      </c>
      <c r="R29" s="197">
        <v>0</v>
      </c>
      <c r="S29" s="197">
        <f t="shared" ref="S29:S92" si="30">SUM(P29:R29)</f>
        <v>0</v>
      </c>
      <c r="T29" s="197">
        <f>O29+S29</f>
        <v>0</v>
      </c>
      <c r="U29" s="197">
        <v>0</v>
      </c>
      <c r="V29" s="197">
        <v>0</v>
      </c>
      <c r="W29" s="197">
        <v>0</v>
      </c>
      <c r="X29" s="197">
        <f t="shared" ref="X29:X92" si="31">SUM(U29:W29)</f>
        <v>0</v>
      </c>
    </row>
    <row r="30" spans="1:24" ht="15.75" x14ac:dyDescent="0.25">
      <c r="B30" s="4" t="s">
        <v>34</v>
      </c>
      <c r="C30" s="215">
        <v>4472.3209999999999</v>
      </c>
      <c r="D30" s="215">
        <f t="shared" si="20"/>
        <v>3055.0599999999995</v>
      </c>
      <c r="E30" s="213">
        <v>7527.3809999999994</v>
      </c>
      <c r="F30" s="197">
        <f t="shared" si="27"/>
        <v>5729.0429999999997</v>
      </c>
      <c r="G30" s="198">
        <v>540.49400000000003</v>
      </c>
      <c r="H30" s="198">
        <v>458.37900000000002</v>
      </c>
      <c r="I30" s="198">
        <v>453.95100000000002</v>
      </c>
      <c r="J30" s="197">
        <f t="shared" si="28"/>
        <v>1452.8240000000001</v>
      </c>
      <c r="K30" s="198">
        <v>497.99700000000001</v>
      </c>
      <c r="L30" s="198">
        <v>462.35500000000002</v>
      </c>
      <c r="M30" s="198">
        <v>463.565</v>
      </c>
      <c r="N30" s="197">
        <f t="shared" si="29"/>
        <v>1423.9170000000001</v>
      </c>
      <c r="O30" s="197">
        <f t="shared" ref="O30:O94" si="32">J30+N30</f>
        <v>2876.741</v>
      </c>
      <c r="P30" s="198">
        <v>504.012</v>
      </c>
      <c r="Q30" s="198">
        <v>499.72399999999999</v>
      </c>
      <c r="R30" s="198">
        <v>436.90199999999999</v>
      </c>
      <c r="S30" s="197">
        <f t="shared" si="30"/>
        <v>1440.6379999999999</v>
      </c>
      <c r="T30" s="197">
        <f t="shared" ref="T30:T94" si="33">O30+S30</f>
        <v>4317.3789999999999</v>
      </c>
      <c r="U30" s="198">
        <v>460.32900000000001</v>
      </c>
      <c r="V30" s="198">
        <v>459.82600000000002</v>
      </c>
      <c r="W30" s="198">
        <v>491.50900000000001</v>
      </c>
      <c r="X30" s="197">
        <f t="shared" si="31"/>
        <v>1411.664</v>
      </c>
    </row>
    <row r="31" spans="1:24" ht="15.75" x14ac:dyDescent="0.25">
      <c r="B31" s="4" t="s">
        <v>35</v>
      </c>
      <c r="C31" s="215">
        <v>1299.9870000000001</v>
      </c>
      <c r="D31" s="215">
        <f t="shared" si="20"/>
        <v>-528.02700000000004</v>
      </c>
      <c r="E31" s="213">
        <v>771.96</v>
      </c>
      <c r="F31" s="197">
        <f t="shared" si="27"/>
        <v>0</v>
      </c>
      <c r="G31" s="198"/>
      <c r="H31" s="198"/>
      <c r="I31" s="198"/>
      <c r="J31" s="197">
        <f t="shared" si="28"/>
        <v>0</v>
      </c>
      <c r="K31" s="198"/>
      <c r="L31" s="198"/>
      <c r="M31" s="198"/>
      <c r="N31" s="197">
        <f t="shared" si="29"/>
        <v>0</v>
      </c>
      <c r="O31" s="197">
        <f t="shared" si="32"/>
        <v>0</v>
      </c>
      <c r="P31" s="198"/>
      <c r="Q31" s="198"/>
      <c r="R31" s="198"/>
      <c r="S31" s="197">
        <f t="shared" si="30"/>
        <v>0</v>
      </c>
      <c r="T31" s="197">
        <f t="shared" si="33"/>
        <v>0</v>
      </c>
      <c r="U31" s="198"/>
      <c r="V31" s="198"/>
      <c r="W31" s="198"/>
      <c r="X31" s="197">
        <f t="shared" si="31"/>
        <v>0</v>
      </c>
    </row>
    <row r="32" spans="1:24" ht="15.75" x14ac:dyDescent="0.25">
      <c r="B32" s="16" t="s">
        <v>85</v>
      </c>
      <c r="C32" s="215">
        <v>5485.482</v>
      </c>
      <c r="D32" s="215">
        <f t="shared" si="20"/>
        <v>1862.0100000000002</v>
      </c>
      <c r="E32" s="213">
        <v>7347.4920000000002</v>
      </c>
      <c r="F32" s="197">
        <f t="shared" si="27"/>
        <v>7461.66</v>
      </c>
      <c r="G32" s="198">
        <v>621.80499999999995</v>
      </c>
      <c r="H32" s="198">
        <v>621.80499999999995</v>
      </c>
      <c r="I32" s="198">
        <v>621.80499999999995</v>
      </c>
      <c r="J32" s="197">
        <f t="shared" si="28"/>
        <v>1865.415</v>
      </c>
      <c r="K32" s="198">
        <v>621.80499999999995</v>
      </c>
      <c r="L32" s="198">
        <v>621.80499999999995</v>
      </c>
      <c r="M32" s="198">
        <v>621.80499999999995</v>
      </c>
      <c r="N32" s="197">
        <f t="shared" si="29"/>
        <v>1865.415</v>
      </c>
      <c r="O32" s="197">
        <f t="shared" si="32"/>
        <v>3730.83</v>
      </c>
      <c r="P32" s="198">
        <v>621.80499999999995</v>
      </c>
      <c r="Q32" s="198">
        <v>621.80499999999995</v>
      </c>
      <c r="R32" s="198">
        <v>621.80499999999995</v>
      </c>
      <c r="S32" s="197">
        <f t="shared" si="30"/>
        <v>1865.415</v>
      </c>
      <c r="T32" s="197">
        <f t="shared" si="33"/>
        <v>5596.2449999999999</v>
      </c>
      <c r="U32" s="198">
        <v>621.80499999999995</v>
      </c>
      <c r="V32" s="198">
        <v>621.80499999999995</v>
      </c>
      <c r="W32" s="198">
        <v>621.80499999999995</v>
      </c>
      <c r="X32" s="197">
        <f t="shared" si="31"/>
        <v>1865.415</v>
      </c>
    </row>
    <row r="33" spans="1:24" ht="15.75" x14ac:dyDescent="0.25">
      <c r="B33" s="4" t="s">
        <v>102</v>
      </c>
      <c r="C33" s="215">
        <v>0.10299999999999999</v>
      </c>
      <c r="D33" s="215">
        <f>E33-C33</f>
        <v>-0.10299999999999999</v>
      </c>
      <c r="E33" s="213">
        <v>0</v>
      </c>
      <c r="F33" s="197">
        <f t="shared" si="27"/>
        <v>0</v>
      </c>
      <c r="G33" s="198">
        <v>0</v>
      </c>
      <c r="H33" s="198">
        <f t="shared" ref="H33:I34" si="34">F33+G33</f>
        <v>0</v>
      </c>
      <c r="I33" s="198">
        <f t="shared" si="34"/>
        <v>0</v>
      </c>
      <c r="J33" s="197">
        <f t="shared" si="28"/>
        <v>0</v>
      </c>
      <c r="K33" s="198">
        <f t="shared" ref="K33:K34" si="35">I33+J33</f>
        <v>0</v>
      </c>
      <c r="L33" s="198">
        <f t="shared" ref="L33:L34" si="36">J33+K33</f>
        <v>0</v>
      </c>
      <c r="M33" s="198">
        <f t="shared" ref="M33:M34" si="37">K33+L33</f>
        <v>0</v>
      </c>
      <c r="N33" s="197">
        <f t="shared" si="29"/>
        <v>0</v>
      </c>
      <c r="O33" s="197"/>
      <c r="P33" s="198"/>
      <c r="Q33" s="198"/>
      <c r="R33" s="198"/>
      <c r="S33" s="197">
        <f t="shared" si="30"/>
        <v>0</v>
      </c>
      <c r="T33" s="197">
        <f t="shared" si="33"/>
        <v>0</v>
      </c>
      <c r="U33" s="198">
        <f t="shared" ref="U33:U34" si="38">S33+T33</f>
        <v>0</v>
      </c>
      <c r="V33" s="198">
        <f t="shared" ref="V33:V34" si="39">T33+U33</f>
        <v>0</v>
      </c>
      <c r="W33" s="198">
        <f t="shared" ref="W33:W34" si="40">U33+V33</f>
        <v>0</v>
      </c>
      <c r="X33" s="197">
        <f t="shared" si="31"/>
        <v>0</v>
      </c>
    </row>
    <row r="34" spans="1:24" ht="15.75" x14ac:dyDescent="0.25">
      <c r="B34" s="4" t="s">
        <v>103</v>
      </c>
      <c r="C34" s="215">
        <v>0</v>
      </c>
      <c r="D34" s="215">
        <f>E34-C34</f>
        <v>0</v>
      </c>
      <c r="E34" s="213">
        <v>0</v>
      </c>
      <c r="F34" s="197"/>
      <c r="G34" s="198"/>
      <c r="H34" s="198">
        <f t="shared" si="34"/>
        <v>0</v>
      </c>
      <c r="I34" s="198">
        <f t="shared" si="34"/>
        <v>0</v>
      </c>
      <c r="J34" s="197">
        <f t="shared" si="28"/>
        <v>0</v>
      </c>
      <c r="K34" s="198">
        <f t="shared" si="35"/>
        <v>0</v>
      </c>
      <c r="L34" s="198">
        <f t="shared" si="36"/>
        <v>0</v>
      </c>
      <c r="M34" s="198">
        <f t="shared" si="37"/>
        <v>0</v>
      </c>
      <c r="N34" s="197">
        <f t="shared" si="29"/>
        <v>0</v>
      </c>
      <c r="O34" s="197">
        <f t="shared" si="32"/>
        <v>0</v>
      </c>
      <c r="P34" s="198">
        <f t="shared" ref="P34" si="41">N34+O34</f>
        <v>0</v>
      </c>
      <c r="Q34" s="198">
        <f t="shared" ref="Q34" si="42">O34+P34</f>
        <v>0</v>
      </c>
      <c r="R34" s="198">
        <f t="shared" ref="R34" si="43">P34+Q34</f>
        <v>0</v>
      </c>
      <c r="S34" s="197">
        <f t="shared" si="30"/>
        <v>0</v>
      </c>
      <c r="T34" s="197">
        <f t="shared" si="33"/>
        <v>0</v>
      </c>
      <c r="U34" s="198">
        <f t="shared" si="38"/>
        <v>0</v>
      </c>
      <c r="V34" s="198">
        <f t="shared" si="39"/>
        <v>0</v>
      </c>
      <c r="W34" s="198">
        <f t="shared" si="40"/>
        <v>0</v>
      </c>
      <c r="X34" s="197">
        <f t="shared" si="31"/>
        <v>0</v>
      </c>
    </row>
    <row r="35" spans="1:24" ht="16.5" thickBot="1" x14ac:dyDescent="0.3">
      <c r="B35" s="15" t="s">
        <v>36</v>
      </c>
      <c r="C35" s="215">
        <f>C36+C37+C38+C39</f>
        <v>32.519999999999996</v>
      </c>
      <c r="D35" s="215">
        <f t="shared" ref="D35" si="44">D36+D37+D38+D39</f>
        <v>645.77999999999986</v>
      </c>
      <c r="E35" s="213">
        <v>678.3</v>
      </c>
      <c r="F35" s="199">
        <f t="shared" si="27"/>
        <v>221.21999999999997</v>
      </c>
      <c r="G35" s="199">
        <f>SUM(G36:G39)</f>
        <v>18.434999999999999</v>
      </c>
      <c r="H35" s="199">
        <f t="shared" ref="H35:I35" si="45">SUM(H36:H39)</f>
        <v>18.434999999999999</v>
      </c>
      <c r="I35" s="199">
        <f t="shared" si="45"/>
        <v>18.434999999999999</v>
      </c>
      <c r="J35" s="197">
        <f t="shared" si="28"/>
        <v>55.304999999999993</v>
      </c>
      <c r="K35" s="199">
        <f t="shared" ref="K35:M35" si="46">SUM(K36:K39)</f>
        <v>18.434999999999999</v>
      </c>
      <c r="L35" s="199">
        <f t="shared" si="46"/>
        <v>18.434999999999999</v>
      </c>
      <c r="M35" s="199">
        <f t="shared" si="46"/>
        <v>18.434999999999999</v>
      </c>
      <c r="N35" s="197">
        <f t="shared" si="29"/>
        <v>55.304999999999993</v>
      </c>
      <c r="O35" s="197">
        <f t="shared" si="32"/>
        <v>110.60999999999999</v>
      </c>
      <c r="P35" s="199">
        <f t="shared" ref="P35:R35" si="47">SUM(P36:P39)</f>
        <v>18.434999999999999</v>
      </c>
      <c r="Q35" s="199">
        <f t="shared" si="47"/>
        <v>18.434999999999999</v>
      </c>
      <c r="R35" s="199">
        <f t="shared" si="47"/>
        <v>18.434999999999999</v>
      </c>
      <c r="S35" s="197">
        <f t="shared" si="30"/>
        <v>55.304999999999993</v>
      </c>
      <c r="T35" s="197">
        <f t="shared" si="33"/>
        <v>165.91499999999996</v>
      </c>
      <c r="U35" s="199">
        <f t="shared" ref="U35:W35" si="48">SUM(U36:U39)</f>
        <v>18.434999999999999</v>
      </c>
      <c r="V35" s="199">
        <f t="shared" si="48"/>
        <v>18.434999999999999</v>
      </c>
      <c r="W35" s="199">
        <f t="shared" si="48"/>
        <v>18.434999999999999</v>
      </c>
      <c r="X35" s="197">
        <f t="shared" si="31"/>
        <v>55.304999999999993</v>
      </c>
    </row>
    <row r="36" spans="1:24" ht="15.75" thickBot="1" x14ac:dyDescent="0.3">
      <c r="A36" s="59">
        <f>F36-E36</f>
        <v>-4.4519999999999982</v>
      </c>
      <c r="B36" s="17" t="s">
        <v>37</v>
      </c>
      <c r="C36" s="214">
        <v>10.84</v>
      </c>
      <c r="D36" s="214">
        <f>E36-C36</f>
        <v>20.66</v>
      </c>
      <c r="E36" s="213">
        <v>31.5</v>
      </c>
      <c r="F36" s="197">
        <f t="shared" si="27"/>
        <v>27.048000000000002</v>
      </c>
      <c r="G36" s="198">
        <v>2.254</v>
      </c>
      <c r="H36" s="198">
        <v>2.254</v>
      </c>
      <c r="I36" s="198">
        <v>2.254</v>
      </c>
      <c r="J36" s="197">
        <f t="shared" si="28"/>
        <v>6.7620000000000005</v>
      </c>
      <c r="K36" s="198">
        <v>2.254</v>
      </c>
      <c r="L36" s="198">
        <v>2.254</v>
      </c>
      <c r="M36" s="198">
        <v>2.254</v>
      </c>
      <c r="N36" s="197">
        <f t="shared" si="29"/>
        <v>6.7620000000000005</v>
      </c>
      <c r="O36" s="197">
        <f t="shared" si="32"/>
        <v>13.524000000000001</v>
      </c>
      <c r="P36" s="198">
        <v>2.254</v>
      </c>
      <c r="Q36" s="198">
        <v>2.254</v>
      </c>
      <c r="R36" s="198">
        <v>2.254</v>
      </c>
      <c r="S36" s="197">
        <f t="shared" si="30"/>
        <v>6.7620000000000005</v>
      </c>
      <c r="T36" s="197">
        <f t="shared" si="33"/>
        <v>20.286000000000001</v>
      </c>
      <c r="U36" s="198">
        <v>2.254</v>
      </c>
      <c r="V36" s="198">
        <v>2.254</v>
      </c>
      <c r="W36" s="198">
        <v>2.254</v>
      </c>
      <c r="X36" s="197">
        <f t="shared" si="31"/>
        <v>6.7620000000000005</v>
      </c>
    </row>
    <row r="37" spans="1:24" ht="15.75" thickBot="1" x14ac:dyDescent="0.3">
      <c r="A37">
        <f>23.72/12</f>
        <v>1.9766666666666666</v>
      </c>
      <c r="B37" s="18" t="s">
        <v>38</v>
      </c>
      <c r="C37" s="214">
        <v>-0.15</v>
      </c>
      <c r="D37" s="214">
        <f>E37-C37</f>
        <v>624.15</v>
      </c>
      <c r="E37" s="213">
        <v>624</v>
      </c>
      <c r="F37" s="197">
        <f t="shared" si="27"/>
        <v>170.172</v>
      </c>
      <c r="G37" s="198">
        <v>14.180999999999999</v>
      </c>
      <c r="H37" s="198">
        <v>14.180999999999999</v>
      </c>
      <c r="I37" s="198">
        <v>14.180999999999999</v>
      </c>
      <c r="J37" s="197">
        <f t="shared" si="28"/>
        <v>42.542999999999999</v>
      </c>
      <c r="K37" s="198">
        <v>14.180999999999999</v>
      </c>
      <c r="L37" s="198">
        <v>14.180999999999999</v>
      </c>
      <c r="M37" s="198">
        <v>14.180999999999999</v>
      </c>
      <c r="N37" s="197">
        <f t="shared" si="29"/>
        <v>42.542999999999999</v>
      </c>
      <c r="O37" s="197">
        <f t="shared" si="32"/>
        <v>85.085999999999999</v>
      </c>
      <c r="P37" s="198">
        <v>14.180999999999999</v>
      </c>
      <c r="Q37" s="198">
        <v>14.180999999999999</v>
      </c>
      <c r="R37" s="198">
        <v>14.180999999999999</v>
      </c>
      <c r="S37" s="197">
        <f t="shared" si="30"/>
        <v>42.542999999999999</v>
      </c>
      <c r="T37" s="197">
        <f t="shared" si="33"/>
        <v>127.62899999999999</v>
      </c>
      <c r="U37" s="198">
        <v>14.180999999999999</v>
      </c>
      <c r="V37" s="198">
        <v>14.180999999999999</v>
      </c>
      <c r="W37" s="198">
        <v>14.180999999999999</v>
      </c>
      <c r="X37" s="197">
        <f t="shared" si="31"/>
        <v>42.542999999999999</v>
      </c>
    </row>
    <row r="38" spans="1:24" ht="15.75" thickBot="1" x14ac:dyDescent="0.3">
      <c r="A38">
        <f>A37/3</f>
        <v>0.65888888888888886</v>
      </c>
      <c r="B38" s="19" t="s">
        <v>39</v>
      </c>
      <c r="C38" s="214">
        <v>9</v>
      </c>
      <c r="D38" s="214">
        <f>E38-C38</f>
        <v>13.8</v>
      </c>
      <c r="E38" s="213">
        <v>22.8</v>
      </c>
      <c r="F38" s="197">
        <f t="shared" si="27"/>
        <v>24</v>
      </c>
      <c r="G38" s="198">
        <v>2</v>
      </c>
      <c r="H38" s="198">
        <v>2</v>
      </c>
      <c r="I38" s="198">
        <v>2</v>
      </c>
      <c r="J38" s="197">
        <f t="shared" si="28"/>
        <v>6</v>
      </c>
      <c r="K38" s="198">
        <v>2</v>
      </c>
      <c r="L38" s="198">
        <v>2</v>
      </c>
      <c r="M38" s="198">
        <v>2</v>
      </c>
      <c r="N38" s="197">
        <f t="shared" si="29"/>
        <v>6</v>
      </c>
      <c r="O38" s="197">
        <f t="shared" si="32"/>
        <v>12</v>
      </c>
      <c r="P38" s="198">
        <v>2</v>
      </c>
      <c r="Q38" s="198">
        <v>2</v>
      </c>
      <c r="R38" s="198">
        <v>2</v>
      </c>
      <c r="S38" s="197">
        <f t="shared" si="30"/>
        <v>6</v>
      </c>
      <c r="T38" s="197">
        <f t="shared" si="33"/>
        <v>18</v>
      </c>
      <c r="U38" s="198">
        <v>2</v>
      </c>
      <c r="V38" s="198">
        <v>2</v>
      </c>
      <c r="W38" s="198">
        <v>2</v>
      </c>
      <c r="X38" s="197">
        <f t="shared" si="31"/>
        <v>6</v>
      </c>
    </row>
    <row r="39" spans="1:24" ht="30.75" thickBot="1" x14ac:dyDescent="0.3">
      <c r="B39" s="17" t="s">
        <v>40</v>
      </c>
      <c r="C39" s="214">
        <v>12.83</v>
      </c>
      <c r="D39" s="214">
        <f>E39-C39</f>
        <v>-12.83</v>
      </c>
      <c r="E39" s="213">
        <v>0</v>
      </c>
      <c r="F39" s="197">
        <f t="shared" si="27"/>
        <v>0</v>
      </c>
      <c r="G39" s="198">
        <v>0</v>
      </c>
      <c r="H39" s="198">
        <v>0</v>
      </c>
      <c r="I39" s="198">
        <v>0</v>
      </c>
      <c r="J39" s="197">
        <f t="shared" si="28"/>
        <v>0</v>
      </c>
      <c r="K39" s="198">
        <v>0</v>
      </c>
      <c r="L39" s="198">
        <v>0</v>
      </c>
      <c r="M39" s="198">
        <v>0</v>
      </c>
      <c r="N39" s="197">
        <f t="shared" si="29"/>
        <v>0</v>
      </c>
      <c r="O39" s="197">
        <f t="shared" si="32"/>
        <v>0</v>
      </c>
      <c r="P39" s="198"/>
      <c r="Q39" s="198"/>
      <c r="R39" s="198"/>
      <c r="S39" s="197">
        <f t="shared" si="30"/>
        <v>0</v>
      </c>
      <c r="T39" s="197">
        <f t="shared" si="33"/>
        <v>0</v>
      </c>
      <c r="U39" s="198"/>
      <c r="V39" s="198"/>
      <c r="W39" s="198"/>
      <c r="X39" s="197">
        <f t="shared" si="31"/>
        <v>0</v>
      </c>
    </row>
    <row r="40" spans="1:24" ht="16.5" thickBot="1" x14ac:dyDescent="0.3">
      <c r="B40" s="21" t="s">
        <v>41</v>
      </c>
      <c r="C40" s="215">
        <f>C41+C42+C45+C51+C52+C53+C60</f>
        <v>3299.5789999999997</v>
      </c>
      <c r="D40" s="215">
        <f>D41+D42+D45+D50+D51+D52+D53+D57</f>
        <v>774.60799999999972</v>
      </c>
      <c r="E40" s="213">
        <v>4239.5990000000002</v>
      </c>
      <c r="F40" s="197">
        <f t="shared" si="27"/>
        <v>3242.6659999999993</v>
      </c>
      <c r="G40" s="197">
        <f>G41+G42+G45+G50+G51+G52+G53+G57+G58+G59</f>
        <v>283.33299999999997</v>
      </c>
      <c r="H40" s="197">
        <f t="shared" ref="H40:I40" si="49">H41+H42+H45+H50+H51+H52+H53+H57+H58+H59</f>
        <v>283.33299999999997</v>
      </c>
      <c r="I40" s="197">
        <f t="shared" si="49"/>
        <v>283.33299999999997</v>
      </c>
      <c r="J40" s="197">
        <f t="shared" si="28"/>
        <v>849.99899999999991</v>
      </c>
      <c r="K40" s="197">
        <f t="shared" ref="K40:M40" si="50">K41+K42+K45+K50+K51+K52+K53+K57+K58+K59</f>
        <v>283.33299999999997</v>
      </c>
      <c r="L40" s="197">
        <f t="shared" si="50"/>
        <v>254.23300000000003</v>
      </c>
      <c r="M40" s="197">
        <f t="shared" si="50"/>
        <v>254.23300000000003</v>
      </c>
      <c r="N40" s="197">
        <f t="shared" si="29"/>
        <v>791.79900000000009</v>
      </c>
      <c r="O40" s="197">
        <f t="shared" ref="O40:T40" si="51">O41+O42+O45+O50+O51+O52+O53+O57</f>
        <v>1641.7980000000002</v>
      </c>
      <c r="P40" s="197">
        <f t="shared" ref="P40:R40" si="52">P41+P42+P45+P50+P51+P52+P53+P57+P58+P59</f>
        <v>254.23300000000003</v>
      </c>
      <c r="Q40" s="197">
        <f t="shared" si="52"/>
        <v>254.23300000000003</v>
      </c>
      <c r="R40" s="197">
        <f t="shared" si="52"/>
        <v>254.23300000000003</v>
      </c>
      <c r="S40" s="197">
        <f t="shared" si="30"/>
        <v>762.69900000000007</v>
      </c>
      <c r="T40" s="197">
        <f t="shared" si="51"/>
        <v>2404.4969999999994</v>
      </c>
      <c r="U40" s="197">
        <f t="shared" ref="U40:W40" si="53">U41+U42+U45+U50+U51+U52+U53+U57+U58+U59</f>
        <v>271.50299999999999</v>
      </c>
      <c r="V40" s="197">
        <f t="shared" si="53"/>
        <v>283.33299999999997</v>
      </c>
      <c r="W40" s="197">
        <f t="shared" si="53"/>
        <v>283.33299999999997</v>
      </c>
      <c r="X40" s="197">
        <f t="shared" si="31"/>
        <v>838.16899999999998</v>
      </c>
    </row>
    <row r="41" spans="1:24" ht="16.5" thickBot="1" x14ac:dyDescent="0.3">
      <c r="A41" s="59">
        <f>F41-E41</f>
        <v>4.3000000000000043</v>
      </c>
      <c r="B41" s="22" t="s">
        <v>42</v>
      </c>
      <c r="C41" s="216">
        <v>3.19</v>
      </c>
      <c r="D41" s="216">
        <f t="shared" ref="D41:D58" si="54">E41-C41</f>
        <v>18.309999999999999</v>
      </c>
      <c r="E41" s="213">
        <v>21.5</v>
      </c>
      <c r="F41" s="197">
        <f t="shared" si="27"/>
        <v>25.800000000000004</v>
      </c>
      <c r="G41" s="198">
        <f>1.032+1.118</f>
        <v>2.1500000000000004</v>
      </c>
      <c r="H41" s="198">
        <f t="shared" ref="H41:I41" si="55">1.032+1.118</f>
        <v>2.1500000000000004</v>
      </c>
      <c r="I41" s="198">
        <f t="shared" si="55"/>
        <v>2.1500000000000004</v>
      </c>
      <c r="J41" s="197">
        <f t="shared" si="28"/>
        <v>6.4500000000000011</v>
      </c>
      <c r="K41" s="198">
        <f t="shared" ref="K41:M41" si="56">1.032+1.118</f>
        <v>2.1500000000000004</v>
      </c>
      <c r="L41" s="198">
        <f t="shared" si="56"/>
        <v>2.1500000000000004</v>
      </c>
      <c r="M41" s="198">
        <f t="shared" si="56"/>
        <v>2.1500000000000004</v>
      </c>
      <c r="N41" s="197">
        <f t="shared" si="29"/>
        <v>6.4500000000000011</v>
      </c>
      <c r="O41" s="197">
        <f t="shared" si="32"/>
        <v>12.900000000000002</v>
      </c>
      <c r="P41" s="198">
        <f t="shared" ref="P41:R41" si="57">1.032+1.118</f>
        <v>2.1500000000000004</v>
      </c>
      <c r="Q41" s="198">
        <f t="shared" si="57"/>
        <v>2.1500000000000004</v>
      </c>
      <c r="R41" s="198">
        <f t="shared" si="57"/>
        <v>2.1500000000000004</v>
      </c>
      <c r="S41" s="197">
        <f t="shared" si="30"/>
        <v>6.4500000000000011</v>
      </c>
      <c r="T41" s="197">
        <f t="shared" si="33"/>
        <v>19.350000000000001</v>
      </c>
      <c r="U41" s="198">
        <f t="shared" ref="U41:W41" si="58">1.032+1.118</f>
        <v>2.1500000000000004</v>
      </c>
      <c r="V41" s="198">
        <f t="shared" si="58"/>
        <v>2.1500000000000004</v>
      </c>
      <c r="W41" s="198">
        <f t="shared" si="58"/>
        <v>2.1500000000000004</v>
      </c>
      <c r="X41" s="197">
        <f t="shared" si="31"/>
        <v>6.4500000000000011</v>
      </c>
    </row>
    <row r="42" spans="1:24" ht="16.5" thickBot="1" x14ac:dyDescent="0.3">
      <c r="A42">
        <f>A41/12/4</f>
        <v>8.9583333333333418E-2</v>
      </c>
      <c r="B42" s="22" t="s">
        <v>43</v>
      </c>
      <c r="C42" s="216">
        <v>2414.54</v>
      </c>
      <c r="D42" s="216">
        <f t="shared" si="54"/>
        <v>343.4989999999998</v>
      </c>
      <c r="E42" s="213">
        <v>2758.0389999999998</v>
      </c>
      <c r="F42" s="197">
        <f t="shared" si="27"/>
        <v>3026.6059999999998</v>
      </c>
      <c r="G42" s="198">
        <f t="shared" ref="G42:W42" si="59">G43+G44</f>
        <v>257.22399999999999</v>
      </c>
      <c r="H42" s="198">
        <f t="shared" si="59"/>
        <v>257.22399999999999</v>
      </c>
      <c r="I42" s="198">
        <f t="shared" si="59"/>
        <v>257.22399999999999</v>
      </c>
      <c r="J42" s="197">
        <f t="shared" si="28"/>
        <v>771.67200000000003</v>
      </c>
      <c r="K42" s="198">
        <f t="shared" si="59"/>
        <v>257.22399999999999</v>
      </c>
      <c r="L42" s="198">
        <f t="shared" si="59"/>
        <v>246.11</v>
      </c>
      <c r="M42" s="198">
        <f t="shared" si="59"/>
        <v>246.11</v>
      </c>
      <c r="N42" s="197">
        <f t="shared" si="29"/>
        <v>749.44399999999996</v>
      </c>
      <c r="O42" s="197">
        <f t="shared" si="32"/>
        <v>1521.116</v>
      </c>
      <c r="P42" s="198">
        <f t="shared" si="59"/>
        <v>246.11</v>
      </c>
      <c r="Q42" s="198">
        <f t="shared" si="59"/>
        <v>246.11</v>
      </c>
      <c r="R42" s="198">
        <f t="shared" si="59"/>
        <v>246.11</v>
      </c>
      <c r="S42" s="197">
        <f t="shared" si="30"/>
        <v>738.33</v>
      </c>
      <c r="T42" s="197">
        <f t="shared" si="33"/>
        <v>2259.4459999999999</v>
      </c>
      <c r="U42" s="198">
        <f t="shared" si="59"/>
        <v>252.71199999999999</v>
      </c>
      <c r="V42" s="198">
        <f t="shared" si="59"/>
        <v>257.22399999999999</v>
      </c>
      <c r="W42" s="198">
        <f t="shared" si="59"/>
        <v>257.22399999999999</v>
      </c>
      <c r="X42" s="197">
        <f t="shared" si="31"/>
        <v>767.16</v>
      </c>
    </row>
    <row r="43" spans="1:24" ht="15.75" thickBot="1" x14ac:dyDescent="0.3">
      <c r="B43" s="23" t="s">
        <v>44</v>
      </c>
      <c r="C43" s="213">
        <v>2108.7800000000002</v>
      </c>
      <c r="D43" s="213">
        <f t="shared" si="54"/>
        <v>281.17399999999952</v>
      </c>
      <c r="E43" s="213">
        <v>2389.9539999999997</v>
      </c>
      <c r="F43" s="197">
        <f t="shared" si="27"/>
        <v>2691.6020000000003</v>
      </c>
      <c r="G43" s="198">
        <v>229.30699999999999</v>
      </c>
      <c r="H43" s="198">
        <v>229.30699999999999</v>
      </c>
      <c r="I43" s="198">
        <v>229.30699999999999</v>
      </c>
      <c r="J43" s="197">
        <f t="shared" si="28"/>
        <v>687.92099999999994</v>
      </c>
      <c r="K43" s="198">
        <v>229.30699999999999</v>
      </c>
      <c r="L43" s="198">
        <v>218.19300000000001</v>
      </c>
      <c r="M43" s="198">
        <v>218.19300000000001</v>
      </c>
      <c r="N43" s="197">
        <f t="shared" si="29"/>
        <v>665.69299999999998</v>
      </c>
      <c r="O43" s="197">
        <f t="shared" si="32"/>
        <v>1353.614</v>
      </c>
      <c r="P43" s="198">
        <v>218.19300000000001</v>
      </c>
      <c r="Q43" s="198">
        <v>218.19300000000001</v>
      </c>
      <c r="R43" s="198">
        <v>218.19300000000001</v>
      </c>
      <c r="S43" s="197">
        <f t="shared" si="30"/>
        <v>654.57900000000006</v>
      </c>
      <c r="T43" s="197">
        <f t="shared" si="33"/>
        <v>2008.1930000000002</v>
      </c>
      <c r="U43" s="198">
        <v>224.79499999999999</v>
      </c>
      <c r="V43" s="198">
        <v>229.30699999999999</v>
      </c>
      <c r="W43" s="198">
        <v>229.30699999999999</v>
      </c>
      <c r="X43" s="197">
        <f t="shared" si="31"/>
        <v>683.40899999999999</v>
      </c>
    </row>
    <row r="44" spans="1:24" ht="15.75" thickBot="1" x14ac:dyDescent="0.3">
      <c r="B44" s="23" t="s">
        <v>45</v>
      </c>
      <c r="C44" s="213">
        <v>305.76</v>
      </c>
      <c r="D44" s="213">
        <f t="shared" si="54"/>
        <v>62.324999999999989</v>
      </c>
      <c r="E44" s="213">
        <v>368.08499999999998</v>
      </c>
      <c r="F44" s="197">
        <f t="shared" si="27"/>
        <v>335.00400000000002</v>
      </c>
      <c r="G44" s="198">
        <v>27.917000000000002</v>
      </c>
      <c r="H44" s="198">
        <v>27.917000000000002</v>
      </c>
      <c r="I44" s="198">
        <v>27.917000000000002</v>
      </c>
      <c r="J44" s="197">
        <f t="shared" si="28"/>
        <v>83.751000000000005</v>
      </c>
      <c r="K44" s="198">
        <v>27.917000000000002</v>
      </c>
      <c r="L44" s="198">
        <v>27.917000000000002</v>
      </c>
      <c r="M44" s="198">
        <v>27.917000000000002</v>
      </c>
      <c r="N44" s="197">
        <f t="shared" si="29"/>
        <v>83.751000000000005</v>
      </c>
      <c r="O44" s="197">
        <f t="shared" si="32"/>
        <v>167.50200000000001</v>
      </c>
      <c r="P44" s="198">
        <v>27.917000000000002</v>
      </c>
      <c r="Q44" s="198">
        <v>27.917000000000002</v>
      </c>
      <c r="R44" s="198">
        <v>27.917000000000002</v>
      </c>
      <c r="S44" s="197">
        <f t="shared" si="30"/>
        <v>83.751000000000005</v>
      </c>
      <c r="T44" s="197">
        <f t="shared" si="33"/>
        <v>251.25300000000001</v>
      </c>
      <c r="U44" s="198">
        <v>27.917000000000002</v>
      </c>
      <c r="V44" s="198">
        <v>27.917000000000002</v>
      </c>
      <c r="W44" s="198">
        <v>27.917000000000002</v>
      </c>
      <c r="X44" s="197">
        <f t="shared" si="31"/>
        <v>83.751000000000005</v>
      </c>
    </row>
    <row r="45" spans="1:24" ht="16.5" thickBot="1" x14ac:dyDescent="0.3">
      <c r="B45" s="22" t="s">
        <v>46</v>
      </c>
      <c r="C45" s="213">
        <v>22.479000000000003</v>
      </c>
      <c r="D45" s="213">
        <f t="shared" si="54"/>
        <v>-7.9790000000000028</v>
      </c>
      <c r="E45" s="213">
        <v>14.5</v>
      </c>
      <c r="F45" s="197">
        <f t="shared" si="27"/>
        <v>47.46</v>
      </c>
      <c r="G45" s="198">
        <f>G46+G47+G48+G49</f>
        <v>3.9550000000000001</v>
      </c>
      <c r="H45" s="198">
        <f t="shared" ref="H45:W45" si="60">H46+H47+H48+H49</f>
        <v>3.9550000000000001</v>
      </c>
      <c r="I45" s="198">
        <f t="shared" si="60"/>
        <v>3.9550000000000001</v>
      </c>
      <c r="J45" s="197">
        <f t="shared" si="28"/>
        <v>11.865</v>
      </c>
      <c r="K45" s="198">
        <f t="shared" si="60"/>
        <v>3.9550000000000001</v>
      </c>
      <c r="L45" s="198">
        <f t="shared" si="60"/>
        <v>3.9550000000000001</v>
      </c>
      <c r="M45" s="198">
        <f t="shared" si="60"/>
        <v>3.9550000000000001</v>
      </c>
      <c r="N45" s="197">
        <f t="shared" si="29"/>
        <v>11.865</v>
      </c>
      <c r="O45" s="197">
        <f t="shared" si="32"/>
        <v>23.73</v>
      </c>
      <c r="P45" s="198">
        <f t="shared" si="60"/>
        <v>3.9550000000000001</v>
      </c>
      <c r="Q45" s="198">
        <f t="shared" si="60"/>
        <v>3.9550000000000001</v>
      </c>
      <c r="R45" s="198">
        <f t="shared" si="60"/>
        <v>3.9550000000000001</v>
      </c>
      <c r="S45" s="197">
        <f t="shared" si="30"/>
        <v>11.865</v>
      </c>
      <c r="T45" s="197">
        <f t="shared" si="33"/>
        <v>35.594999999999999</v>
      </c>
      <c r="U45" s="198">
        <f t="shared" si="60"/>
        <v>3.9550000000000001</v>
      </c>
      <c r="V45" s="198">
        <f t="shared" si="60"/>
        <v>3.9550000000000001</v>
      </c>
      <c r="W45" s="198">
        <f t="shared" si="60"/>
        <v>3.9550000000000001</v>
      </c>
      <c r="X45" s="197">
        <f t="shared" si="31"/>
        <v>11.865</v>
      </c>
    </row>
    <row r="46" spans="1:24" ht="15.75" thickBot="1" x14ac:dyDescent="0.3">
      <c r="B46" s="23" t="s">
        <v>47</v>
      </c>
      <c r="C46" s="213"/>
      <c r="D46" s="213">
        <f t="shared" si="54"/>
        <v>0</v>
      </c>
      <c r="E46" s="213">
        <v>0</v>
      </c>
      <c r="F46" s="197">
        <f t="shared" si="27"/>
        <v>0</v>
      </c>
      <c r="G46" s="198"/>
      <c r="H46" s="198"/>
      <c r="I46" s="198"/>
      <c r="J46" s="197">
        <f t="shared" si="28"/>
        <v>0</v>
      </c>
      <c r="K46" s="198">
        <v>0</v>
      </c>
      <c r="L46" s="198">
        <v>0</v>
      </c>
      <c r="M46" s="198">
        <v>0</v>
      </c>
      <c r="N46" s="197">
        <f t="shared" si="29"/>
        <v>0</v>
      </c>
      <c r="O46" s="197">
        <f t="shared" si="32"/>
        <v>0</v>
      </c>
      <c r="P46" s="198"/>
      <c r="Q46" s="198"/>
      <c r="R46" s="198"/>
      <c r="S46" s="197">
        <f t="shared" si="30"/>
        <v>0</v>
      </c>
      <c r="T46" s="197">
        <f t="shared" si="33"/>
        <v>0</v>
      </c>
      <c r="U46" s="198"/>
      <c r="V46" s="198"/>
      <c r="W46" s="198"/>
      <c r="X46" s="197">
        <f t="shared" si="31"/>
        <v>0</v>
      </c>
    </row>
    <row r="47" spans="1:24" ht="15.75" thickBot="1" x14ac:dyDescent="0.3">
      <c r="B47" s="23" t="s">
        <v>48</v>
      </c>
      <c r="C47" s="213">
        <v>17.018000000000001</v>
      </c>
      <c r="D47" s="213">
        <f t="shared" si="54"/>
        <v>-8.0180000000000007</v>
      </c>
      <c r="E47" s="213">
        <v>9</v>
      </c>
      <c r="F47" s="197">
        <f t="shared" si="27"/>
        <v>9</v>
      </c>
      <c r="G47" s="198">
        <v>0.75</v>
      </c>
      <c r="H47" s="198">
        <v>0.75</v>
      </c>
      <c r="I47" s="198">
        <v>0.75</v>
      </c>
      <c r="J47" s="197">
        <f t="shared" si="28"/>
        <v>2.25</v>
      </c>
      <c r="K47" s="198">
        <v>0.75</v>
      </c>
      <c r="L47" s="198">
        <v>0.75</v>
      </c>
      <c r="M47" s="198">
        <v>0.75</v>
      </c>
      <c r="N47" s="197">
        <f t="shared" si="29"/>
        <v>2.25</v>
      </c>
      <c r="O47" s="197">
        <f t="shared" si="32"/>
        <v>4.5</v>
      </c>
      <c r="P47" s="198">
        <v>0.75</v>
      </c>
      <c r="Q47" s="198">
        <v>0.75</v>
      </c>
      <c r="R47" s="198">
        <v>0.75</v>
      </c>
      <c r="S47" s="197">
        <f t="shared" si="30"/>
        <v>2.25</v>
      </c>
      <c r="T47" s="197">
        <f t="shared" si="33"/>
        <v>6.75</v>
      </c>
      <c r="U47" s="198">
        <v>0.75</v>
      </c>
      <c r="V47" s="198">
        <v>0.75</v>
      </c>
      <c r="W47" s="198">
        <v>0.75</v>
      </c>
      <c r="X47" s="197">
        <f t="shared" si="31"/>
        <v>2.25</v>
      </c>
    </row>
    <row r="48" spans="1:24" ht="15.75" thickBot="1" x14ac:dyDescent="0.3">
      <c r="A48">
        <f>54.53-9</f>
        <v>45.53</v>
      </c>
      <c r="B48" s="23" t="s">
        <v>49</v>
      </c>
      <c r="C48" s="213">
        <v>3.9020000000000001</v>
      </c>
      <c r="D48" s="213">
        <f t="shared" si="54"/>
        <v>-3.9020000000000001</v>
      </c>
      <c r="E48" s="213">
        <v>0</v>
      </c>
      <c r="F48" s="197">
        <f t="shared" si="27"/>
        <v>29.46</v>
      </c>
      <c r="G48" s="198">
        <v>2.4550000000000001</v>
      </c>
      <c r="H48" s="198">
        <v>2.4550000000000001</v>
      </c>
      <c r="I48" s="198">
        <v>2.4550000000000001</v>
      </c>
      <c r="J48" s="197">
        <f t="shared" si="28"/>
        <v>7.3650000000000002</v>
      </c>
      <c r="K48" s="198">
        <v>2.4550000000000001</v>
      </c>
      <c r="L48" s="198">
        <v>2.4550000000000001</v>
      </c>
      <c r="M48" s="198">
        <v>2.4550000000000001</v>
      </c>
      <c r="N48" s="197">
        <f t="shared" si="29"/>
        <v>7.3650000000000002</v>
      </c>
      <c r="O48" s="197">
        <f t="shared" si="32"/>
        <v>14.73</v>
      </c>
      <c r="P48" s="198">
        <v>2.4550000000000001</v>
      </c>
      <c r="Q48" s="198">
        <v>2.4550000000000001</v>
      </c>
      <c r="R48" s="198">
        <v>2.4550000000000001</v>
      </c>
      <c r="S48" s="197">
        <f t="shared" si="30"/>
        <v>7.3650000000000002</v>
      </c>
      <c r="T48" s="197">
        <f t="shared" si="33"/>
        <v>22.094999999999999</v>
      </c>
      <c r="U48" s="198">
        <v>2.4550000000000001</v>
      </c>
      <c r="V48" s="198">
        <v>2.4550000000000001</v>
      </c>
      <c r="W48" s="198">
        <v>2.4550000000000001</v>
      </c>
      <c r="X48" s="197">
        <f t="shared" si="31"/>
        <v>7.3650000000000002</v>
      </c>
    </row>
    <row r="49" spans="1:24" ht="15.75" thickBot="1" x14ac:dyDescent="0.3">
      <c r="A49">
        <f>45.43/12/4</f>
        <v>0.94645833333333329</v>
      </c>
      <c r="B49" s="23" t="s">
        <v>50</v>
      </c>
      <c r="C49" s="213">
        <v>1.5589999999999999</v>
      </c>
      <c r="D49" s="213">
        <f t="shared" si="54"/>
        <v>3.9409999999999998</v>
      </c>
      <c r="E49" s="213">
        <v>5.5</v>
      </c>
      <c r="F49" s="197">
        <f t="shared" si="27"/>
        <v>9</v>
      </c>
      <c r="G49" s="198">
        <v>0.75</v>
      </c>
      <c r="H49" s="198">
        <v>0.75</v>
      </c>
      <c r="I49" s="198">
        <v>0.75</v>
      </c>
      <c r="J49" s="197">
        <f t="shared" si="28"/>
        <v>2.25</v>
      </c>
      <c r="K49" s="198">
        <v>0.75</v>
      </c>
      <c r="L49" s="198">
        <v>0.75</v>
      </c>
      <c r="M49" s="198">
        <v>0.75</v>
      </c>
      <c r="N49" s="197">
        <f t="shared" si="29"/>
        <v>2.25</v>
      </c>
      <c r="O49" s="197">
        <f t="shared" si="32"/>
        <v>4.5</v>
      </c>
      <c r="P49" s="198">
        <v>0.75</v>
      </c>
      <c r="Q49" s="198">
        <v>0.75</v>
      </c>
      <c r="R49" s="198">
        <v>0.75</v>
      </c>
      <c r="S49" s="197">
        <f t="shared" si="30"/>
        <v>2.25</v>
      </c>
      <c r="T49" s="197">
        <f t="shared" si="33"/>
        <v>6.75</v>
      </c>
      <c r="U49" s="198">
        <v>0.75</v>
      </c>
      <c r="V49" s="198">
        <v>0.75</v>
      </c>
      <c r="W49" s="198">
        <v>0.75</v>
      </c>
      <c r="X49" s="197">
        <f t="shared" si="31"/>
        <v>2.25</v>
      </c>
    </row>
    <row r="50" spans="1:24" ht="16.5" thickBot="1" x14ac:dyDescent="0.3">
      <c r="B50" s="22" t="s">
        <v>51</v>
      </c>
      <c r="C50" s="216">
        <v>0</v>
      </c>
      <c r="D50" s="216">
        <f t="shared" si="54"/>
        <v>0</v>
      </c>
      <c r="E50" s="213">
        <v>0</v>
      </c>
      <c r="F50" s="197">
        <f t="shared" si="27"/>
        <v>0</v>
      </c>
      <c r="G50" s="198"/>
      <c r="H50" s="198"/>
      <c r="I50" s="198"/>
      <c r="J50" s="197">
        <f t="shared" si="28"/>
        <v>0</v>
      </c>
      <c r="K50" s="198"/>
      <c r="L50" s="198"/>
      <c r="M50" s="198"/>
      <c r="N50" s="197">
        <f t="shared" si="29"/>
        <v>0</v>
      </c>
      <c r="O50" s="197">
        <f t="shared" si="32"/>
        <v>0</v>
      </c>
      <c r="P50" s="198"/>
      <c r="Q50" s="198"/>
      <c r="R50" s="198"/>
      <c r="S50" s="197">
        <f t="shared" si="30"/>
        <v>0</v>
      </c>
      <c r="T50" s="197">
        <f t="shared" si="33"/>
        <v>0</v>
      </c>
      <c r="U50" s="198"/>
      <c r="V50" s="198"/>
      <c r="W50" s="198"/>
      <c r="X50" s="197">
        <f t="shared" si="31"/>
        <v>0</v>
      </c>
    </row>
    <row r="51" spans="1:24" ht="32.25" thickBot="1" x14ac:dyDescent="0.3">
      <c r="B51" s="22" t="s">
        <v>88</v>
      </c>
      <c r="C51" s="216">
        <v>49.132000000000005</v>
      </c>
      <c r="D51" s="216">
        <f t="shared" si="54"/>
        <v>-14.132000000000005</v>
      </c>
      <c r="E51" s="213">
        <v>35</v>
      </c>
      <c r="F51" s="197">
        <f t="shared" si="27"/>
        <v>21.96</v>
      </c>
      <c r="G51" s="198">
        <v>1.83</v>
      </c>
      <c r="H51" s="198">
        <v>1.83</v>
      </c>
      <c r="I51" s="198">
        <v>1.83</v>
      </c>
      <c r="J51" s="197">
        <f t="shared" si="28"/>
        <v>5.49</v>
      </c>
      <c r="K51" s="198">
        <v>1.83</v>
      </c>
      <c r="L51" s="198">
        <v>1.83</v>
      </c>
      <c r="M51" s="198">
        <v>1.83</v>
      </c>
      <c r="N51" s="197">
        <f t="shared" si="29"/>
        <v>5.49</v>
      </c>
      <c r="O51" s="197">
        <f t="shared" si="32"/>
        <v>10.98</v>
      </c>
      <c r="P51" s="198">
        <v>1.83</v>
      </c>
      <c r="Q51" s="198">
        <v>1.83</v>
      </c>
      <c r="R51" s="198">
        <v>1.83</v>
      </c>
      <c r="S51" s="197">
        <f t="shared" si="30"/>
        <v>5.49</v>
      </c>
      <c r="T51" s="197">
        <f t="shared" si="33"/>
        <v>16.47</v>
      </c>
      <c r="U51" s="198">
        <v>1.83</v>
      </c>
      <c r="V51" s="198">
        <v>1.83</v>
      </c>
      <c r="W51" s="198">
        <v>1.83</v>
      </c>
      <c r="X51" s="197">
        <f t="shared" si="31"/>
        <v>5.49</v>
      </c>
    </row>
    <row r="52" spans="1:24" ht="16.5" thickBot="1" x14ac:dyDescent="0.3">
      <c r="B52" s="22" t="s">
        <v>81</v>
      </c>
      <c r="C52" s="216">
        <v>198.828</v>
      </c>
      <c r="D52" s="216">
        <f t="shared" si="54"/>
        <v>1104.732</v>
      </c>
      <c r="E52" s="213">
        <v>1303.56</v>
      </c>
      <c r="F52" s="197">
        <f t="shared" si="27"/>
        <v>0</v>
      </c>
      <c r="G52" s="198"/>
      <c r="H52" s="198"/>
      <c r="I52" s="198"/>
      <c r="J52" s="197">
        <f t="shared" si="28"/>
        <v>0</v>
      </c>
      <c r="K52" s="198"/>
      <c r="L52" s="198"/>
      <c r="M52" s="198"/>
      <c r="N52" s="197">
        <f t="shared" si="29"/>
        <v>0</v>
      </c>
      <c r="O52" s="197">
        <f t="shared" si="32"/>
        <v>0</v>
      </c>
      <c r="P52" s="198"/>
      <c r="Q52" s="198"/>
      <c r="R52" s="198"/>
      <c r="S52" s="197">
        <f t="shared" si="30"/>
        <v>0</v>
      </c>
      <c r="T52" s="197">
        <f t="shared" si="33"/>
        <v>0</v>
      </c>
      <c r="U52" s="198"/>
      <c r="V52" s="198"/>
      <c r="W52" s="198"/>
      <c r="X52" s="197">
        <f t="shared" si="31"/>
        <v>0</v>
      </c>
    </row>
    <row r="53" spans="1:24" ht="16.5" thickBot="1" x14ac:dyDescent="0.3">
      <c r="B53" s="22" t="s">
        <v>52</v>
      </c>
      <c r="C53" s="213">
        <f>C54+C55+C56+C57</f>
        <v>461.45</v>
      </c>
      <c r="D53" s="213">
        <f t="shared" si="54"/>
        <v>-449.45</v>
      </c>
      <c r="E53" s="213">
        <v>12</v>
      </c>
      <c r="F53" s="197">
        <f t="shared" si="27"/>
        <v>68.814999999999998</v>
      </c>
      <c r="G53" s="198">
        <f t="shared" ref="G53:W53" si="61">G54+G55+G56</f>
        <v>10.324</v>
      </c>
      <c r="H53" s="198">
        <f t="shared" si="61"/>
        <v>10.324</v>
      </c>
      <c r="I53" s="198">
        <f t="shared" si="61"/>
        <v>10.324</v>
      </c>
      <c r="J53" s="197">
        <f t="shared" si="28"/>
        <v>30.972000000000001</v>
      </c>
      <c r="K53" s="198">
        <f>K54+K55+K56</f>
        <v>10.324</v>
      </c>
      <c r="L53" s="198">
        <f>L54+L55+L56</f>
        <v>0.188</v>
      </c>
      <c r="M53" s="198">
        <f t="shared" si="61"/>
        <v>0.188</v>
      </c>
      <c r="N53" s="197">
        <f t="shared" si="29"/>
        <v>10.700000000000001</v>
      </c>
      <c r="O53" s="197">
        <f t="shared" si="32"/>
        <v>41.672000000000004</v>
      </c>
      <c r="P53" s="198">
        <f t="shared" si="61"/>
        <v>0.188</v>
      </c>
      <c r="Q53" s="198">
        <f t="shared" si="61"/>
        <v>0.188</v>
      </c>
      <c r="R53" s="198">
        <f t="shared" si="61"/>
        <v>0.188</v>
      </c>
      <c r="S53" s="197">
        <f t="shared" si="30"/>
        <v>0.56400000000000006</v>
      </c>
      <c r="T53" s="197">
        <f t="shared" si="33"/>
        <v>42.236000000000004</v>
      </c>
      <c r="U53" s="198">
        <f t="shared" si="61"/>
        <v>5.931</v>
      </c>
      <c r="V53" s="198">
        <f t="shared" si="61"/>
        <v>10.324</v>
      </c>
      <c r="W53" s="198">
        <f t="shared" si="61"/>
        <v>10.324</v>
      </c>
      <c r="X53" s="197">
        <f t="shared" si="31"/>
        <v>26.579000000000001</v>
      </c>
    </row>
    <row r="54" spans="1:24" ht="15.75" thickBot="1" x14ac:dyDescent="0.3">
      <c r="B54" s="24" t="s">
        <v>53</v>
      </c>
      <c r="C54" s="213"/>
      <c r="D54" s="213">
        <f t="shared" si="54"/>
        <v>0</v>
      </c>
      <c r="E54" s="213">
        <v>0</v>
      </c>
      <c r="F54" s="197">
        <f t="shared" si="27"/>
        <v>0</v>
      </c>
      <c r="G54" s="198"/>
      <c r="H54" s="198"/>
      <c r="I54" s="198"/>
      <c r="J54" s="197">
        <f t="shared" si="28"/>
        <v>0</v>
      </c>
      <c r="K54" s="198"/>
      <c r="L54" s="198"/>
      <c r="M54" s="198"/>
      <c r="N54" s="197">
        <f t="shared" si="29"/>
        <v>0</v>
      </c>
      <c r="O54" s="197">
        <f t="shared" si="32"/>
        <v>0</v>
      </c>
      <c r="P54" s="198"/>
      <c r="Q54" s="198"/>
      <c r="R54" s="198"/>
      <c r="S54" s="197">
        <f t="shared" si="30"/>
        <v>0</v>
      </c>
      <c r="T54" s="197">
        <f t="shared" si="33"/>
        <v>0</v>
      </c>
      <c r="U54" s="198"/>
      <c r="V54" s="198"/>
      <c r="W54" s="198"/>
      <c r="X54" s="197">
        <f t="shared" si="31"/>
        <v>0</v>
      </c>
    </row>
    <row r="55" spans="1:24" ht="15.75" thickBot="1" x14ac:dyDescent="0.3">
      <c r="B55" s="25" t="s">
        <v>86</v>
      </c>
      <c r="C55" s="213">
        <v>133.96799999999999</v>
      </c>
      <c r="D55" s="213">
        <f t="shared" si="54"/>
        <v>-133.96799999999999</v>
      </c>
      <c r="E55" s="213">
        <v>0</v>
      </c>
      <c r="F55" s="197">
        <f t="shared" si="27"/>
        <v>66.558999999999997</v>
      </c>
      <c r="G55" s="198">
        <v>10.135999999999999</v>
      </c>
      <c r="H55" s="198">
        <v>10.135999999999999</v>
      </c>
      <c r="I55" s="198">
        <v>10.135999999999999</v>
      </c>
      <c r="J55" s="197">
        <f t="shared" si="28"/>
        <v>30.407999999999998</v>
      </c>
      <c r="K55" s="198">
        <v>10.135999999999999</v>
      </c>
      <c r="L55" s="198"/>
      <c r="M55" s="198"/>
      <c r="N55" s="197">
        <f t="shared" si="29"/>
        <v>10.135999999999999</v>
      </c>
      <c r="O55" s="197">
        <f t="shared" si="32"/>
        <v>40.543999999999997</v>
      </c>
      <c r="P55" s="198"/>
      <c r="Q55" s="198"/>
      <c r="R55" s="198"/>
      <c r="S55" s="197">
        <f t="shared" si="30"/>
        <v>0</v>
      </c>
      <c r="T55" s="197">
        <f t="shared" si="33"/>
        <v>40.543999999999997</v>
      </c>
      <c r="U55" s="198">
        <v>5.7430000000000003</v>
      </c>
      <c r="V55" s="198">
        <v>10.135999999999999</v>
      </c>
      <c r="W55" s="198">
        <v>10.135999999999999</v>
      </c>
      <c r="X55" s="197">
        <f t="shared" si="31"/>
        <v>26.015000000000001</v>
      </c>
    </row>
    <row r="56" spans="1:24" ht="15.75" thickBot="1" x14ac:dyDescent="0.3">
      <c r="B56" s="26" t="s">
        <v>89</v>
      </c>
      <c r="C56" s="213">
        <v>12.11</v>
      </c>
      <c r="D56" s="213">
        <f t="shared" si="54"/>
        <v>-0.10999999999999943</v>
      </c>
      <c r="E56" s="213">
        <v>12</v>
      </c>
      <c r="F56" s="197">
        <f t="shared" si="27"/>
        <v>2.2560000000000002</v>
      </c>
      <c r="G56" s="198">
        <v>0.188</v>
      </c>
      <c r="H56" s="198">
        <v>0.188</v>
      </c>
      <c r="I56" s="198">
        <v>0.188</v>
      </c>
      <c r="J56" s="197">
        <f t="shared" si="28"/>
        <v>0.56400000000000006</v>
      </c>
      <c r="K56" s="198">
        <v>0.188</v>
      </c>
      <c r="L56" s="198">
        <v>0.188</v>
      </c>
      <c r="M56" s="198">
        <v>0.188</v>
      </c>
      <c r="N56" s="197">
        <f t="shared" si="29"/>
        <v>0.56400000000000006</v>
      </c>
      <c r="O56" s="197">
        <f t="shared" si="32"/>
        <v>1.1280000000000001</v>
      </c>
      <c r="P56" s="198">
        <v>0.188</v>
      </c>
      <c r="Q56" s="198">
        <v>0.188</v>
      </c>
      <c r="R56" s="198">
        <v>0.188</v>
      </c>
      <c r="S56" s="197">
        <f t="shared" si="30"/>
        <v>0.56400000000000006</v>
      </c>
      <c r="T56" s="197">
        <f t="shared" si="33"/>
        <v>1.6920000000000002</v>
      </c>
      <c r="U56" s="198">
        <v>0.188</v>
      </c>
      <c r="V56" s="198">
        <v>0.188</v>
      </c>
      <c r="W56" s="198">
        <v>0.188</v>
      </c>
      <c r="X56" s="197">
        <f t="shared" si="31"/>
        <v>0.56400000000000006</v>
      </c>
    </row>
    <row r="57" spans="1:24" x14ac:dyDescent="0.25">
      <c r="B57" s="17" t="s">
        <v>87</v>
      </c>
      <c r="C57" s="214">
        <v>315.37200000000001</v>
      </c>
      <c r="D57" s="214">
        <f t="shared" si="54"/>
        <v>-220.37200000000001</v>
      </c>
      <c r="E57" s="213">
        <v>95</v>
      </c>
      <c r="F57" s="197">
        <f t="shared" si="27"/>
        <v>52.024999999999999</v>
      </c>
      <c r="G57" s="200">
        <v>7.85</v>
      </c>
      <c r="H57" s="200">
        <v>7.85</v>
      </c>
      <c r="I57" s="200">
        <v>7.85</v>
      </c>
      <c r="J57" s="197">
        <f t="shared" si="28"/>
        <v>23.549999999999997</v>
      </c>
      <c r="K57" s="200">
        <v>7.85</v>
      </c>
      <c r="L57" s="200">
        <v>0</v>
      </c>
      <c r="M57" s="200">
        <v>0</v>
      </c>
      <c r="N57" s="197">
        <f t="shared" si="29"/>
        <v>7.85</v>
      </c>
      <c r="O57" s="197">
        <f t="shared" si="32"/>
        <v>31.4</v>
      </c>
      <c r="P57" s="200">
        <v>0</v>
      </c>
      <c r="Q57" s="200">
        <v>0</v>
      </c>
      <c r="R57" s="200">
        <v>0</v>
      </c>
      <c r="S57" s="197">
        <f t="shared" si="30"/>
        <v>0</v>
      </c>
      <c r="T57" s="197">
        <f t="shared" si="33"/>
        <v>31.4</v>
      </c>
      <c r="U57" s="200">
        <f>9-4.075</f>
        <v>4.9249999999999998</v>
      </c>
      <c r="V57" s="200">
        <v>7.85</v>
      </c>
      <c r="W57" s="200">
        <v>7.85</v>
      </c>
      <c r="X57" s="197">
        <f t="shared" si="31"/>
        <v>20.625</v>
      </c>
    </row>
    <row r="58" spans="1:24" x14ac:dyDescent="0.25">
      <c r="B58" s="38" t="s">
        <v>104</v>
      </c>
      <c r="C58" s="214">
        <v>0</v>
      </c>
      <c r="D58" s="214">
        <f t="shared" si="54"/>
        <v>0</v>
      </c>
      <c r="E58" s="213">
        <v>0</v>
      </c>
      <c r="F58" s="197">
        <f t="shared" si="27"/>
        <v>0</v>
      </c>
      <c r="G58" s="200">
        <v>0</v>
      </c>
      <c r="H58" s="200">
        <v>0</v>
      </c>
      <c r="I58" s="200">
        <v>0</v>
      </c>
      <c r="J58" s="197">
        <f t="shared" si="28"/>
        <v>0</v>
      </c>
      <c r="K58" s="200">
        <v>0</v>
      </c>
      <c r="L58" s="200">
        <v>0</v>
      </c>
      <c r="M58" s="200">
        <v>0</v>
      </c>
      <c r="N58" s="197">
        <f t="shared" si="29"/>
        <v>0</v>
      </c>
      <c r="O58" s="197">
        <f t="shared" si="32"/>
        <v>0</v>
      </c>
      <c r="P58" s="200">
        <v>0</v>
      </c>
      <c r="Q58" s="200">
        <v>0</v>
      </c>
      <c r="R58" s="200">
        <v>0</v>
      </c>
      <c r="S58" s="197">
        <f t="shared" si="30"/>
        <v>0</v>
      </c>
      <c r="T58" s="197">
        <f t="shared" si="33"/>
        <v>0</v>
      </c>
      <c r="U58" s="200">
        <v>0</v>
      </c>
      <c r="V58" s="200">
        <v>0</v>
      </c>
      <c r="W58" s="200">
        <v>0</v>
      </c>
      <c r="X58" s="197">
        <f t="shared" si="31"/>
        <v>0</v>
      </c>
    </row>
    <row r="59" spans="1:24" x14ac:dyDescent="0.25">
      <c r="B59" s="38" t="s">
        <v>105</v>
      </c>
      <c r="C59" s="214">
        <v>0</v>
      </c>
      <c r="D59" s="214">
        <f t="shared" ref="D59:D61" si="62">E59-C59</f>
        <v>0</v>
      </c>
      <c r="E59" s="213">
        <v>0</v>
      </c>
      <c r="F59" s="197">
        <f t="shared" si="27"/>
        <v>0</v>
      </c>
      <c r="G59" s="200">
        <v>0</v>
      </c>
      <c r="H59" s="200">
        <v>0</v>
      </c>
      <c r="I59" s="200">
        <v>0</v>
      </c>
      <c r="J59" s="197">
        <f t="shared" si="28"/>
        <v>0</v>
      </c>
      <c r="K59" s="200">
        <v>0</v>
      </c>
      <c r="L59" s="200">
        <v>0</v>
      </c>
      <c r="M59" s="200">
        <v>0</v>
      </c>
      <c r="N59" s="197">
        <f t="shared" si="29"/>
        <v>0</v>
      </c>
      <c r="O59" s="197">
        <f t="shared" si="32"/>
        <v>0</v>
      </c>
      <c r="P59" s="200">
        <v>0</v>
      </c>
      <c r="Q59" s="200">
        <v>0</v>
      </c>
      <c r="R59" s="200">
        <v>0</v>
      </c>
      <c r="S59" s="197">
        <f t="shared" si="30"/>
        <v>0</v>
      </c>
      <c r="T59" s="197">
        <f t="shared" si="33"/>
        <v>0</v>
      </c>
      <c r="U59" s="200">
        <v>0</v>
      </c>
      <c r="V59" s="200">
        <v>0</v>
      </c>
      <c r="W59" s="200">
        <v>0</v>
      </c>
      <c r="X59" s="197">
        <f t="shared" si="31"/>
        <v>0</v>
      </c>
    </row>
    <row r="60" spans="1:24" x14ac:dyDescent="0.25">
      <c r="B60" s="5" t="s">
        <v>300</v>
      </c>
      <c r="C60" s="214">
        <f>8+139.5+2.46</f>
        <v>149.96</v>
      </c>
      <c r="D60" s="214">
        <f t="shared" si="62"/>
        <v>-149.96</v>
      </c>
      <c r="E60" s="213">
        <v>0</v>
      </c>
      <c r="F60" s="197">
        <f t="shared" si="27"/>
        <v>0</v>
      </c>
      <c r="G60" s="200">
        <v>0</v>
      </c>
      <c r="H60" s="200">
        <v>0</v>
      </c>
      <c r="I60" s="200">
        <v>0</v>
      </c>
      <c r="J60" s="197">
        <f t="shared" si="28"/>
        <v>0</v>
      </c>
      <c r="K60" s="200">
        <v>0</v>
      </c>
      <c r="L60" s="200">
        <v>0</v>
      </c>
      <c r="M60" s="200">
        <v>0</v>
      </c>
      <c r="N60" s="197">
        <f t="shared" si="29"/>
        <v>0</v>
      </c>
      <c r="O60" s="197">
        <f t="shared" si="32"/>
        <v>0</v>
      </c>
      <c r="P60" s="200">
        <v>0</v>
      </c>
      <c r="Q60" s="200">
        <v>0</v>
      </c>
      <c r="R60" s="200">
        <v>0</v>
      </c>
      <c r="S60" s="197">
        <f t="shared" si="30"/>
        <v>0</v>
      </c>
      <c r="T60" s="197">
        <f t="shared" si="33"/>
        <v>0</v>
      </c>
      <c r="U60" s="200">
        <v>0</v>
      </c>
      <c r="V60" s="200">
        <v>0</v>
      </c>
      <c r="W60" s="200">
        <v>0</v>
      </c>
      <c r="X60" s="197">
        <f t="shared" si="31"/>
        <v>0</v>
      </c>
    </row>
    <row r="61" spans="1:24" x14ac:dyDescent="0.25">
      <c r="B61" s="5"/>
      <c r="C61" s="214">
        <v>0</v>
      </c>
      <c r="D61" s="214">
        <f t="shared" si="62"/>
        <v>0</v>
      </c>
      <c r="E61" s="213">
        <v>0</v>
      </c>
      <c r="F61" s="197">
        <f t="shared" si="27"/>
        <v>0</v>
      </c>
      <c r="G61" s="200">
        <v>0</v>
      </c>
      <c r="H61" s="200">
        <v>0</v>
      </c>
      <c r="I61" s="200">
        <v>0</v>
      </c>
      <c r="J61" s="197">
        <f t="shared" si="28"/>
        <v>0</v>
      </c>
      <c r="K61" s="200">
        <v>0</v>
      </c>
      <c r="L61" s="200">
        <v>0</v>
      </c>
      <c r="M61" s="200">
        <v>0</v>
      </c>
      <c r="N61" s="197">
        <f t="shared" si="29"/>
        <v>0</v>
      </c>
      <c r="O61" s="197">
        <f t="shared" si="32"/>
        <v>0</v>
      </c>
      <c r="P61" s="200">
        <v>0</v>
      </c>
      <c r="Q61" s="200">
        <v>0</v>
      </c>
      <c r="R61" s="200">
        <v>0</v>
      </c>
      <c r="S61" s="197">
        <f t="shared" si="30"/>
        <v>0</v>
      </c>
      <c r="T61" s="197">
        <f t="shared" si="33"/>
        <v>0</v>
      </c>
      <c r="U61" s="200">
        <v>0</v>
      </c>
      <c r="V61" s="200">
        <v>0</v>
      </c>
      <c r="W61" s="200">
        <v>0</v>
      </c>
      <c r="X61" s="197">
        <f t="shared" si="31"/>
        <v>0</v>
      </c>
    </row>
    <row r="62" spans="1:24" ht="31.5" x14ac:dyDescent="0.25">
      <c r="A62" s="59">
        <f>J62+N62+S62+X62</f>
        <v>575.61799999999994</v>
      </c>
      <c r="B62" s="16" t="s">
        <v>54</v>
      </c>
      <c r="C62" s="213">
        <f>C63+C64+C65+C66+C67+C68+C69+C70+C75+C76+C77+C83</f>
        <v>1703.644</v>
      </c>
      <c r="D62" s="213">
        <f>D63+D64+D65+D66+D67+D68+D69+D70+D75+D76+D77+D83</f>
        <v>-376.25899999999996</v>
      </c>
      <c r="E62" s="213">
        <v>1327.385</v>
      </c>
      <c r="F62" s="197">
        <f t="shared" si="27"/>
        <v>575.61799999999994</v>
      </c>
      <c r="G62" s="197">
        <f>G63+G64+G65+G66+G67+G68+G69+G70+G75+G76+G77+G83</f>
        <v>51.719999999999992</v>
      </c>
      <c r="H62" s="197">
        <f t="shared" ref="H62:I62" si="63">H63+H64+H65+H66+H67+H68+H69+H70+H75+H76+H77+H83</f>
        <v>51.719999999999992</v>
      </c>
      <c r="I62" s="197">
        <f t="shared" si="63"/>
        <v>51.719999999999992</v>
      </c>
      <c r="J62" s="197">
        <f t="shared" si="28"/>
        <v>155.15999999999997</v>
      </c>
      <c r="K62" s="197">
        <f t="shared" ref="K62:M62" si="64">K63+K64+K65+K66+K67+K68+K69+K70+K75+K76+K77+K83</f>
        <v>51.719999999999992</v>
      </c>
      <c r="L62" s="197">
        <f t="shared" si="64"/>
        <v>43.642999999999994</v>
      </c>
      <c r="M62" s="197">
        <f t="shared" si="64"/>
        <v>43.642999999999994</v>
      </c>
      <c r="N62" s="197">
        <f t="shared" si="29"/>
        <v>139.00599999999997</v>
      </c>
      <c r="O62" s="197">
        <f>N62+J62</f>
        <v>294.16599999999994</v>
      </c>
      <c r="P62" s="197">
        <f t="shared" ref="P62:R62" si="65">P63+P64+P65+P66+P67+P68+P69+P70+P75+P76+P77+P83</f>
        <v>43.642999999999994</v>
      </c>
      <c r="Q62" s="197">
        <f t="shared" si="65"/>
        <v>43.642999999999994</v>
      </c>
      <c r="R62" s="197">
        <f t="shared" si="65"/>
        <v>43.642999999999994</v>
      </c>
      <c r="S62" s="197">
        <f t="shared" si="30"/>
        <v>130.92899999999997</v>
      </c>
      <c r="T62" s="197">
        <f>S62+O62</f>
        <v>425.09499999999991</v>
      </c>
      <c r="U62" s="197">
        <f t="shared" ref="U62:W62" si="66">U63+U64+U65+U66+U67+U68+U69+U70+U75+U76+U77+U83</f>
        <v>47.082999999999991</v>
      </c>
      <c r="V62" s="197">
        <f t="shared" si="66"/>
        <v>51.719999999999992</v>
      </c>
      <c r="W62" s="197">
        <f t="shared" si="66"/>
        <v>51.719999999999992</v>
      </c>
      <c r="X62" s="197">
        <f t="shared" si="31"/>
        <v>150.52299999999997</v>
      </c>
    </row>
    <row r="63" spans="1:24" x14ac:dyDescent="0.25">
      <c r="B63" s="27" t="s">
        <v>55</v>
      </c>
      <c r="C63" s="213"/>
      <c r="D63" s="213">
        <f t="shared" ref="D63:D69" si="67">E63-C63</f>
        <v>0</v>
      </c>
      <c r="E63" s="213">
        <v>0</v>
      </c>
      <c r="F63" s="197">
        <f t="shared" si="27"/>
        <v>0</v>
      </c>
      <c r="G63" s="198"/>
      <c r="H63" s="198"/>
      <c r="I63" s="198"/>
      <c r="J63" s="197">
        <f t="shared" si="28"/>
        <v>0</v>
      </c>
      <c r="K63" s="198"/>
      <c r="L63" s="198"/>
      <c r="M63" s="198"/>
      <c r="N63" s="197">
        <f t="shared" si="29"/>
        <v>0</v>
      </c>
      <c r="O63" s="197">
        <f t="shared" si="32"/>
        <v>0</v>
      </c>
      <c r="P63" s="198"/>
      <c r="Q63" s="198"/>
      <c r="R63" s="198"/>
      <c r="S63" s="197">
        <f t="shared" si="30"/>
        <v>0</v>
      </c>
      <c r="T63" s="197">
        <f t="shared" si="33"/>
        <v>0</v>
      </c>
      <c r="U63" s="198"/>
      <c r="V63" s="198"/>
      <c r="W63" s="198"/>
      <c r="X63" s="197">
        <f t="shared" si="31"/>
        <v>0</v>
      </c>
    </row>
    <row r="64" spans="1:24" ht="30" x14ac:dyDescent="0.25">
      <c r="B64" s="27" t="s">
        <v>56</v>
      </c>
      <c r="C64" s="213">
        <v>19.84</v>
      </c>
      <c r="D64" s="213">
        <f t="shared" si="67"/>
        <v>-19.84</v>
      </c>
      <c r="E64" s="213">
        <v>0</v>
      </c>
      <c r="F64" s="197">
        <f t="shared" si="27"/>
        <v>4.3919999999999995</v>
      </c>
      <c r="G64" s="198">
        <v>0.36599999999999999</v>
      </c>
      <c r="H64" s="198">
        <v>0.36599999999999999</v>
      </c>
      <c r="I64" s="198">
        <v>0.36599999999999999</v>
      </c>
      <c r="J64" s="197">
        <f t="shared" si="28"/>
        <v>1.0979999999999999</v>
      </c>
      <c r="K64" s="198">
        <v>0.36599999999999999</v>
      </c>
      <c r="L64" s="198">
        <v>0.36599999999999999</v>
      </c>
      <c r="M64" s="198">
        <v>0.36599999999999999</v>
      </c>
      <c r="N64" s="197">
        <f t="shared" si="29"/>
        <v>1.0979999999999999</v>
      </c>
      <c r="O64" s="197">
        <f t="shared" si="32"/>
        <v>2.1959999999999997</v>
      </c>
      <c r="P64" s="198">
        <v>0.36599999999999999</v>
      </c>
      <c r="Q64" s="198">
        <v>0.36599999999999999</v>
      </c>
      <c r="R64" s="198">
        <v>0.36599999999999999</v>
      </c>
      <c r="S64" s="197">
        <f t="shared" si="30"/>
        <v>1.0979999999999999</v>
      </c>
      <c r="T64" s="197">
        <f t="shared" si="33"/>
        <v>3.2939999999999996</v>
      </c>
      <c r="U64" s="198">
        <v>0.36599999999999999</v>
      </c>
      <c r="V64" s="198">
        <v>0.36599999999999999</v>
      </c>
      <c r="W64" s="198">
        <v>0.36599999999999999</v>
      </c>
      <c r="X64" s="197">
        <f t="shared" si="31"/>
        <v>1.0979999999999999</v>
      </c>
    </row>
    <row r="65" spans="2:24" ht="30" x14ac:dyDescent="0.25">
      <c r="B65" s="27" t="s">
        <v>57</v>
      </c>
      <c r="C65" s="213">
        <v>-26.173000000000002</v>
      </c>
      <c r="D65" s="213">
        <f t="shared" si="67"/>
        <v>71.573000000000008</v>
      </c>
      <c r="E65" s="213">
        <v>45.4</v>
      </c>
      <c r="F65" s="197">
        <f t="shared" si="27"/>
        <v>11.004000000000001</v>
      </c>
      <c r="G65" s="198">
        <v>0.91700000000000004</v>
      </c>
      <c r="H65" s="198">
        <v>0.91700000000000004</v>
      </c>
      <c r="I65" s="198">
        <v>0.91700000000000004</v>
      </c>
      <c r="J65" s="197">
        <f t="shared" si="28"/>
        <v>2.7510000000000003</v>
      </c>
      <c r="K65" s="198">
        <v>0.91700000000000004</v>
      </c>
      <c r="L65" s="198">
        <v>0.91700000000000004</v>
      </c>
      <c r="M65" s="198">
        <v>0.91700000000000004</v>
      </c>
      <c r="N65" s="197">
        <f t="shared" si="29"/>
        <v>2.7510000000000003</v>
      </c>
      <c r="O65" s="197">
        <f t="shared" si="32"/>
        <v>5.5020000000000007</v>
      </c>
      <c r="P65" s="198">
        <v>0.91700000000000004</v>
      </c>
      <c r="Q65" s="198">
        <v>0.91700000000000004</v>
      </c>
      <c r="R65" s="198">
        <v>0.91700000000000004</v>
      </c>
      <c r="S65" s="197">
        <f t="shared" si="30"/>
        <v>2.7510000000000003</v>
      </c>
      <c r="T65" s="197">
        <f t="shared" si="33"/>
        <v>8.2530000000000001</v>
      </c>
      <c r="U65" s="198">
        <v>0.91700000000000004</v>
      </c>
      <c r="V65" s="198">
        <v>0.91700000000000004</v>
      </c>
      <c r="W65" s="198">
        <v>0.91700000000000004</v>
      </c>
      <c r="X65" s="197">
        <f t="shared" si="31"/>
        <v>2.7510000000000003</v>
      </c>
    </row>
    <row r="66" spans="2:24" x14ac:dyDescent="0.25">
      <c r="B66" s="27" t="s">
        <v>58</v>
      </c>
      <c r="C66" s="213">
        <v>48.05</v>
      </c>
      <c r="D66" s="213">
        <f t="shared" si="67"/>
        <v>26.350000000000009</v>
      </c>
      <c r="E66" s="213">
        <v>74.400000000000006</v>
      </c>
      <c r="F66" s="197">
        <f t="shared" si="27"/>
        <v>7.5</v>
      </c>
      <c r="G66" s="198">
        <v>0.625</v>
      </c>
      <c r="H66" s="198">
        <v>0.625</v>
      </c>
      <c r="I66" s="198">
        <v>0.625</v>
      </c>
      <c r="J66" s="197">
        <f t="shared" si="28"/>
        <v>1.875</v>
      </c>
      <c r="K66" s="198">
        <v>0.625</v>
      </c>
      <c r="L66" s="198">
        <v>0.625</v>
      </c>
      <c r="M66" s="198">
        <v>0.625</v>
      </c>
      <c r="N66" s="197">
        <f t="shared" si="29"/>
        <v>1.875</v>
      </c>
      <c r="O66" s="197">
        <f t="shared" si="32"/>
        <v>3.75</v>
      </c>
      <c r="P66" s="198">
        <v>0.625</v>
      </c>
      <c r="Q66" s="198">
        <v>0.625</v>
      </c>
      <c r="R66" s="198">
        <v>0.625</v>
      </c>
      <c r="S66" s="197">
        <f t="shared" si="30"/>
        <v>1.875</v>
      </c>
      <c r="T66" s="197">
        <f t="shared" si="33"/>
        <v>5.625</v>
      </c>
      <c r="U66" s="198">
        <v>0.625</v>
      </c>
      <c r="V66" s="198">
        <v>0.625</v>
      </c>
      <c r="W66" s="198">
        <v>0.625</v>
      </c>
      <c r="X66" s="197">
        <f t="shared" si="31"/>
        <v>1.875</v>
      </c>
    </row>
    <row r="67" spans="2:24" x14ac:dyDescent="0.25">
      <c r="B67" s="27" t="s">
        <v>59</v>
      </c>
      <c r="C67" s="213">
        <v>47.89</v>
      </c>
      <c r="D67" s="213">
        <f t="shared" si="67"/>
        <v>0.10999999999999943</v>
      </c>
      <c r="E67" s="213">
        <v>48</v>
      </c>
      <c r="F67" s="197">
        <f t="shared" si="27"/>
        <v>8.1840000000000011</v>
      </c>
      <c r="G67" s="198">
        <v>0.68200000000000005</v>
      </c>
      <c r="H67" s="198">
        <v>0.68200000000000005</v>
      </c>
      <c r="I67" s="198">
        <v>0.68200000000000005</v>
      </c>
      <c r="J67" s="197">
        <f t="shared" si="28"/>
        <v>2.0460000000000003</v>
      </c>
      <c r="K67" s="198">
        <v>0.68200000000000005</v>
      </c>
      <c r="L67" s="198">
        <v>0.68200000000000005</v>
      </c>
      <c r="M67" s="198">
        <v>0.68200000000000005</v>
      </c>
      <c r="N67" s="197">
        <f t="shared" si="29"/>
        <v>2.0460000000000003</v>
      </c>
      <c r="O67" s="197">
        <f t="shared" si="32"/>
        <v>4.0920000000000005</v>
      </c>
      <c r="P67" s="198">
        <v>0.68200000000000005</v>
      </c>
      <c r="Q67" s="198">
        <v>0.68200000000000005</v>
      </c>
      <c r="R67" s="198">
        <v>0.68200000000000005</v>
      </c>
      <c r="S67" s="197">
        <f t="shared" si="30"/>
        <v>2.0460000000000003</v>
      </c>
      <c r="T67" s="197">
        <f t="shared" si="33"/>
        <v>6.1380000000000008</v>
      </c>
      <c r="U67" s="198">
        <v>0.68200000000000005</v>
      </c>
      <c r="V67" s="198">
        <v>0.68200000000000005</v>
      </c>
      <c r="W67" s="198">
        <v>0.68200000000000005</v>
      </c>
      <c r="X67" s="197">
        <f t="shared" si="31"/>
        <v>2.0460000000000003</v>
      </c>
    </row>
    <row r="68" spans="2:24" x14ac:dyDescent="0.25">
      <c r="B68" s="27" t="s">
        <v>60</v>
      </c>
      <c r="C68" s="213">
        <v>175.49</v>
      </c>
      <c r="D68" s="213">
        <f t="shared" si="67"/>
        <v>76.509999999999991</v>
      </c>
      <c r="E68" s="213">
        <v>252</v>
      </c>
      <c r="F68" s="197">
        <f t="shared" si="27"/>
        <v>58.44</v>
      </c>
      <c r="G68" s="198">
        <v>4.87</v>
      </c>
      <c r="H68" s="198">
        <v>4.87</v>
      </c>
      <c r="I68" s="198">
        <v>4.87</v>
      </c>
      <c r="J68" s="197">
        <f t="shared" si="28"/>
        <v>14.61</v>
      </c>
      <c r="K68" s="198">
        <v>4.87</v>
      </c>
      <c r="L68" s="198">
        <v>4.87</v>
      </c>
      <c r="M68" s="198">
        <v>4.87</v>
      </c>
      <c r="N68" s="197">
        <f t="shared" si="29"/>
        <v>14.61</v>
      </c>
      <c r="O68" s="197">
        <f t="shared" si="32"/>
        <v>29.22</v>
      </c>
      <c r="P68" s="198">
        <v>4.87</v>
      </c>
      <c r="Q68" s="198">
        <v>4.87</v>
      </c>
      <c r="R68" s="198">
        <v>4.87</v>
      </c>
      <c r="S68" s="197">
        <f t="shared" si="30"/>
        <v>14.61</v>
      </c>
      <c r="T68" s="197">
        <f t="shared" si="33"/>
        <v>43.83</v>
      </c>
      <c r="U68" s="198">
        <v>4.87</v>
      </c>
      <c r="V68" s="198">
        <v>4.87</v>
      </c>
      <c r="W68" s="198">
        <v>4.87</v>
      </c>
      <c r="X68" s="197">
        <f t="shared" si="31"/>
        <v>14.61</v>
      </c>
    </row>
    <row r="69" spans="2:24" ht="30" x14ac:dyDescent="0.25">
      <c r="B69" s="27" t="s">
        <v>61</v>
      </c>
      <c r="C69" s="213">
        <v>127.92</v>
      </c>
      <c r="D69" s="213">
        <f t="shared" si="67"/>
        <v>36.08</v>
      </c>
      <c r="E69" s="213">
        <v>164</v>
      </c>
      <c r="F69" s="197">
        <f t="shared" si="27"/>
        <v>21.756</v>
      </c>
      <c r="G69" s="198">
        <v>1.8129999999999999</v>
      </c>
      <c r="H69" s="198">
        <v>1.8129999999999999</v>
      </c>
      <c r="I69" s="198">
        <v>1.8129999999999999</v>
      </c>
      <c r="J69" s="197">
        <f t="shared" si="28"/>
        <v>5.4390000000000001</v>
      </c>
      <c r="K69" s="198">
        <v>1.8129999999999999</v>
      </c>
      <c r="L69" s="198">
        <v>1.8129999999999999</v>
      </c>
      <c r="M69" s="198">
        <v>1.8129999999999999</v>
      </c>
      <c r="N69" s="197">
        <f t="shared" si="29"/>
        <v>5.4390000000000001</v>
      </c>
      <c r="O69" s="197">
        <f t="shared" si="32"/>
        <v>10.878</v>
      </c>
      <c r="P69" s="198">
        <v>1.8129999999999999</v>
      </c>
      <c r="Q69" s="198">
        <v>1.8129999999999999</v>
      </c>
      <c r="R69" s="198">
        <v>1.8129999999999999</v>
      </c>
      <c r="S69" s="197">
        <f t="shared" si="30"/>
        <v>5.4390000000000001</v>
      </c>
      <c r="T69" s="197">
        <f t="shared" si="33"/>
        <v>16.317</v>
      </c>
      <c r="U69" s="198">
        <v>1.8129999999999999</v>
      </c>
      <c r="V69" s="198">
        <v>1.8129999999999999</v>
      </c>
      <c r="W69" s="198">
        <v>1.8129999999999999</v>
      </c>
      <c r="X69" s="197">
        <f t="shared" si="31"/>
        <v>5.4390000000000001</v>
      </c>
    </row>
    <row r="70" spans="2:24" x14ac:dyDescent="0.25">
      <c r="B70" s="28" t="s">
        <v>62</v>
      </c>
      <c r="C70" s="213">
        <f>C71+C72+C73+C74</f>
        <v>72.448999999999998</v>
      </c>
      <c r="D70" s="213">
        <f t="shared" ref="D70:D74" si="68">E70-C70</f>
        <v>31.310999999999993</v>
      </c>
      <c r="E70" s="213">
        <v>103.75999999999999</v>
      </c>
      <c r="F70" s="197">
        <f>X70+T70</f>
        <v>100.238</v>
      </c>
      <c r="G70" s="198">
        <f>SUM(G71:G74)</f>
        <v>12.105</v>
      </c>
      <c r="H70" s="198">
        <f t="shared" ref="H70:I70" si="69">SUM(H71:H74)</f>
        <v>12.105</v>
      </c>
      <c r="I70" s="198">
        <f t="shared" si="69"/>
        <v>12.105</v>
      </c>
      <c r="J70" s="197">
        <f t="shared" si="28"/>
        <v>36.314999999999998</v>
      </c>
      <c r="K70" s="198">
        <f t="shared" ref="K70:M70" si="70">SUM(K71:K74)</f>
        <v>12.105</v>
      </c>
      <c r="L70" s="198">
        <f t="shared" si="70"/>
        <v>4.0280000000000005</v>
      </c>
      <c r="M70" s="198">
        <f t="shared" si="70"/>
        <v>4.0280000000000005</v>
      </c>
      <c r="N70" s="197">
        <f t="shared" si="29"/>
        <v>20.161000000000001</v>
      </c>
      <c r="O70" s="197">
        <f t="shared" si="32"/>
        <v>56.475999999999999</v>
      </c>
      <c r="P70" s="198">
        <f t="shared" ref="P70:R70" si="71">SUM(P71:P74)</f>
        <v>4.0280000000000005</v>
      </c>
      <c r="Q70" s="198">
        <f t="shared" si="71"/>
        <v>4.0280000000000005</v>
      </c>
      <c r="R70" s="198">
        <f t="shared" si="71"/>
        <v>4.0280000000000005</v>
      </c>
      <c r="S70" s="197">
        <f t="shared" si="30"/>
        <v>12.084000000000001</v>
      </c>
      <c r="T70" s="197">
        <f t="shared" si="33"/>
        <v>68.56</v>
      </c>
      <c r="U70" s="198">
        <f t="shared" ref="U70:W70" si="72">SUM(U71:U74)</f>
        <v>7.468</v>
      </c>
      <c r="V70" s="198">
        <f t="shared" si="72"/>
        <v>12.105</v>
      </c>
      <c r="W70" s="198">
        <f t="shared" si="72"/>
        <v>12.105</v>
      </c>
      <c r="X70" s="197">
        <f t="shared" si="31"/>
        <v>31.678000000000001</v>
      </c>
    </row>
    <row r="71" spans="2:24" x14ac:dyDescent="0.25">
      <c r="B71" s="29" t="s">
        <v>84</v>
      </c>
      <c r="C71" s="213">
        <v>33.969000000000001</v>
      </c>
      <c r="D71" s="213">
        <f t="shared" si="68"/>
        <v>-6.9690000000000012</v>
      </c>
      <c r="E71" s="213">
        <v>27</v>
      </c>
      <c r="F71" s="197">
        <f t="shared" si="27"/>
        <v>41.236000000000004</v>
      </c>
      <c r="G71" s="198">
        <v>4.3620000000000001</v>
      </c>
      <c r="H71" s="198">
        <v>4.3620000000000001</v>
      </c>
      <c r="I71" s="198">
        <v>4.3620000000000001</v>
      </c>
      <c r="J71" s="197">
        <f t="shared" si="28"/>
        <v>13.086</v>
      </c>
      <c r="K71" s="198">
        <v>4.3620000000000001</v>
      </c>
      <c r="L71" s="198">
        <v>2.3620000000000001</v>
      </c>
      <c r="M71" s="198">
        <v>2.3620000000000001</v>
      </c>
      <c r="N71" s="197">
        <f t="shared" si="29"/>
        <v>9.0860000000000003</v>
      </c>
      <c r="O71" s="197">
        <f t="shared" si="32"/>
        <v>22.172000000000001</v>
      </c>
      <c r="P71" s="198">
        <v>2.3620000000000001</v>
      </c>
      <c r="Q71" s="198">
        <v>2.3620000000000001</v>
      </c>
      <c r="R71" s="198">
        <v>2.3620000000000001</v>
      </c>
      <c r="S71" s="197">
        <f t="shared" si="30"/>
        <v>7.0860000000000003</v>
      </c>
      <c r="T71" s="197">
        <f t="shared" si="33"/>
        <v>29.258000000000003</v>
      </c>
      <c r="U71" s="198">
        <v>3.254</v>
      </c>
      <c r="V71" s="198">
        <v>4.3620000000000001</v>
      </c>
      <c r="W71" s="198">
        <v>4.3620000000000001</v>
      </c>
      <c r="X71" s="197">
        <f t="shared" si="31"/>
        <v>11.978</v>
      </c>
    </row>
    <row r="72" spans="2:24" x14ac:dyDescent="0.25">
      <c r="B72" s="29" t="s">
        <v>83</v>
      </c>
      <c r="C72" s="213">
        <v>11.414999999999999</v>
      </c>
      <c r="D72" s="213">
        <f t="shared" si="68"/>
        <v>4.3850000000000016</v>
      </c>
      <c r="E72" s="213">
        <v>15.8</v>
      </c>
      <c r="F72" s="197">
        <f t="shared" si="27"/>
        <v>39.01</v>
      </c>
      <c r="G72" s="198">
        <v>6.077</v>
      </c>
      <c r="H72" s="198">
        <v>6.077</v>
      </c>
      <c r="I72" s="198">
        <v>6.077</v>
      </c>
      <c r="J72" s="197">
        <f t="shared" si="28"/>
        <v>18.231000000000002</v>
      </c>
      <c r="K72" s="198">
        <v>6.077</v>
      </c>
      <c r="L72" s="198"/>
      <c r="M72" s="198"/>
      <c r="N72" s="197">
        <f t="shared" si="29"/>
        <v>6.077</v>
      </c>
      <c r="O72" s="197">
        <f t="shared" si="32"/>
        <v>24.308</v>
      </c>
      <c r="P72" s="198"/>
      <c r="Q72" s="198"/>
      <c r="R72" s="198"/>
      <c r="S72" s="197">
        <f t="shared" si="30"/>
        <v>0</v>
      </c>
      <c r="T72" s="197">
        <f t="shared" si="33"/>
        <v>24.308</v>
      </c>
      <c r="U72" s="198">
        <v>2.548</v>
      </c>
      <c r="V72" s="198">
        <v>6.077</v>
      </c>
      <c r="W72" s="198">
        <v>6.077</v>
      </c>
      <c r="X72" s="197">
        <f t="shared" si="31"/>
        <v>14.702</v>
      </c>
    </row>
    <row r="73" spans="2:24" x14ac:dyDescent="0.25">
      <c r="B73" s="27" t="s">
        <v>63</v>
      </c>
      <c r="C73" s="213">
        <v>8.9480000000000004</v>
      </c>
      <c r="D73" s="213">
        <f t="shared" si="68"/>
        <v>4.0120000000000005</v>
      </c>
      <c r="E73" s="213">
        <v>12.96</v>
      </c>
      <c r="F73" s="197">
        <f t="shared" si="27"/>
        <v>14.844000000000001</v>
      </c>
      <c r="G73" s="198">
        <v>1.2370000000000001</v>
      </c>
      <c r="H73" s="198">
        <v>1.2370000000000001</v>
      </c>
      <c r="I73" s="198">
        <v>1.2370000000000001</v>
      </c>
      <c r="J73" s="197">
        <f t="shared" si="28"/>
        <v>3.7110000000000003</v>
      </c>
      <c r="K73" s="198">
        <v>1.2370000000000001</v>
      </c>
      <c r="L73" s="198">
        <v>1.2370000000000001</v>
      </c>
      <c r="M73" s="198">
        <v>1.2370000000000001</v>
      </c>
      <c r="N73" s="197">
        <f t="shared" si="29"/>
        <v>3.7110000000000003</v>
      </c>
      <c r="O73" s="197">
        <f t="shared" si="32"/>
        <v>7.4220000000000006</v>
      </c>
      <c r="P73" s="198">
        <v>1.2370000000000001</v>
      </c>
      <c r="Q73" s="198">
        <v>1.2370000000000001</v>
      </c>
      <c r="R73" s="198">
        <v>1.2370000000000001</v>
      </c>
      <c r="S73" s="197">
        <f t="shared" si="30"/>
        <v>3.7110000000000003</v>
      </c>
      <c r="T73" s="197">
        <f t="shared" si="33"/>
        <v>11.133000000000001</v>
      </c>
      <c r="U73" s="198">
        <v>1.2370000000000001</v>
      </c>
      <c r="V73" s="198">
        <v>1.2370000000000001</v>
      </c>
      <c r="W73" s="198">
        <v>1.2370000000000001</v>
      </c>
      <c r="X73" s="197">
        <f t="shared" si="31"/>
        <v>3.7110000000000003</v>
      </c>
    </row>
    <row r="74" spans="2:24" x14ac:dyDescent="0.25">
      <c r="B74" s="27" t="s">
        <v>64</v>
      </c>
      <c r="C74" s="213">
        <v>18.117000000000001</v>
      </c>
      <c r="D74" s="213">
        <f t="shared" si="68"/>
        <v>29.882999999999999</v>
      </c>
      <c r="E74" s="213">
        <v>48</v>
      </c>
      <c r="F74" s="197">
        <f t="shared" si="27"/>
        <v>5.1479999999999997</v>
      </c>
      <c r="G74" s="198">
        <v>0.42899999999999999</v>
      </c>
      <c r="H74" s="198">
        <v>0.42899999999999999</v>
      </c>
      <c r="I74" s="198">
        <v>0.42899999999999999</v>
      </c>
      <c r="J74" s="197">
        <f t="shared" si="28"/>
        <v>1.2869999999999999</v>
      </c>
      <c r="K74" s="198">
        <v>0.42899999999999999</v>
      </c>
      <c r="L74" s="198">
        <v>0.42899999999999999</v>
      </c>
      <c r="M74" s="198">
        <v>0.42899999999999999</v>
      </c>
      <c r="N74" s="197">
        <f t="shared" si="29"/>
        <v>1.2869999999999999</v>
      </c>
      <c r="O74" s="197">
        <f t="shared" si="32"/>
        <v>2.5739999999999998</v>
      </c>
      <c r="P74" s="198">
        <v>0.42899999999999999</v>
      </c>
      <c r="Q74" s="198">
        <v>0.42899999999999999</v>
      </c>
      <c r="R74" s="198">
        <v>0.42899999999999999</v>
      </c>
      <c r="S74" s="197">
        <f t="shared" si="30"/>
        <v>1.2869999999999999</v>
      </c>
      <c r="T74" s="197">
        <f t="shared" si="33"/>
        <v>3.8609999999999998</v>
      </c>
      <c r="U74" s="198">
        <v>0.42899999999999999</v>
      </c>
      <c r="V74" s="198">
        <v>0.42899999999999999</v>
      </c>
      <c r="W74" s="198">
        <v>0.42899999999999999</v>
      </c>
      <c r="X74" s="197">
        <f t="shared" si="31"/>
        <v>1.2869999999999999</v>
      </c>
    </row>
    <row r="75" spans="2:24" ht="30" x14ac:dyDescent="0.25">
      <c r="B75" s="35" t="s">
        <v>92</v>
      </c>
      <c r="C75" s="213">
        <v>21.193999999999999</v>
      </c>
      <c r="D75" s="213">
        <f>E75-C75</f>
        <v>-21.193999999999999</v>
      </c>
      <c r="E75" s="213">
        <v>0</v>
      </c>
      <c r="F75" s="197">
        <f t="shared" si="27"/>
        <v>0</v>
      </c>
      <c r="G75" s="198"/>
      <c r="H75" s="198"/>
      <c r="I75" s="198"/>
      <c r="J75" s="197">
        <f t="shared" si="28"/>
        <v>0</v>
      </c>
      <c r="K75" s="198"/>
      <c r="L75" s="198"/>
      <c r="M75" s="198"/>
      <c r="N75" s="197">
        <f t="shared" si="29"/>
        <v>0</v>
      </c>
      <c r="O75" s="197">
        <f t="shared" si="32"/>
        <v>0</v>
      </c>
      <c r="P75" s="198"/>
      <c r="Q75" s="198"/>
      <c r="R75" s="198"/>
      <c r="S75" s="197">
        <f t="shared" si="30"/>
        <v>0</v>
      </c>
      <c r="T75" s="197">
        <f t="shared" si="33"/>
        <v>0</v>
      </c>
      <c r="U75" s="198"/>
      <c r="V75" s="198"/>
      <c r="W75" s="198"/>
      <c r="X75" s="197">
        <f t="shared" si="31"/>
        <v>0</v>
      </c>
    </row>
    <row r="76" spans="2:24" x14ac:dyDescent="0.25">
      <c r="B76" s="27" t="s">
        <v>65</v>
      </c>
      <c r="C76" s="213">
        <v>5.18</v>
      </c>
      <c r="D76" s="213">
        <f t="shared" ref="D76:D85" si="73">E76-C76</f>
        <v>162.82</v>
      </c>
      <c r="E76" s="213">
        <v>168</v>
      </c>
      <c r="F76" s="197">
        <f t="shared" si="27"/>
        <v>0</v>
      </c>
      <c r="G76" s="198"/>
      <c r="H76" s="198"/>
      <c r="I76" s="198"/>
      <c r="J76" s="197">
        <f t="shared" si="28"/>
        <v>0</v>
      </c>
      <c r="K76" s="198"/>
      <c r="L76" s="198"/>
      <c r="M76" s="198"/>
      <c r="N76" s="197">
        <f t="shared" si="29"/>
        <v>0</v>
      </c>
      <c r="O76" s="197">
        <f t="shared" si="32"/>
        <v>0</v>
      </c>
      <c r="P76" s="198"/>
      <c r="Q76" s="198"/>
      <c r="R76" s="198"/>
      <c r="S76" s="197">
        <f t="shared" si="30"/>
        <v>0</v>
      </c>
      <c r="T76" s="197">
        <f t="shared" si="33"/>
        <v>0</v>
      </c>
      <c r="U76" s="198"/>
      <c r="V76" s="198"/>
      <c r="W76" s="198"/>
      <c r="X76" s="197">
        <f t="shared" si="31"/>
        <v>0</v>
      </c>
    </row>
    <row r="77" spans="2:24" x14ac:dyDescent="0.25">
      <c r="B77" s="28" t="s">
        <v>66</v>
      </c>
      <c r="C77" s="213">
        <f>C78+C79+C80+C81</f>
        <v>701.98599999999999</v>
      </c>
      <c r="D77" s="213">
        <f t="shared" si="73"/>
        <v>-232.161</v>
      </c>
      <c r="E77" s="213">
        <v>469.82499999999999</v>
      </c>
      <c r="F77" s="197">
        <f t="shared" si="27"/>
        <v>362.80799999999999</v>
      </c>
      <c r="G77" s="198">
        <f>SUM(G78:G82)</f>
        <v>30.233999999999998</v>
      </c>
      <c r="H77" s="198">
        <f t="shared" ref="H77:I77" si="74">SUM(H78:H82)</f>
        <v>30.233999999999998</v>
      </c>
      <c r="I77" s="198">
        <f t="shared" si="74"/>
        <v>30.233999999999998</v>
      </c>
      <c r="J77" s="197">
        <f t="shared" si="28"/>
        <v>90.701999999999998</v>
      </c>
      <c r="K77" s="198">
        <f t="shared" ref="K77:M77" si="75">SUM(K78:K82)</f>
        <v>30.233999999999998</v>
      </c>
      <c r="L77" s="198">
        <f t="shared" si="75"/>
        <v>30.233999999999998</v>
      </c>
      <c r="M77" s="198">
        <f t="shared" si="75"/>
        <v>30.233999999999998</v>
      </c>
      <c r="N77" s="197">
        <f t="shared" si="29"/>
        <v>90.701999999999998</v>
      </c>
      <c r="O77" s="197">
        <f t="shared" si="32"/>
        <v>181.404</v>
      </c>
      <c r="P77" s="198">
        <f t="shared" ref="P77:R77" si="76">SUM(P78:P82)</f>
        <v>30.233999999999998</v>
      </c>
      <c r="Q77" s="198">
        <f t="shared" si="76"/>
        <v>30.233999999999998</v>
      </c>
      <c r="R77" s="198">
        <f t="shared" si="76"/>
        <v>30.233999999999998</v>
      </c>
      <c r="S77" s="197">
        <f t="shared" si="30"/>
        <v>90.701999999999998</v>
      </c>
      <c r="T77" s="197">
        <f t="shared" si="33"/>
        <v>272.10599999999999</v>
      </c>
      <c r="U77" s="198">
        <f t="shared" ref="U77:W77" si="77">SUM(U78:U82)</f>
        <v>30.233999999999998</v>
      </c>
      <c r="V77" s="198">
        <f t="shared" si="77"/>
        <v>30.233999999999998</v>
      </c>
      <c r="W77" s="198">
        <f t="shared" si="77"/>
        <v>30.233999999999998</v>
      </c>
      <c r="X77" s="197">
        <f t="shared" si="31"/>
        <v>90.701999999999998</v>
      </c>
    </row>
    <row r="78" spans="2:24" x14ac:dyDescent="0.25">
      <c r="B78" s="27" t="s">
        <v>67</v>
      </c>
      <c r="C78" s="213">
        <v>181.047</v>
      </c>
      <c r="D78" s="213">
        <f t="shared" si="73"/>
        <v>11.953000000000003</v>
      </c>
      <c r="E78" s="213">
        <v>193</v>
      </c>
      <c r="F78" s="197">
        <f t="shared" si="27"/>
        <v>58.679999999999993</v>
      </c>
      <c r="G78" s="198">
        <v>4.8899999999999997</v>
      </c>
      <c r="H78" s="198">
        <v>4.8899999999999997</v>
      </c>
      <c r="I78" s="198">
        <v>4.8899999999999997</v>
      </c>
      <c r="J78" s="197">
        <f t="shared" si="28"/>
        <v>14.669999999999998</v>
      </c>
      <c r="K78" s="198">
        <v>4.8899999999999997</v>
      </c>
      <c r="L78" s="198">
        <v>4.8899999999999997</v>
      </c>
      <c r="M78" s="198">
        <v>4.8899999999999997</v>
      </c>
      <c r="N78" s="197">
        <f t="shared" si="29"/>
        <v>14.669999999999998</v>
      </c>
      <c r="O78" s="197">
        <f t="shared" si="32"/>
        <v>29.339999999999996</v>
      </c>
      <c r="P78" s="198">
        <v>4.8899999999999997</v>
      </c>
      <c r="Q78" s="198">
        <v>4.8899999999999997</v>
      </c>
      <c r="R78" s="198">
        <v>4.8899999999999997</v>
      </c>
      <c r="S78" s="197">
        <f t="shared" si="30"/>
        <v>14.669999999999998</v>
      </c>
      <c r="T78" s="197">
        <f t="shared" si="33"/>
        <v>44.009999999999991</v>
      </c>
      <c r="U78" s="198">
        <v>4.8899999999999997</v>
      </c>
      <c r="V78" s="198">
        <v>4.8899999999999997</v>
      </c>
      <c r="W78" s="198">
        <v>4.8899999999999997</v>
      </c>
      <c r="X78" s="197">
        <f t="shared" si="31"/>
        <v>14.669999999999998</v>
      </c>
    </row>
    <row r="79" spans="2:24" x14ac:dyDescent="0.25">
      <c r="B79" s="27" t="s">
        <v>68</v>
      </c>
      <c r="C79" s="213">
        <v>73.274000000000001</v>
      </c>
      <c r="D79" s="213">
        <f t="shared" si="73"/>
        <v>-61.774000000000001</v>
      </c>
      <c r="E79" s="213">
        <v>11.5</v>
      </c>
      <c r="F79" s="197">
        <f t="shared" si="27"/>
        <v>56.088000000000008</v>
      </c>
      <c r="G79" s="198">
        <v>4.6740000000000004</v>
      </c>
      <c r="H79" s="198">
        <v>4.6740000000000004</v>
      </c>
      <c r="I79" s="198">
        <v>4.6740000000000004</v>
      </c>
      <c r="J79" s="197">
        <f t="shared" si="28"/>
        <v>14.022000000000002</v>
      </c>
      <c r="K79" s="198">
        <v>4.6740000000000004</v>
      </c>
      <c r="L79" s="198">
        <v>4.6740000000000004</v>
      </c>
      <c r="M79" s="198">
        <v>4.6740000000000004</v>
      </c>
      <c r="N79" s="197">
        <f t="shared" si="29"/>
        <v>14.022000000000002</v>
      </c>
      <c r="O79" s="197">
        <f t="shared" si="32"/>
        <v>28.044000000000004</v>
      </c>
      <c r="P79" s="198">
        <v>4.6740000000000004</v>
      </c>
      <c r="Q79" s="198">
        <v>4.6740000000000004</v>
      </c>
      <c r="R79" s="198">
        <v>4.6740000000000004</v>
      </c>
      <c r="S79" s="197">
        <f t="shared" si="30"/>
        <v>14.022000000000002</v>
      </c>
      <c r="T79" s="197">
        <f t="shared" si="33"/>
        <v>42.066000000000003</v>
      </c>
      <c r="U79" s="198">
        <v>4.6740000000000004</v>
      </c>
      <c r="V79" s="198">
        <v>4.6740000000000004</v>
      </c>
      <c r="W79" s="198">
        <v>4.6740000000000004</v>
      </c>
      <c r="X79" s="197">
        <f t="shared" si="31"/>
        <v>14.022000000000002</v>
      </c>
    </row>
    <row r="80" spans="2:24" x14ac:dyDescent="0.25">
      <c r="B80" s="27" t="s">
        <v>69</v>
      </c>
      <c r="C80" s="213">
        <v>445.27</v>
      </c>
      <c r="D80" s="213">
        <f t="shared" si="73"/>
        <v>-180.26999999999998</v>
      </c>
      <c r="E80" s="213">
        <v>265</v>
      </c>
      <c r="F80" s="197">
        <f t="shared" si="27"/>
        <v>241.608</v>
      </c>
      <c r="G80" s="198">
        <v>20.134</v>
      </c>
      <c r="H80" s="198">
        <v>20.134</v>
      </c>
      <c r="I80" s="198">
        <v>20.134</v>
      </c>
      <c r="J80" s="197">
        <f t="shared" si="28"/>
        <v>60.402000000000001</v>
      </c>
      <c r="K80" s="198">
        <v>20.134</v>
      </c>
      <c r="L80" s="198">
        <v>20.134</v>
      </c>
      <c r="M80" s="198">
        <v>20.134</v>
      </c>
      <c r="N80" s="197">
        <f t="shared" si="29"/>
        <v>60.402000000000001</v>
      </c>
      <c r="O80" s="197">
        <f t="shared" si="32"/>
        <v>120.804</v>
      </c>
      <c r="P80" s="198">
        <v>20.134</v>
      </c>
      <c r="Q80" s="198">
        <v>20.134</v>
      </c>
      <c r="R80" s="198">
        <v>20.134</v>
      </c>
      <c r="S80" s="197">
        <f t="shared" si="30"/>
        <v>60.402000000000001</v>
      </c>
      <c r="T80" s="197">
        <f t="shared" si="33"/>
        <v>181.20600000000002</v>
      </c>
      <c r="U80" s="198">
        <v>20.134</v>
      </c>
      <c r="V80" s="198">
        <v>20.134</v>
      </c>
      <c r="W80" s="198">
        <v>20.134</v>
      </c>
      <c r="X80" s="197">
        <f t="shared" si="31"/>
        <v>60.402000000000001</v>
      </c>
    </row>
    <row r="81" spans="2:24" x14ac:dyDescent="0.25">
      <c r="B81" s="27" t="s">
        <v>82</v>
      </c>
      <c r="C81" s="213">
        <v>2.395</v>
      </c>
      <c r="D81" s="213">
        <f t="shared" si="73"/>
        <v>-2.0699999999999998</v>
      </c>
      <c r="E81" s="213">
        <v>0.32500000000000001</v>
      </c>
      <c r="F81" s="197">
        <f t="shared" si="27"/>
        <v>4.3439999999999994</v>
      </c>
      <c r="G81" s="198">
        <v>0.36199999999999999</v>
      </c>
      <c r="H81" s="198">
        <v>0.36199999999999999</v>
      </c>
      <c r="I81" s="198">
        <v>0.36199999999999999</v>
      </c>
      <c r="J81" s="197">
        <f t="shared" si="28"/>
        <v>1.0859999999999999</v>
      </c>
      <c r="K81" s="198">
        <v>0.36199999999999999</v>
      </c>
      <c r="L81" s="198">
        <v>0.36199999999999999</v>
      </c>
      <c r="M81" s="198">
        <v>0.36199999999999999</v>
      </c>
      <c r="N81" s="197">
        <f t="shared" si="29"/>
        <v>1.0859999999999999</v>
      </c>
      <c r="O81" s="197">
        <f t="shared" si="32"/>
        <v>2.1719999999999997</v>
      </c>
      <c r="P81" s="198">
        <v>0.36199999999999999</v>
      </c>
      <c r="Q81" s="198">
        <v>0.36199999999999999</v>
      </c>
      <c r="R81" s="198">
        <v>0.36199999999999999</v>
      </c>
      <c r="S81" s="197">
        <f t="shared" si="30"/>
        <v>1.0859999999999999</v>
      </c>
      <c r="T81" s="197">
        <f t="shared" si="33"/>
        <v>3.2579999999999996</v>
      </c>
      <c r="U81" s="198">
        <v>0.36199999999999999</v>
      </c>
      <c r="V81" s="198">
        <v>0.36199999999999999</v>
      </c>
      <c r="W81" s="198">
        <v>0.36199999999999999</v>
      </c>
      <c r="X81" s="197">
        <f t="shared" si="31"/>
        <v>1.0859999999999999</v>
      </c>
    </row>
    <row r="82" spans="2:24" x14ac:dyDescent="0.25">
      <c r="B82" s="196" t="s">
        <v>299</v>
      </c>
      <c r="C82" s="213">
        <v>2.3849999999999998</v>
      </c>
      <c r="D82" s="213">
        <f t="shared" si="73"/>
        <v>-2.3849999999999998</v>
      </c>
      <c r="E82" s="213">
        <v>0</v>
      </c>
      <c r="F82" s="197">
        <f t="shared" si="27"/>
        <v>2.0880000000000001</v>
      </c>
      <c r="G82" s="198">
        <v>0.17399999999999999</v>
      </c>
      <c r="H82" s="198">
        <v>0.17399999999999999</v>
      </c>
      <c r="I82" s="198">
        <v>0.17399999999999999</v>
      </c>
      <c r="J82" s="197">
        <f t="shared" si="28"/>
        <v>0.52200000000000002</v>
      </c>
      <c r="K82" s="198">
        <v>0.17399999999999999</v>
      </c>
      <c r="L82" s="198">
        <v>0.17399999999999999</v>
      </c>
      <c r="M82" s="198">
        <v>0.17399999999999999</v>
      </c>
      <c r="N82" s="197">
        <f t="shared" si="29"/>
        <v>0.52200000000000002</v>
      </c>
      <c r="O82" s="197">
        <f t="shared" ref="O82" si="78">J82+N82</f>
        <v>1.044</v>
      </c>
      <c r="P82" s="198">
        <v>0.17399999999999999</v>
      </c>
      <c r="Q82" s="198">
        <v>0.17399999999999999</v>
      </c>
      <c r="R82" s="198">
        <v>0.17399999999999999</v>
      </c>
      <c r="S82" s="197">
        <f t="shared" si="30"/>
        <v>0.52200000000000002</v>
      </c>
      <c r="T82" s="197">
        <f t="shared" ref="T82" si="79">O82+S82</f>
        <v>1.5660000000000001</v>
      </c>
      <c r="U82" s="198">
        <v>0.17399999999999999</v>
      </c>
      <c r="V82" s="198">
        <v>0.17399999999999999</v>
      </c>
      <c r="W82" s="198">
        <v>0.17399999999999999</v>
      </c>
      <c r="X82" s="197">
        <f t="shared" si="31"/>
        <v>0.52200000000000002</v>
      </c>
    </row>
    <row r="83" spans="2:24" x14ac:dyDescent="0.25">
      <c r="B83" s="28" t="s">
        <v>70</v>
      </c>
      <c r="C83" s="213">
        <f>C84+C85+C86</f>
        <v>509.81799999999998</v>
      </c>
      <c r="D83" s="213">
        <f t="shared" si="73"/>
        <v>-507.81799999999998</v>
      </c>
      <c r="E83" s="213">
        <v>2</v>
      </c>
      <c r="F83" s="197">
        <f t="shared" si="27"/>
        <v>1.296</v>
      </c>
      <c r="G83" s="198">
        <f>SUM(G84:G86)</f>
        <v>0.108</v>
      </c>
      <c r="H83" s="198">
        <f t="shared" ref="H83:I83" si="80">SUM(H84:H86)</f>
        <v>0.108</v>
      </c>
      <c r="I83" s="198">
        <f t="shared" si="80"/>
        <v>0.108</v>
      </c>
      <c r="J83" s="197">
        <f t="shared" si="28"/>
        <v>0.32400000000000001</v>
      </c>
      <c r="K83" s="198">
        <f t="shared" ref="K83:M83" si="81">SUM(K84:K86)</f>
        <v>0.108</v>
      </c>
      <c r="L83" s="198">
        <f t="shared" si="81"/>
        <v>0.108</v>
      </c>
      <c r="M83" s="198">
        <f t="shared" si="81"/>
        <v>0.108</v>
      </c>
      <c r="N83" s="197">
        <f t="shared" si="29"/>
        <v>0.32400000000000001</v>
      </c>
      <c r="O83" s="197">
        <f t="shared" si="32"/>
        <v>0.64800000000000002</v>
      </c>
      <c r="P83" s="198">
        <f t="shared" ref="P83:R83" si="82">SUM(P84:P86)</f>
        <v>0.108</v>
      </c>
      <c r="Q83" s="198">
        <f t="shared" si="82"/>
        <v>0.108</v>
      </c>
      <c r="R83" s="198">
        <f t="shared" si="82"/>
        <v>0.108</v>
      </c>
      <c r="S83" s="197">
        <f t="shared" si="30"/>
        <v>0.32400000000000001</v>
      </c>
      <c r="T83" s="197">
        <f t="shared" si="33"/>
        <v>0.97199999999999998</v>
      </c>
      <c r="U83" s="198">
        <f t="shared" ref="U83:W83" si="83">SUM(U84:U86)</f>
        <v>0.108</v>
      </c>
      <c r="V83" s="198">
        <f t="shared" si="83"/>
        <v>0.108</v>
      </c>
      <c r="W83" s="198">
        <f t="shared" si="83"/>
        <v>0.108</v>
      </c>
      <c r="X83" s="197">
        <f t="shared" si="31"/>
        <v>0.32400000000000001</v>
      </c>
    </row>
    <row r="84" spans="2:24" x14ac:dyDescent="0.25">
      <c r="B84" s="27" t="s">
        <v>72</v>
      </c>
      <c r="C84" s="213">
        <v>27.87</v>
      </c>
      <c r="D84" s="213">
        <f t="shared" si="73"/>
        <v>-27.87</v>
      </c>
      <c r="E84" s="213">
        <v>0</v>
      </c>
      <c r="F84" s="197">
        <f t="shared" si="27"/>
        <v>0</v>
      </c>
      <c r="G84" s="198"/>
      <c r="H84" s="198"/>
      <c r="I84" s="198"/>
      <c r="J84" s="197">
        <f t="shared" si="28"/>
        <v>0</v>
      </c>
      <c r="K84" s="198"/>
      <c r="L84" s="198"/>
      <c r="M84" s="198"/>
      <c r="N84" s="197">
        <f t="shared" si="29"/>
        <v>0</v>
      </c>
      <c r="O84" s="197">
        <f t="shared" si="32"/>
        <v>0</v>
      </c>
      <c r="P84" s="198"/>
      <c r="Q84" s="198"/>
      <c r="R84" s="198"/>
      <c r="S84" s="197">
        <f t="shared" si="30"/>
        <v>0</v>
      </c>
      <c r="T84" s="197">
        <f t="shared" si="33"/>
        <v>0</v>
      </c>
      <c r="U84" s="198"/>
      <c r="V84" s="198"/>
      <c r="W84" s="198"/>
      <c r="X84" s="197">
        <f t="shared" si="31"/>
        <v>0</v>
      </c>
    </row>
    <row r="85" spans="2:24" x14ac:dyDescent="0.25">
      <c r="B85" s="27" t="s">
        <v>71</v>
      </c>
      <c r="C85" s="213">
        <v>7.76</v>
      </c>
      <c r="D85" s="213">
        <f t="shared" si="73"/>
        <v>-5.76</v>
      </c>
      <c r="E85" s="213">
        <v>2</v>
      </c>
      <c r="F85" s="197">
        <f t="shared" si="27"/>
        <v>1.296</v>
      </c>
      <c r="G85" s="198">
        <v>0.108</v>
      </c>
      <c r="H85" s="198">
        <v>0.108</v>
      </c>
      <c r="I85" s="198">
        <v>0.108</v>
      </c>
      <c r="J85" s="197">
        <f t="shared" si="28"/>
        <v>0.32400000000000001</v>
      </c>
      <c r="K85" s="198">
        <v>0.108</v>
      </c>
      <c r="L85" s="198">
        <v>0.108</v>
      </c>
      <c r="M85" s="198">
        <v>0.108</v>
      </c>
      <c r="N85" s="197">
        <f t="shared" si="29"/>
        <v>0.32400000000000001</v>
      </c>
      <c r="O85" s="197">
        <f t="shared" si="32"/>
        <v>0.64800000000000002</v>
      </c>
      <c r="P85" s="198">
        <v>0.108</v>
      </c>
      <c r="Q85" s="198">
        <v>0.108</v>
      </c>
      <c r="R85" s="198">
        <v>0.108</v>
      </c>
      <c r="S85" s="197">
        <f t="shared" si="30"/>
        <v>0.32400000000000001</v>
      </c>
      <c r="T85" s="197">
        <f t="shared" si="33"/>
        <v>0.97199999999999998</v>
      </c>
      <c r="U85" s="198">
        <v>0.108</v>
      </c>
      <c r="V85" s="198">
        <v>0.108</v>
      </c>
      <c r="W85" s="198">
        <v>0.108</v>
      </c>
      <c r="X85" s="197">
        <f t="shared" si="31"/>
        <v>0.32400000000000001</v>
      </c>
    </row>
    <row r="86" spans="2:24" x14ac:dyDescent="0.25">
      <c r="B86" s="35" t="s">
        <v>91</v>
      </c>
      <c r="C86" s="213">
        <v>474.18799999999999</v>
      </c>
      <c r="D86" s="213">
        <f>E86-C86</f>
        <v>-474.18799999999999</v>
      </c>
      <c r="E86" s="213">
        <v>0</v>
      </c>
      <c r="F86" s="197">
        <f t="shared" si="27"/>
        <v>0</v>
      </c>
      <c r="G86" s="198"/>
      <c r="H86" s="198"/>
      <c r="I86" s="198"/>
      <c r="J86" s="197">
        <f t="shared" si="28"/>
        <v>0</v>
      </c>
      <c r="K86" s="198">
        <v>0</v>
      </c>
      <c r="L86" s="198">
        <v>0</v>
      </c>
      <c r="M86" s="198"/>
      <c r="N86" s="197">
        <f t="shared" si="29"/>
        <v>0</v>
      </c>
      <c r="O86" s="197">
        <f t="shared" si="32"/>
        <v>0</v>
      </c>
      <c r="P86" s="198"/>
      <c r="Q86" s="198"/>
      <c r="R86" s="198"/>
      <c r="S86" s="197">
        <f t="shared" si="30"/>
        <v>0</v>
      </c>
      <c r="T86" s="197">
        <f t="shared" si="33"/>
        <v>0</v>
      </c>
      <c r="U86" s="198"/>
      <c r="V86" s="198"/>
      <c r="W86" s="198"/>
      <c r="X86" s="197">
        <f t="shared" si="31"/>
        <v>0</v>
      </c>
    </row>
    <row r="87" spans="2:24" x14ac:dyDescent="0.25">
      <c r="B87" s="219" t="s">
        <v>75</v>
      </c>
      <c r="C87" s="213">
        <f>C88+C92</f>
        <v>15959.266827288453</v>
      </c>
      <c r="D87" s="213">
        <f>E87-C87</f>
        <v>6878.7128547115444</v>
      </c>
      <c r="E87" s="213">
        <v>22837.979681999997</v>
      </c>
      <c r="F87" s="197">
        <f t="shared" si="27"/>
        <v>25602.033240000001</v>
      </c>
      <c r="G87" s="198">
        <f t="shared" ref="G87:W87" si="84">G88+G92</f>
        <v>2133.5027700000001</v>
      </c>
      <c r="H87" s="198">
        <f t="shared" si="84"/>
        <v>2133.5027700000001</v>
      </c>
      <c r="I87" s="198">
        <f t="shared" si="84"/>
        <v>2133.5027700000001</v>
      </c>
      <c r="J87" s="197">
        <f t="shared" si="28"/>
        <v>6400.5083100000002</v>
      </c>
      <c r="K87" s="198">
        <f t="shared" si="84"/>
        <v>2133.5027700000001</v>
      </c>
      <c r="L87" s="198">
        <f t="shared" si="84"/>
        <v>2133.5027700000001</v>
      </c>
      <c r="M87" s="198">
        <f t="shared" si="84"/>
        <v>2133.5027700000001</v>
      </c>
      <c r="N87" s="197">
        <f t="shared" si="29"/>
        <v>6400.5083100000002</v>
      </c>
      <c r="O87" s="197">
        <f t="shared" si="32"/>
        <v>12801.01662</v>
      </c>
      <c r="P87" s="198">
        <f t="shared" si="84"/>
        <v>2133.5027700000001</v>
      </c>
      <c r="Q87" s="198">
        <f t="shared" si="84"/>
        <v>2133.5027700000001</v>
      </c>
      <c r="R87" s="198">
        <f t="shared" si="84"/>
        <v>2133.5027700000001</v>
      </c>
      <c r="S87" s="197">
        <f t="shared" si="30"/>
        <v>6400.5083100000002</v>
      </c>
      <c r="T87" s="197">
        <f t="shared" si="33"/>
        <v>19201.52493</v>
      </c>
      <c r="U87" s="198">
        <f t="shared" si="84"/>
        <v>2133.5027700000001</v>
      </c>
      <c r="V87" s="198">
        <f t="shared" si="84"/>
        <v>2133.5027700000001</v>
      </c>
      <c r="W87" s="198">
        <f t="shared" si="84"/>
        <v>2133.5027700000001</v>
      </c>
      <c r="X87" s="197">
        <f t="shared" si="31"/>
        <v>6400.5083100000002</v>
      </c>
    </row>
    <row r="88" spans="2:24" x14ac:dyDescent="0.25">
      <c r="B88" s="50" t="s">
        <v>80</v>
      </c>
      <c r="C88" s="213">
        <f>C89+C90+C91</f>
        <v>12258.92822</v>
      </c>
      <c r="D88" s="213">
        <f>D89+D90+D91</f>
        <v>5281.7627799999991</v>
      </c>
      <c r="E88" s="213">
        <v>17540.690999999999</v>
      </c>
      <c r="F88" s="197">
        <f t="shared" si="27"/>
        <v>19663.62</v>
      </c>
      <c r="G88" s="198">
        <f>G89+G90</f>
        <v>1638.635</v>
      </c>
      <c r="H88" s="198">
        <f t="shared" ref="H88:W88" si="85">H89+H90+H91</f>
        <v>1638.635</v>
      </c>
      <c r="I88" s="198">
        <f t="shared" si="85"/>
        <v>1638.635</v>
      </c>
      <c r="J88" s="197">
        <f t="shared" si="28"/>
        <v>4915.9049999999997</v>
      </c>
      <c r="K88" s="198">
        <f t="shared" si="85"/>
        <v>1638.635</v>
      </c>
      <c r="L88" s="198">
        <f t="shared" si="85"/>
        <v>1638.635</v>
      </c>
      <c r="M88" s="198">
        <f t="shared" si="85"/>
        <v>1638.635</v>
      </c>
      <c r="N88" s="197">
        <f t="shared" si="29"/>
        <v>4915.9049999999997</v>
      </c>
      <c r="O88" s="197">
        <f t="shared" si="32"/>
        <v>9831.81</v>
      </c>
      <c r="P88" s="198">
        <f t="shared" si="85"/>
        <v>1638.635</v>
      </c>
      <c r="Q88" s="198">
        <f t="shared" si="85"/>
        <v>1638.635</v>
      </c>
      <c r="R88" s="198">
        <f t="shared" si="85"/>
        <v>1638.635</v>
      </c>
      <c r="S88" s="197">
        <f t="shared" si="30"/>
        <v>4915.9049999999997</v>
      </c>
      <c r="T88" s="197">
        <f t="shared" si="33"/>
        <v>14747.715</v>
      </c>
      <c r="U88" s="198">
        <f t="shared" si="85"/>
        <v>1638.635</v>
      </c>
      <c r="V88" s="198">
        <f t="shared" si="85"/>
        <v>1638.635</v>
      </c>
      <c r="W88" s="198">
        <f t="shared" si="85"/>
        <v>1638.635</v>
      </c>
      <c r="X88" s="197">
        <f t="shared" si="31"/>
        <v>4915.9049999999997</v>
      </c>
    </row>
    <row r="89" spans="2:24" x14ac:dyDescent="0.25">
      <c r="B89" s="49" t="s">
        <v>76</v>
      </c>
      <c r="C89" s="217">
        <v>8271.9449999999997</v>
      </c>
      <c r="D89" s="217">
        <f t="shared" ref="D89:D90" si="86">E89-C89</f>
        <v>3101.1419999999998</v>
      </c>
      <c r="E89" s="213">
        <v>11373.087</v>
      </c>
      <c r="F89" s="197">
        <f t="shared" si="27"/>
        <v>13945.079999999998</v>
      </c>
      <c r="G89" s="198">
        <f>950.718+211.372</f>
        <v>1162.0899999999999</v>
      </c>
      <c r="H89" s="198">
        <f t="shared" ref="H89:I89" si="87">950.718+211.372</f>
        <v>1162.0899999999999</v>
      </c>
      <c r="I89" s="198">
        <f t="shared" si="87"/>
        <v>1162.0899999999999</v>
      </c>
      <c r="J89" s="197">
        <f t="shared" si="28"/>
        <v>3486.2699999999995</v>
      </c>
      <c r="K89" s="198">
        <f t="shared" ref="K89:M89" si="88">950.718+211.372</f>
        <v>1162.0899999999999</v>
      </c>
      <c r="L89" s="198">
        <f t="shared" si="88"/>
        <v>1162.0899999999999</v>
      </c>
      <c r="M89" s="198">
        <f t="shared" si="88"/>
        <v>1162.0899999999999</v>
      </c>
      <c r="N89" s="197">
        <f t="shared" si="29"/>
        <v>3486.2699999999995</v>
      </c>
      <c r="O89" s="197">
        <f t="shared" si="32"/>
        <v>6972.5399999999991</v>
      </c>
      <c r="P89" s="198">
        <f t="shared" ref="P89:R89" si="89">950.718+211.372</f>
        <v>1162.0899999999999</v>
      </c>
      <c r="Q89" s="198">
        <f t="shared" si="89"/>
        <v>1162.0899999999999</v>
      </c>
      <c r="R89" s="198">
        <f t="shared" si="89"/>
        <v>1162.0899999999999</v>
      </c>
      <c r="S89" s="197">
        <f t="shared" si="30"/>
        <v>3486.2699999999995</v>
      </c>
      <c r="T89" s="197">
        <f t="shared" si="33"/>
        <v>10458.809999999998</v>
      </c>
      <c r="U89" s="198">
        <f t="shared" ref="U89:W89" si="90">950.718+211.372</f>
        <v>1162.0899999999999</v>
      </c>
      <c r="V89" s="198">
        <f t="shared" si="90"/>
        <v>1162.0899999999999</v>
      </c>
      <c r="W89" s="198">
        <f t="shared" si="90"/>
        <v>1162.0899999999999</v>
      </c>
      <c r="X89" s="197">
        <f t="shared" si="31"/>
        <v>3486.2699999999995</v>
      </c>
    </row>
    <row r="90" spans="2:24" ht="13.5" customHeight="1" x14ac:dyDescent="0.25">
      <c r="B90" s="49" t="s">
        <v>77</v>
      </c>
      <c r="C90" s="217">
        <v>3986.9832200000001</v>
      </c>
      <c r="D90" s="217">
        <f t="shared" si="86"/>
        <v>2180.6207799999993</v>
      </c>
      <c r="E90" s="213">
        <v>6167.6039999999994</v>
      </c>
      <c r="F90" s="197">
        <f t="shared" si="27"/>
        <v>5718.54</v>
      </c>
      <c r="G90" s="198">
        <v>476.54500000000002</v>
      </c>
      <c r="H90" s="198">
        <v>476.54500000000002</v>
      </c>
      <c r="I90" s="198">
        <v>476.54500000000002</v>
      </c>
      <c r="J90" s="197">
        <f t="shared" si="28"/>
        <v>1429.635</v>
      </c>
      <c r="K90" s="198">
        <v>476.54500000000002</v>
      </c>
      <c r="L90" s="198">
        <v>476.54500000000002</v>
      </c>
      <c r="M90" s="198">
        <v>476.54500000000002</v>
      </c>
      <c r="N90" s="197">
        <f t="shared" si="29"/>
        <v>1429.635</v>
      </c>
      <c r="O90" s="197">
        <f t="shared" si="32"/>
        <v>2859.27</v>
      </c>
      <c r="P90" s="198">
        <v>476.54500000000002</v>
      </c>
      <c r="Q90" s="198">
        <v>476.54500000000002</v>
      </c>
      <c r="R90" s="198">
        <v>476.54500000000002</v>
      </c>
      <c r="S90" s="197">
        <f t="shared" si="30"/>
        <v>1429.635</v>
      </c>
      <c r="T90" s="197">
        <f t="shared" si="33"/>
        <v>4288.9049999999997</v>
      </c>
      <c r="U90" s="198">
        <v>476.54500000000002</v>
      </c>
      <c r="V90" s="198">
        <v>476.54500000000002</v>
      </c>
      <c r="W90" s="198">
        <v>476.54500000000002</v>
      </c>
      <c r="X90" s="197">
        <f t="shared" si="31"/>
        <v>1429.635</v>
      </c>
    </row>
    <row r="91" spans="2:24" ht="1.5" hidden="1" customHeight="1" x14ac:dyDescent="0.25">
      <c r="B91" s="49" t="s">
        <v>78</v>
      </c>
      <c r="C91" s="217">
        <v>0</v>
      </c>
      <c r="D91" s="217">
        <v>0</v>
      </c>
      <c r="E91" s="213">
        <v>0</v>
      </c>
      <c r="F91" s="197">
        <f t="shared" si="27"/>
        <v>0</v>
      </c>
      <c r="G91" s="198">
        <v>0</v>
      </c>
      <c r="H91" s="198">
        <v>0</v>
      </c>
      <c r="I91" s="198">
        <v>0</v>
      </c>
      <c r="J91" s="197">
        <f t="shared" si="28"/>
        <v>0</v>
      </c>
      <c r="K91" s="198">
        <v>0</v>
      </c>
      <c r="L91" s="198">
        <v>0</v>
      </c>
      <c r="M91" s="198">
        <v>0</v>
      </c>
      <c r="N91" s="197">
        <f t="shared" si="29"/>
        <v>0</v>
      </c>
      <c r="O91" s="197">
        <f t="shared" si="32"/>
        <v>0</v>
      </c>
      <c r="P91" s="198"/>
      <c r="Q91" s="198"/>
      <c r="R91" s="198"/>
      <c r="S91" s="197">
        <f t="shared" si="30"/>
        <v>0</v>
      </c>
      <c r="T91" s="197">
        <f t="shared" si="33"/>
        <v>0</v>
      </c>
      <c r="U91" s="198"/>
      <c r="V91" s="198"/>
      <c r="W91" s="198"/>
      <c r="X91" s="197">
        <f t="shared" si="31"/>
        <v>0</v>
      </c>
    </row>
    <row r="92" spans="2:24" x14ac:dyDescent="0.25">
      <c r="B92" s="50" t="s">
        <v>79</v>
      </c>
      <c r="C92" s="213">
        <f>C93+C94+C95</f>
        <v>3700.3386072884532</v>
      </c>
      <c r="D92" s="213">
        <f>D93+D94+D95</f>
        <v>1595.0923595599997</v>
      </c>
      <c r="E92" s="213">
        <v>5297.2886820000003</v>
      </c>
      <c r="F92" s="197">
        <f t="shared" si="27"/>
        <v>5938.4132399999999</v>
      </c>
      <c r="G92" s="198">
        <f t="shared" ref="G92:W92" si="91">G93+G94+G95</f>
        <v>494.86776999999995</v>
      </c>
      <c r="H92" s="198">
        <f t="shared" si="91"/>
        <v>494.86776999999995</v>
      </c>
      <c r="I92" s="198">
        <f t="shared" si="91"/>
        <v>494.86776999999995</v>
      </c>
      <c r="J92" s="197">
        <f t="shared" si="28"/>
        <v>1484.60331</v>
      </c>
      <c r="K92" s="198">
        <f t="shared" si="91"/>
        <v>494.86776999999995</v>
      </c>
      <c r="L92" s="198">
        <f t="shared" si="91"/>
        <v>494.86776999999995</v>
      </c>
      <c r="M92" s="198">
        <f t="shared" si="91"/>
        <v>494.86776999999995</v>
      </c>
      <c r="N92" s="197">
        <f t="shared" si="29"/>
        <v>1484.60331</v>
      </c>
      <c r="O92" s="197">
        <f t="shared" si="32"/>
        <v>2969.2066199999999</v>
      </c>
      <c r="P92" s="198">
        <f t="shared" si="91"/>
        <v>494.86776999999995</v>
      </c>
      <c r="Q92" s="198">
        <f t="shared" si="91"/>
        <v>494.86776999999995</v>
      </c>
      <c r="R92" s="198">
        <f t="shared" si="91"/>
        <v>494.86776999999995</v>
      </c>
      <c r="S92" s="197">
        <f t="shared" si="30"/>
        <v>1484.60331</v>
      </c>
      <c r="T92" s="197">
        <f t="shared" si="33"/>
        <v>4453.8099299999994</v>
      </c>
      <c r="U92" s="198">
        <f t="shared" si="91"/>
        <v>494.86776999999995</v>
      </c>
      <c r="V92" s="198">
        <f t="shared" si="91"/>
        <v>494.86776999999995</v>
      </c>
      <c r="W92" s="198">
        <f t="shared" si="91"/>
        <v>494.86776999999995</v>
      </c>
      <c r="X92" s="197">
        <f t="shared" si="31"/>
        <v>1484.60331</v>
      </c>
    </row>
    <row r="93" spans="2:24" x14ac:dyDescent="0.25">
      <c r="B93" s="49" t="s">
        <v>76</v>
      </c>
      <c r="C93" s="217">
        <v>2494.8850000000002</v>
      </c>
      <c r="D93" s="217">
        <f>D89*0.302</f>
        <v>936.54488399999991</v>
      </c>
      <c r="E93" s="213">
        <v>3434.6722740000005</v>
      </c>
      <c r="F93" s="197">
        <f t="shared" ref="F93:F108" si="92">X93+T93</f>
        <v>4211.4141599999994</v>
      </c>
      <c r="G93" s="198">
        <f>G89*30.2%</f>
        <v>350.95117999999997</v>
      </c>
      <c r="H93" s="198">
        <f t="shared" ref="H93:I93" si="93">H89*30.2%</f>
        <v>350.95117999999997</v>
      </c>
      <c r="I93" s="198">
        <f t="shared" si="93"/>
        <v>350.95117999999997</v>
      </c>
      <c r="J93" s="197">
        <f t="shared" ref="J93:J109" si="94">SUM(G93:I93)</f>
        <v>1052.8535399999998</v>
      </c>
      <c r="K93" s="198">
        <f>K89*30.2%</f>
        <v>350.95117999999997</v>
      </c>
      <c r="L93" s="198">
        <f t="shared" ref="L93:M93" si="95">L89*30.2%</f>
        <v>350.95117999999997</v>
      </c>
      <c r="M93" s="198">
        <f t="shared" si="95"/>
        <v>350.95117999999997</v>
      </c>
      <c r="N93" s="197">
        <f t="shared" ref="N93:N109" si="96">SUM(K93:M93)</f>
        <v>1052.8535399999998</v>
      </c>
      <c r="O93" s="197">
        <f t="shared" si="32"/>
        <v>2105.7070799999997</v>
      </c>
      <c r="P93" s="198">
        <f>P89*30.2%</f>
        <v>350.95117999999997</v>
      </c>
      <c r="Q93" s="198">
        <f t="shared" ref="Q93:R93" si="97">Q89*30.2%</f>
        <v>350.95117999999997</v>
      </c>
      <c r="R93" s="198">
        <f t="shared" si="97"/>
        <v>350.95117999999997</v>
      </c>
      <c r="S93" s="197">
        <f t="shared" ref="S93:S109" si="98">SUM(P93:R93)</f>
        <v>1052.8535399999998</v>
      </c>
      <c r="T93" s="197">
        <f t="shared" si="33"/>
        <v>3158.5606199999993</v>
      </c>
      <c r="U93" s="198">
        <f>U89*30.2%</f>
        <v>350.95117999999997</v>
      </c>
      <c r="V93" s="198">
        <f t="shared" ref="V93:W93" si="99">V89*30.2%</f>
        <v>350.95117999999997</v>
      </c>
      <c r="W93" s="198">
        <f t="shared" si="99"/>
        <v>350.95117999999997</v>
      </c>
      <c r="X93" s="197">
        <f t="shared" ref="X93:X109" si="100">SUM(U93:W93)</f>
        <v>1052.8535399999998</v>
      </c>
    </row>
    <row r="94" spans="2:24" ht="17.25" customHeight="1" x14ac:dyDescent="0.25">
      <c r="B94" s="49" t="s">
        <v>77</v>
      </c>
      <c r="C94" s="217">
        <v>1205.453607288453</v>
      </c>
      <c r="D94" s="217">
        <f t="shared" ref="D94:D95" si="101">D90*0.302</f>
        <v>658.54747555999973</v>
      </c>
      <c r="E94" s="213">
        <v>1862.6164079999999</v>
      </c>
      <c r="F94" s="197">
        <f t="shared" si="92"/>
        <v>1726.99908</v>
      </c>
      <c r="G94" s="198">
        <f t="shared" ref="G94:I95" si="102">G90*30.2%</f>
        <v>143.91659000000001</v>
      </c>
      <c r="H94" s="198">
        <f t="shared" si="102"/>
        <v>143.91659000000001</v>
      </c>
      <c r="I94" s="198">
        <f t="shared" si="102"/>
        <v>143.91659000000001</v>
      </c>
      <c r="J94" s="197">
        <f t="shared" si="94"/>
        <v>431.74977000000001</v>
      </c>
      <c r="K94" s="198">
        <f t="shared" ref="K94:M94" si="103">K90*30.2%</f>
        <v>143.91659000000001</v>
      </c>
      <c r="L94" s="198">
        <f t="shared" si="103"/>
        <v>143.91659000000001</v>
      </c>
      <c r="M94" s="198">
        <f t="shared" si="103"/>
        <v>143.91659000000001</v>
      </c>
      <c r="N94" s="197">
        <f t="shared" si="96"/>
        <v>431.74977000000001</v>
      </c>
      <c r="O94" s="197">
        <f t="shared" si="32"/>
        <v>863.49954000000002</v>
      </c>
      <c r="P94" s="198">
        <f t="shared" ref="P94:R94" si="104">P90*30.2%</f>
        <v>143.91659000000001</v>
      </c>
      <c r="Q94" s="198">
        <f t="shared" si="104"/>
        <v>143.91659000000001</v>
      </c>
      <c r="R94" s="198">
        <f t="shared" si="104"/>
        <v>143.91659000000001</v>
      </c>
      <c r="S94" s="197">
        <f t="shared" si="98"/>
        <v>431.74977000000001</v>
      </c>
      <c r="T94" s="197">
        <f t="shared" si="33"/>
        <v>1295.2493100000002</v>
      </c>
      <c r="U94" s="198">
        <f t="shared" ref="U94:W94" si="105">U90*30.2%</f>
        <v>143.91659000000001</v>
      </c>
      <c r="V94" s="198">
        <f t="shared" si="105"/>
        <v>143.91659000000001</v>
      </c>
      <c r="W94" s="198">
        <f t="shared" si="105"/>
        <v>143.91659000000001</v>
      </c>
      <c r="X94" s="197">
        <f t="shared" si="100"/>
        <v>431.74977000000001</v>
      </c>
    </row>
    <row r="95" spans="2:24" ht="0.75" customHeight="1" x14ac:dyDescent="0.25">
      <c r="B95" s="47" t="s">
        <v>78</v>
      </c>
      <c r="C95" s="217">
        <v>0</v>
      </c>
      <c r="D95" s="217">
        <f t="shared" si="101"/>
        <v>0</v>
      </c>
      <c r="E95" s="213">
        <v>0</v>
      </c>
      <c r="F95" s="197">
        <f t="shared" si="92"/>
        <v>0</v>
      </c>
      <c r="G95" s="198">
        <f t="shared" si="102"/>
        <v>0</v>
      </c>
      <c r="H95" s="198">
        <f t="shared" si="102"/>
        <v>0</v>
      </c>
      <c r="I95" s="198">
        <f t="shared" si="102"/>
        <v>0</v>
      </c>
      <c r="J95" s="197">
        <f t="shared" si="94"/>
        <v>0</v>
      </c>
      <c r="K95" s="198">
        <f t="shared" ref="K95:M95" si="106">K91*30.2%</f>
        <v>0</v>
      </c>
      <c r="L95" s="198">
        <f t="shared" si="106"/>
        <v>0</v>
      </c>
      <c r="M95" s="198">
        <f t="shared" si="106"/>
        <v>0</v>
      </c>
      <c r="N95" s="197">
        <f t="shared" si="96"/>
        <v>0</v>
      </c>
      <c r="O95" s="197">
        <f t="shared" ref="O95:O107" si="107">J95+N95</f>
        <v>0</v>
      </c>
      <c r="P95" s="198">
        <f t="shared" ref="P95:R95" si="108">P91*30.2%</f>
        <v>0</v>
      </c>
      <c r="Q95" s="198">
        <f t="shared" si="108"/>
        <v>0</v>
      </c>
      <c r="R95" s="198">
        <f t="shared" si="108"/>
        <v>0</v>
      </c>
      <c r="S95" s="197">
        <f t="shared" si="98"/>
        <v>0</v>
      </c>
      <c r="T95" s="197">
        <f t="shared" ref="T95:T108" si="109">O95+S95</f>
        <v>0</v>
      </c>
      <c r="U95" s="198">
        <f t="shared" ref="U95:W95" si="110">U91*30.2%</f>
        <v>0</v>
      </c>
      <c r="V95" s="198">
        <f t="shared" si="110"/>
        <v>0</v>
      </c>
      <c r="W95" s="198">
        <f t="shared" si="110"/>
        <v>0</v>
      </c>
      <c r="X95" s="197">
        <f t="shared" si="100"/>
        <v>0</v>
      </c>
    </row>
    <row r="96" spans="2:24" x14ac:dyDescent="0.25">
      <c r="B96" s="27"/>
      <c r="C96" s="213">
        <v>0</v>
      </c>
      <c r="D96" s="213">
        <v>0</v>
      </c>
      <c r="E96" s="213">
        <v>0</v>
      </c>
      <c r="F96" s="197">
        <f t="shared" si="92"/>
        <v>0</v>
      </c>
      <c r="G96" s="198">
        <v>0</v>
      </c>
      <c r="H96" s="198">
        <v>0</v>
      </c>
      <c r="I96" s="198">
        <v>0</v>
      </c>
      <c r="J96" s="197">
        <f t="shared" si="94"/>
        <v>0</v>
      </c>
      <c r="K96" s="198">
        <v>0</v>
      </c>
      <c r="L96" s="198">
        <v>0</v>
      </c>
      <c r="M96" s="198">
        <v>0</v>
      </c>
      <c r="N96" s="197">
        <f t="shared" si="96"/>
        <v>0</v>
      </c>
      <c r="O96" s="197">
        <f t="shared" si="107"/>
        <v>0</v>
      </c>
      <c r="P96" s="198"/>
      <c r="Q96" s="198"/>
      <c r="R96" s="198"/>
      <c r="S96" s="197">
        <f t="shared" si="98"/>
        <v>0</v>
      </c>
      <c r="T96" s="197">
        <f t="shared" si="109"/>
        <v>0</v>
      </c>
      <c r="U96" s="198"/>
      <c r="V96" s="198"/>
      <c r="W96" s="198"/>
      <c r="X96" s="197">
        <f t="shared" si="100"/>
        <v>0</v>
      </c>
    </row>
    <row r="97" spans="2:25" ht="37.5" x14ac:dyDescent="0.25">
      <c r="B97" s="48" t="s">
        <v>96</v>
      </c>
      <c r="C97" s="213">
        <v>2015.04</v>
      </c>
      <c r="D97" s="213">
        <f t="shared" ref="D97:D103" si="111">E97-C97</f>
        <v>-894.09404981999978</v>
      </c>
      <c r="E97" s="213">
        <v>1120.9459501800002</v>
      </c>
      <c r="F97" s="197">
        <f t="shared" si="92"/>
        <v>281.98195199999998</v>
      </c>
      <c r="G97" s="198">
        <f>G98+G101</f>
        <v>23.498495999999996</v>
      </c>
      <c r="H97" s="198">
        <f t="shared" ref="H97:I97" si="112">H98+H101</f>
        <v>23.498495999999996</v>
      </c>
      <c r="I97" s="198">
        <f t="shared" si="112"/>
        <v>23.498495999999996</v>
      </c>
      <c r="J97" s="197">
        <f t="shared" si="94"/>
        <v>70.495487999999995</v>
      </c>
      <c r="K97" s="198">
        <f t="shared" ref="K97:M97" si="113">K98+K101</f>
        <v>23.498495999999996</v>
      </c>
      <c r="L97" s="198">
        <f t="shared" si="113"/>
        <v>23.498495999999996</v>
      </c>
      <c r="M97" s="198">
        <f t="shared" si="113"/>
        <v>23.498495999999996</v>
      </c>
      <c r="N97" s="197">
        <f t="shared" si="96"/>
        <v>70.495487999999995</v>
      </c>
      <c r="O97" s="197">
        <f t="shared" si="107"/>
        <v>140.99097599999999</v>
      </c>
      <c r="P97" s="198">
        <f t="shared" ref="P97:R97" si="114">P98+P101</f>
        <v>23.498495999999996</v>
      </c>
      <c r="Q97" s="198">
        <f t="shared" si="114"/>
        <v>23.498495999999996</v>
      </c>
      <c r="R97" s="198">
        <f t="shared" si="114"/>
        <v>23.498495999999996</v>
      </c>
      <c r="S97" s="197">
        <f t="shared" si="98"/>
        <v>70.495487999999995</v>
      </c>
      <c r="T97" s="197">
        <f t="shared" si="109"/>
        <v>211.48646399999998</v>
      </c>
      <c r="U97" s="198">
        <f t="shared" ref="U97" si="115">U98+U101</f>
        <v>23.498495999999996</v>
      </c>
      <c r="V97" s="198">
        <f t="shared" ref="V97" si="116">V98+V101</f>
        <v>23.498495999999996</v>
      </c>
      <c r="W97" s="198">
        <f t="shared" ref="W97" si="117">W98+W101</f>
        <v>23.498495999999996</v>
      </c>
      <c r="X97" s="197">
        <f t="shared" si="100"/>
        <v>70.495487999999995</v>
      </c>
    </row>
    <row r="98" spans="2:25" x14ac:dyDescent="0.25">
      <c r="B98" s="49" t="s">
        <v>116</v>
      </c>
      <c r="C98" s="213">
        <f>C99+C100</f>
        <v>339.18731500000001</v>
      </c>
      <c r="D98" s="213">
        <f t="shared" si="111"/>
        <v>521.75427500000001</v>
      </c>
      <c r="E98" s="213">
        <v>860.94159000000002</v>
      </c>
      <c r="F98" s="197">
        <f t="shared" si="92"/>
        <v>216.57599999999996</v>
      </c>
      <c r="G98" s="198">
        <f>G99+G100</f>
        <v>18.047999999999998</v>
      </c>
      <c r="H98" s="198">
        <f t="shared" ref="H98:I98" si="118">H99+H100</f>
        <v>18.047999999999998</v>
      </c>
      <c r="I98" s="198">
        <f t="shared" si="118"/>
        <v>18.047999999999998</v>
      </c>
      <c r="J98" s="197">
        <f t="shared" si="94"/>
        <v>54.143999999999991</v>
      </c>
      <c r="K98" s="198">
        <f t="shared" ref="K98:M98" si="119">K99+K100</f>
        <v>18.047999999999998</v>
      </c>
      <c r="L98" s="198">
        <f t="shared" si="119"/>
        <v>18.047999999999998</v>
      </c>
      <c r="M98" s="198">
        <f t="shared" si="119"/>
        <v>18.047999999999998</v>
      </c>
      <c r="N98" s="197">
        <f t="shared" si="96"/>
        <v>54.143999999999991</v>
      </c>
      <c r="O98" s="197">
        <f t="shared" ref="O98:O103" si="120">J98+N98</f>
        <v>108.28799999999998</v>
      </c>
      <c r="P98" s="198">
        <f>P99+P100</f>
        <v>18.047999999999998</v>
      </c>
      <c r="Q98" s="198">
        <f t="shared" ref="Q98:R98" si="121">Q99+Q100</f>
        <v>18.047999999999998</v>
      </c>
      <c r="R98" s="198">
        <f t="shared" si="121"/>
        <v>18.047999999999998</v>
      </c>
      <c r="S98" s="197">
        <f t="shared" si="98"/>
        <v>54.143999999999991</v>
      </c>
      <c r="T98" s="197">
        <f t="shared" ref="T98:T103" si="122">O98+S98</f>
        <v>162.43199999999996</v>
      </c>
      <c r="U98" s="198">
        <f t="shared" ref="U98" si="123">U99+U100</f>
        <v>18.047999999999998</v>
      </c>
      <c r="V98" s="198">
        <f t="shared" ref="V98" si="124">V99+V100</f>
        <v>18.047999999999998</v>
      </c>
      <c r="W98" s="198">
        <f t="shared" ref="W98" si="125">W99+W100</f>
        <v>18.047999999999998</v>
      </c>
      <c r="X98" s="197">
        <f t="shared" si="100"/>
        <v>54.143999999999991</v>
      </c>
    </row>
    <row r="99" spans="2:25" x14ac:dyDescent="0.25">
      <c r="B99" s="50" t="s">
        <v>78</v>
      </c>
      <c r="C99" s="213">
        <v>133.05287999999999</v>
      </c>
      <c r="D99" s="213">
        <f t="shared" si="111"/>
        <v>49.635120000000001</v>
      </c>
      <c r="E99" s="213">
        <v>182.68799999999999</v>
      </c>
      <c r="F99" s="197">
        <f t="shared" si="92"/>
        <v>216.57599999999996</v>
      </c>
      <c r="G99" s="198">
        <v>18.047999999999998</v>
      </c>
      <c r="H99" s="198">
        <v>18.047999999999998</v>
      </c>
      <c r="I99" s="198">
        <v>18.047999999999998</v>
      </c>
      <c r="J99" s="197">
        <f t="shared" si="94"/>
        <v>54.143999999999991</v>
      </c>
      <c r="K99" s="198">
        <v>18.047999999999998</v>
      </c>
      <c r="L99" s="198">
        <v>18.047999999999998</v>
      </c>
      <c r="M99" s="198">
        <v>18.047999999999998</v>
      </c>
      <c r="N99" s="197">
        <f t="shared" si="96"/>
        <v>54.143999999999991</v>
      </c>
      <c r="O99" s="197">
        <f t="shared" si="120"/>
        <v>108.28799999999998</v>
      </c>
      <c r="P99" s="198">
        <v>18.047999999999998</v>
      </c>
      <c r="Q99" s="198">
        <v>18.047999999999998</v>
      </c>
      <c r="R99" s="198">
        <v>18.047999999999998</v>
      </c>
      <c r="S99" s="197">
        <f t="shared" si="98"/>
        <v>54.143999999999991</v>
      </c>
      <c r="T99" s="197">
        <f t="shared" si="122"/>
        <v>162.43199999999996</v>
      </c>
      <c r="U99" s="198">
        <v>18.047999999999998</v>
      </c>
      <c r="V99" s="198">
        <v>18.047999999999998</v>
      </c>
      <c r="W99" s="198">
        <v>18.047999999999998</v>
      </c>
      <c r="X99" s="197">
        <f t="shared" si="100"/>
        <v>54.143999999999991</v>
      </c>
    </row>
    <row r="100" spans="2:25" x14ac:dyDescent="0.25">
      <c r="B100" s="49" t="s">
        <v>117</v>
      </c>
      <c r="C100" s="213">
        <v>206.13443500000002</v>
      </c>
      <c r="D100" s="213">
        <f t="shared" si="111"/>
        <v>472.11915499999986</v>
      </c>
      <c r="E100" s="213">
        <v>678.25358999999992</v>
      </c>
      <c r="F100" s="197">
        <f t="shared" si="92"/>
        <v>0</v>
      </c>
      <c r="G100" s="198"/>
      <c r="H100" s="198"/>
      <c r="I100" s="198"/>
      <c r="J100" s="197">
        <f t="shared" si="94"/>
        <v>0</v>
      </c>
      <c r="K100" s="198"/>
      <c r="L100" s="198"/>
      <c r="M100" s="198"/>
      <c r="N100" s="197">
        <f t="shared" si="96"/>
        <v>0</v>
      </c>
      <c r="O100" s="197">
        <f t="shared" si="120"/>
        <v>0</v>
      </c>
      <c r="P100" s="198"/>
      <c r="Q100" s="198"/>
      <c r="R100" s="198"/>
      <c r="S100" s="197">
        <f t="shared" si="98"/>
        <v>0</v>
      </c>
      <c r="T100" s="197">
        <f t="shared" si="122"/>
        <v>0</v>
      </c>
      <c r="U100" s="198"/>
      <c r="V100" s="198"/>
      <c r="W100" s="198"/>
      <c r="X100" s="197">
        <f t="shared" si="100"/>
        <v>0</v>
      </c>
    </row>
    <row r="101" spans="2:25" x14ac:dyDescent="0.25">
      <c r="B101" s="50" t="s">
        <v>118</v>
      </c>
      <c r="C101" s="213">
        <f>C102+C103</f>
        <v>102.43545973489999</v>
      </c>
      <c r="D101" s="213">
        <f t="shared" si="111"/>
        <v>157.56890044509993</v>
      </c>
      <c r="E101" s="213">
        <v>260.00436017999994</v>
      </c>
      <c r="F101" s="197">
        <f t="shared" si="92"/>
        <v>65.405951999999985</v>
      </c>
      <c r="G101" s="198">
        <f>G102+G103</f>
        <v>5.4504959999999993</v>
      </c>
      <c r="H101" s="198">
        <f t="shared" ref="H101:I101" si="126">H102+H103</f>
        <v>5.4504959999999993</v>
      </c>
      <c r="I101" s="198">
        <f t="shared" si="126"/>
        <v>5.4504959999999993</v>
      </c>
      <c r="J101" s="197">
        <f t="shared" si="94"/>
        <v>16.351487999999996</v>
      </c>
      <c r="K101" s="198">
        <f t="shared" ref="K101:M101" si="127">K102+K103</f>
        <v>5.4504959999999993</v>
      </c>
      <c r="L101" s="198">
        <f t="shared" si="127"/>
        <v>5.4504959999999993</v>
      </c>
      <c r="M101" s="198">
        <f t="shared" si="127"/>
        <v>5.4504959999999993</v>
      </c>
      <c r="N101" s="197">
        <f t="shared" si="96"/>
        <v>16.351487999999996</v>
      </c>
      <c r="O101" s="197">
        <f t="shared" si="120"/>
        <v>32.702975999999992</v>
      </c>
      <c r="P101" s="198">
        <f t="shared" ref="P101:R101" si="128">P102+P103</f>
        <v>5.4504959999999993</v>
      </c>
      <c r="Q101" s="198">
        <f t="shared" si="128"/>
        <v>5.4504959999999993</v>
      </c>
      <c r="R101" s="198">
        <f t="shared" si="128"/>
        <v>5.4504959999999993</v>
      </c>
      <c r="S101" s="197">
        <f t="shared" si="98"/>
        <v>16.351487999999996</v>
      </c>
      <c r="T101" s="197">
        <f t="shared" si="122"/>
        <v>49.054463999999989</v>
      </c>
      <c r="U101" s="198">
        <f t="shared" ref="U101:W101" si="129">U102+U103</f>
        <v>5.4504959999999993</v>
      </c>
      <c r="V101" s="198">
        <f t="shared" si="129"/>
        <v>5.4504959999999993</v>
      </c>
      <c r="W101" s="198">
        <f t="shared" si="129"/>
        <v>5.4504959999999993</v>
      </c>
      <c r="X101" s="197">
        <f t="shared" si="100"/>
        <v>16.351487999999996</v>
      </c>
    </row>
    <row r="102" spans="2:25" x14ac:dyDescent="0.25">
      <c r="B102" s="49" t="s">
        <v>78</v>
      </c>
      <c r="C102" s="213">
        <v>40.182860364899994</v>
      </c>
      <c r="D102" s="213">
        <f t="shared" si="111"/>
        <v>14.9889156351</v>
      </c>
      <c r="E102" s="213">
        <v>55.171775999999994</v>
      </c>
      <c r="F102" s="197">
        <f t="shared" si="92"/>
        <v>65.405951999999985</v>
      </c>
      <c r="G102" s="198">
        <f>G99*0.302</f>
        <v>5.4504959999999993</v>
      </c>
      <c r="H102" s="198">
        <f t="shared" ref="H102:I102" si="130">H99*0.302</f>
        <v>5.4504959999999993</v>
      </c>
      <c r="I102" s="198">
        <f t="shared" si="130"/>
        <v>5.4504959999999993</v>
      </c>
      <c r="J102" s="197">
        <f t="shared" si="94"/>
        <v>16.351487999999996</v>
      </c>
      <c r="K102" s="198">
        <f t="shared" ref="K102:M102" si="131">K99*0.302</f>
        <v>5.4504959999999993</v>
      </c>
      <c r="L102" s="198">
        <f t="shared" si="131"/>
        <v>5.4504959999999993</v>
      </c>
      <c r="M102" s="198">
        <f t="shared" si="131"/>
        <v>5.4504959999999993</v>
      </c>
      <c r="N102" s="197">
        <f t="shared" si="96"/>
        <v>16.351487999999996</v>
      </c>
      <c r="O102" s="197">
        <f t="shared" si="120"/>
        <v>32.702975999999992</v>
      </c>
      <c r="P102" s="198">
        <f t="shared" ref="P102:R102" si="132">P99*0.302</f>
        <v>5.4504959999999993</v>
      </c>
      <c r="Q102" s="198">
        <f t="shared" si="132"/>
        <v>5.4504959999999993</v>
      </c>
      <c r="R102" s="198">
        <f t="shared" si="132"/>
        <v>5.4504959999999993</v>
      </c>
      <c r="S102" s="197">
        <f t="shared" si="98"/>
        <v>16.351487999999996</v>
      </c>
      <c r="T102" s="197">
        <f t="shared" si="122"/>
        <v>49.054463999999989</v>
      </c>
      <c r="U102" s="198">
        <f t="shared" ref="U102:W102" si="133">U99*0.302</f>
        <v>5.4504959999999993</v>
      </c>
      <c r="V102" s="198">
        <f t="shared" si="133"/>
        <v>5.4504959999999993</v>
      </c>
      <c r="W102" s="198">
        <f t="shared" si="133"/>
        <v>5.4504959999999993</v>
      </c>
      <c r="X102" s="197">
        <f t="shared" si="100"/>
        <v>16.351487999999996</v>
      </c>
    </row>
    <row r="103" spans="2:25" x14ac:dyDescent="0.25">
      <c r="B103" s="50" t="s">
        <v>117</v>
      </c>
      <c r="C103" s="218">
        <v>62.252599369999999</v>
      </c>
      <c r="D103" s="213">
        <f t="shared" si="111"/>
        <v>142.57998480999998</v>
      </c>
      <c r="E103" s="213">
        <v>204.83258417999997</v>
      </c>
      <c r="F103" s="197">
        <f t="shared" si="92"/>
        <v>0</v>
      </c>
      <c r="G103" s="198">
        <f>G100*0.302</f>
        <v>0</v>
      </c>
      <c r="H103" s="198">
        <f t="shared" ref="H103:I103" si="134">H100*0.302</f>
        <v>0</v>
      </c>
      <c r="I103" s="198">
        <f t="shared" si="134"/>
        <v>0</v>
      </c>
      <c r="J103" s="197">
        <f t="shared" si="94"/>
        <v>0</v>
      </c>
      <c r="K103" s="198">
        <f t="shared" ref="K103:M103" si="135">K100*0.302</f>
        <v>0</v>
      </c>
      <c r="L103" s="198">
        <f t="shared" si="135"/>
        <v>0</v>
      </c>
      <c r="M103" s="198">
        <f t="shared" si="135"/>
        <v>0</v>
      </c>
      <c r="N103" s="197">
        <f t="shared" si="96"/>
        <v>0</v>
      </c>
      <c r="O103" s="197">
        <f t="shared" si="120"/>
        <v>0</v>
      </c>
      <c r="P103" s="198"/>
      <c r="Q103" s="198"/>
      <c r="R103" s="198"/>
      <c r="S103" s="197">
        <f t="shared" si="98"/>
        <v>0</v>
      </c>
      <c r="T103" s="197">
        <f t="shared" si="122"/>
        <v>0</v>
      </c>
      <c r="U103" s="198"/>
      <c r="V103" s="198"/>
      <c r="W103" s="198"/>
      <c r="X103" s="197">
        <f t="shared" si="100"/>
        <v>0</v>
      </c>
    </row>
    <row r="104" spans="2:25" ht="21" x14ac:dyDescent="0.25">
      <c r="B104" s="32" t="s">
        <v>93</v>
      </c>
      <c r="C104" s="213">
        <f>C105+C106+C107</f>
        <v>109.83</v>
      </c>
      <c r="D104" s="213">
        <f t="shared" ref="D104:W104" si="136">D105+D106+D107</f>
        <v>13</v>
      </c>
      <c r="E104" s="213">
        <v>75.599999999999994</v>
      </c>
      <c r="F104" s="197">
        <f t="shared" si="92"/>
        <v>0</v>
      </c>
      <c r="G104" s="197">
        <f t="shared" si="136"/>
        <v>0</v>
      </c>
      <c r="H104" s="197">
        <f t="shared" si="136"/>
        <v>0</v>
      </c>
      <c r="I104" s="197">
        <f t="shared" si="136"/>
        <v>0</v>
      </c>
      <c r="J104" s="197">
        <f t="shared" si="94"/>
        <v>0</v>
      </c>
      <c r="K104" s="197">
        <f t="shared" si="136"/>
        <v>0</v>
      </c>
      <c r="L104" s="197">
        <f t="shared" si="136"/>
        <v>0</v>
      </c>
      <c r="M104" s="197">
        <f t="shared" si="136"/>
        <v>0</v>
      </c>
      <c r="N104" s="197">
        <f t="shared" si="96"/>
        <v>0</v>
      </c>
      <c r="O104" s="197">
        <f t="shared" si="107"/>
        <v>0</v>
      </c>
      <c r="P104" s="197">
        <f t="shared" si="136"/>
        <v>0</v>
      </c>
      <c r="Q104" s="197">
        <f t="shared" si="136"/>
        <v>0</v>
      </c>
      <c r="R104" s="197">
        <f t="shared" si="136"/>
        <v>0</v>
      </c>
      <c r="S104" s="197">
        <f t="shared" si="98"/>
        <v>0</v>
      </c>
      <c r="T104" s="197">
        <f t="shared" si="109"/>
        <v>0</v>
      </c>
      <c r="U104" s="197">
        <f t="shared" si="136"/>
        <v>0</v>
      </c>
      <c r="V104" s="197">
        <f t="shared" si="136"/>
        <v>0</v>
      </c>
      <c r="W104" s="197">
        <f t="shared" si="136"/>
        <v>0</v>
      </c>
      <c r="X104" s="197">
        <f t="shared" si="100"/>
        <v>0</v>
      </c>
    </row>
    <row r="105" spans="2:25" x14ac:dyDescent="0.25">
      <c r="B105" s="31" t="s">
        <v>73</v>
      </c>
      <c r="C105" s="213">
        <v>109.83</v>
      </c>
      <c r="D105" s="213">
        <v>13</v>
      </c>
      <c r="E105" s="213">
        <v>75.599999999999994</v>
      </c>
      <c r="F105" s="197">
        <f t="shared" si="92"/>
        <v>0</v>
      </c>
      <c r="G105" s="198"/>
      <c r="H105" s="198"/>
      <c r="I105" s="198"/>
      <c r="J105" s="197">
        <f t="shared" si="94"/>
        <v>0</v>
      </c>
      <c r="K105" s="198"/>
      <c r="L105" s="198"/>
      <c r="M105" s="198"/>
      <c r="N105" s="197">
        <f t="shared" si="96"/>
        <v>0</v>
      </c>
      <c r="O105" s="197">
        <f t="shared" si="107"/>
        <v>0</v>
      </c>
      <c r="P105" s="198"/>
      <c r="Q105" s="198"/>
      <c r="R105" s="198"/>
      <c r="S105" s="197">
        <f t="shared" si="98"/>
        <v>0</v>
      </c>
      <c r="T105" s="197">
        <f t="shared" si="109"/>
        <v>0</v>
      </c>
      <c r="U105" s="198"/>
      <c r="V105" s="198"/>
      <c r="W105" s="198"/>
      <c r="X105" s="197">
        <f t="shared" si="100"/>
        <v>0</v>
      </c>
    </row>
    <row r="106" spans="2:25" x14ac:dyDescent="0.25">
      <c r="B106" s="31" t="s">
        <v>74</v>
      </c>
      <c r="C106" s="213">
        <v>0</v>
      </c>
      <c r="D106" s="213">
        <v>0</v>
      </c>
      <c r="E106" s="213">
        <v>0</v>
      </c>
      <c r="F106" s="197">
        <f t="shared" si="92"/>
        <v>0</v>
      </c>
      <c r="G106" s="198"/>
      <c r="H106" s="198"/>
      <c r="I106" s="198"/>
      <c r="J106" s="197">
        <f t="shared" si="94"/>
        <v>0</v>
      </c>
      <c r="K106" s="198"/>
      <c r="L106" s="198"/>
      <c r="M106" s="198"/>
      <c r="N106" s="197">
        <f t="shared" si="96"/>
        <v>0</v>
      </c>
      <c r="O106" s="197">
        <f t="shared" si="107"/>
        <v>0</v>
      </c>
      <c r="P106" s="198"/>
      <c r="Q106" s="198"/>
      <c r="R106" s="198"/>
      <c r="S106" s="197">
        <f t="shared" si="98"/>
        <v>0</v>
      </c>
      <c r="T106" s="197">
        <f t="shared" si="109"/>
        <v>0</v>
      </c>
      <c r="U106" s="198"/>
      <c r="V106" s="198"/>
      <c r="W106" s="198"/>
      <c r="X106" s="197">
        <f t="shared" si="100"/>
        <v>0</v>
      </c>
    </row>
    <row r="107" spans="2:25" x14ac:dyDescent="0.25">
      <c r="B107" s="31" t="s">
        <v>94</v>
      </c>
      <c r="C107" s="213">
        <v>0</v>
      </c>
      <c r="D107" s="213">
        <v>0</v>
      </c>
      <c r="E107" s="213">
        <v>0</v>
      </c>
      <c r="F107" s="197">
        <f t="shared" si="92"/>
        <v>0</v>
      </c>
      <c r="G107" s="198"/>
      <c r="H107" s="198"/>
      <c r="I107" s="198"/>
      <c r="J107" s="197">
        <f t="shared" si="94"/>
        <v>0</v>
      </c>
      <c r="K107" s="198"/>
      <c r="L107" s="198"/>
      <c r="M107" s="198"/>
      <c r="N107" s="197">
        <f t="shared" si="96"/>
        <v>0</v>
      </c>
      <c r="O107" s="197">
        <f t="shared" si="107"/>
        <v>0</v>
      </c>
      <c r="P107" s="198"/>
      <c r="Q107" s="198"/>
      <c r="R107" s="198"/>
      <c r="S107" s="197">
        <f t="shared" si="98"/>
        <v>0</v>
      </c>
      <c r="T107" s="197">
        <f t="shared" si="109"/>
        <v>0</v>
      </c>
      <c r="U107" s="198"/>
      <c r="V107" s="198"/>
      <c r="W107" s="198"/>
      <c r="X107" s="197">
        <f t="shared" si="100"/>
        <v>0</v>
      </c>
    </row>
    <row r="108" spans="2:25" ht="30" x14ac:dyDescent="0.25">
      <c r="B108" s="60" t="s">
        <v>122</v>
      </c>
      <c r="C108" s="213"/>
      <c r="D108" s="213"/>
      <c r="E108" s="213">
        <v>5600.0039999999999</v>
      </c>
      <c r="F108" s="197">
        <f t="shared" si="92"/>
        <v>0</v>
      </c>
      <c r="G108" s="198"/>
      <c r="H108" s="198"/>
      <c r="I108" s="198"/>
      <c r="J108" s="197">
        <f t="shared" si="94"/>
        <v>0</v>
      </c>
      <c r="K108" s="198"/>
      <c r="L108" s="198"/>
      <c r="M108" s="198"/>
      <c r="N108" s="197">
        <f t="shared" si="96"/>
        <v>0</v>
      </c>
      <c r="O108" s="197">
        <f>J108+N108</f>
        <v>0</v>
      </c>
      <c r="P108" s="198"/>
      <c r="Q108" s="198"/>
      <c r="R108" s="198"/>
      <c r="S108" s="197">
        <f t="shared" si="98"/>
        <v>0</v>
      </c>
      <c r="T108" s="197">
        <f t="shared" si="109"/>
        <v>0</v>
      </c>
      <c r="U108" s="198"/>
      <c r="V108" s="198"/>
      <c r="W108" s="198"/>
      <c r="X108" s="197">
        <f t="shared" si="100"/>
        <v>0</v>
      </c>
    </row>
    <row r="109" spans="2:25" ht="30.75" thickBot="1" x14ac:dyDescent="0.3">
      <c r="B109" s="34" t="s">
        <v>123</v>
      </c>
      <c r="C109" s="213">
        <v>0</v>
      </c>
      <c r="D109" s="213">
        <v>0</v>
      </c>
      <c r="E109" s="213"/>
      <c r="F109" s="197">
        <v>0</v>
      </c>
      <c r="G109" s="198"/>
      <c r="H109" s="198"/>
      <c r="I109" s="198"/>
      <c r="J109" s="197">
        <f t="shared" si="94"/>
        <v>0</v>
      </c>
      <c r="K109" s="198"/>
      <c r="L109" s="198"/>
      <c r="M109" s="198"/>
      <c r="N109" s="197">
        <f t="shared" si="96"/>
        <v>0</v>
      </c>
      <c r="O109" s="197"/>
      <c r="P109" s="198"/>
      <c r="Q109" s="198"/>
      <c r="R109" s="198"/>
      <c r="S109" s="197">
        <f t="shared" si="98"/>
        <v>0</v>
      </c>
      <c r="T109" s="197"/>
      <c r="U109" s="198"/>
      <c r="V109" s="198"/>
      <c r="W109" s="198"/>
      <c r="X109" s="197">
        <f t="shared" si="100"/>
        <v>0</v>
      </c>
    </row>
    <row r="110" spans="2:25" ht="15.75" thickBot="1" x14ac:dyDescent="0.3">
      <c r="B110" s="34" t="s">
        <v>124</v>
      </c>
      <c r="C110" s="213">
        <f>C12-C27</f>
        <v>-2988.2558272884489</v>
      </c>
      <c r="D110" s="213">
        <f t="shared" ref="D110:X110" si="137">D12-D27</f>
        <v>-1791.0518348915502</v>
      </c>
      <c r="E110" s="213">
        <v>-4779.3076621799992</v>
      </c>
      <c r="F110" s="197">
        <f t="shared" si="137"/>
        <v>-7755.4591920000021</v>
      </c>
      <c r="G110" s="201">
        <f t="shared" si="137"/>
        <v>-663.57693266666729</v>
      </c>
      <c r="H110" s="201">
        <f t="shared" si="137"/>
        <v>-847.49993266666661</v>
      </c>
      <c r="I110" s="201">
        <f t="shared" si="137"/>
        <v>-877.26593266666669</v>
      </c>
      <c r="J110" s="197">
        <f t="shared" si="137"/>
        <v>-2388.3427979999997</v>
      </c>
      <c r="K110" s="201">
        <f t="shared" si="137"/>
        <v>-762.38893266666673</v>
      </c>
      <c r="L110" s="201">
        <f t="shared" si="137"/>
        <v>-641.77893266666661</v>
      </c>
      <c r="M110" s="201">
        <f t="shared" si="137"/>
        <v>-617.40893266666671</v>
      </c>
      <c r="N110" s="197">
        <f t="shared" si="137"/>
        <v>-2021.5767980000019</v>
      </c>
      <c r="O110" s="197">
        <f t="shared" si="137"/>
        <v>-4409.9195959999997</v>
      </c>
      <c r="P110" s="201">
        <f t="shared" si="137"/>
        <v>-354.15793266666651</v>
      </c>
      <c r="Q110" s="201">
        <f t="shared" si="137"/>
        <v>-385.10893266666699</v>
      </c>
      <c r="R110" s="201">
        <f t="shared" si="137"/>
        <v>-576.02593266666736</v>
      </c>
      <c r="S110" s="197">
        <f t="shared" si="137"/>
        <v>-1315.2927980000004</v>
      </c>
      <c r="T110" s="197">
        <f t="shared" si="137"/>
        <v>-5725.212394000002</v>
      </c>
      <c r="U110" s="201">
        <f t="shared" si="137"/>
        <v>-688.89193266666689</v>
      </c>
      <c r="V110" s="201">
        <f t="shared" si="137"/>
        <v>-738.77293266666629</v>
      </c>
      <c r="W110" s="201">
        <f t="shared" si="137"/>
        <v>-602.58193266666649</v>
      </c>
      <c r="X110" s="197">
        <f t="shared" si="137"/>
        <v>-2030.2467979999983</v>
      </c>
    </row>
    <row r="111" spans="2:25" ht="60.75" thickBot="1" x14ac:dyDescent="0.3">
      <c r="B111" s="34" t="s">
        <v>125</v>
      </c>
      <c r="C111" s="213"/>
      <c r="D111" s="213"/>
      <c r="E111" s="213"/>
      <c r="F111" s="197"/>
      <c r="G111" s="198"/>
      <c r="H111" s="198"/>
      <c r="I111" s="198"/>
      <c r="J111" s="197">
        <f t="shared" ref="J111:J114" si="138">G111+H111+I111</f>
        <v>0</v>
      </c>
      <c r="K111" s="198"/>
      <c r="L111" s="198"/>
      <c r="M111" s="198"/>
      <c r="N111" s="197">
        <f t="shared" ref="N111:N114" si="139">K111+L111+M111</f>
        <v>0</v>
      </c>
      <c r="O111" s="197">
        <f t="shared" ref="O111:O114" si="140">J111+N111</f>
        <v>0</v>
      </c>
      <c r="P111" s="198"/>
      <c r="Q111" s="198"/>
      <c r="R111" s="198"/>
      <c r="S111" s="197">
        <f t="shared" ref="S111:S114" si="141">P111+Q111+R111</f>
        <v>0</v>
      </c>
      <c r="T111" s="197">
        <f t="shared" ref="T111:T114" si="142">O111+S111</f>
        <v>0</v>
      </c>
      <c r="U111" s="198"/>
      <c r="V111" s="198"/>
      <c r="W111" s="198"/>
      <c r="X111" s="197">
        <f t="shared" ref="X111:X114" si="143">U111+V111+W111</f>
        <v>0</v>
      </c>
      <c r="Y111" s="59">
        <f>X110+T110</f>
        <v>-7755.4591920000003</v>
      </c>
    </row>
    <row r="112" spans="2:25" ht="30.75" thickBot="1" x14ac:dyDescent="0.3">
      <c r="B112" s="34" t="s">
        <v>126</v>
      </c>
      <c r="C112" s="213">
        <v>79</v>
      </c>
      <c r="D112" s="213">
        <v>82</v>
      </c>
      <c r="E112" s="213">
        <v>79.5</v>
      </c>
      <c r="F112" s="197">
        <f>(T112+X112)/2</f>
        <v>73.333333333333329</v>
      </c>
      <c r="G112" s="198">
        <f>21+54</f>
        <v>75</v>
      </c>
      <c r="H112" s="198">
        <f t="shared" ref="H112:I112" si="144">21+54</f>
        <v>75</v>
      </c>
      <c r="I112" s="198">
        <f t="shared" si="144"/>
        <v>75</v>
      </c>
      <c r="J112" s="197">
        <f>(G112+H112+I112)/3</f>
        <v>75</v>
      </c>
      <c r="K112" s="198">
        <f>21+54</f>
        <v>75</v>
      </c>
      <c r="L112" s="198">
        <f>21+50</f>
        <v>71</v>
      </c>
      <c r="M112" s="198">
        <f>21+50</f>
        <v>71</v>
      </c>
      <c r="N112" s="197">
        <f>(K112+L112+M112)/3</f>
        <v>72.333333333333329</v>
      </c>
      <c r="O112" s="197">
        <f>(N112+J112)/2</f>
        <v>73.666666666666657</v>
      </c>
      <c r="P112" s="198">
        <f t="shared" ref="P112:R112" si="145">21+50</f>
        <v>71</v>
      </c>
      <c r="Q112" s="198">
        <f t="shared" si="145"/>
        <v>71</v>
      </c>
      <c r="R112" s="198">
        <f t="shared" si="145"/>
        <v>71</v>
      </c>
      <c r="S112" s="197">
        <f>(P112+Q112+R112)/3</f>
        <v>71</v>
      </c>
      <c r="T112" s="197">
        <f>(O112+S112)/2</f>
        <v>72.333333333333329</v>
      </c>
      <c r="U112" s="198">
        <f>21+50+2</f>
        <v>73</v>
      </c>
      <c r="V112" s="198">
        <f t="shared" ref="V112:W112" si="146">21+54</f>
        <v>75</v>
      </c>
      <c r="W112" s="198">
        <f t="shared" si="146"/>
        <v>75</v>
      </c>
      <c r="X112" s="198">
        <f>(U112+V112+W112)/3</f>
        <v>74.333333333333329</v>
      </c>
      <c r="Y112" t="s">
        <v>90</v>
      </c>
    </row>
    <row r="113" spans="2:24" ht="30.75" thickBot="1" x14ac:dyDescent="0.3">
      <c r="B113" s="33" t="s">
        <v>127</v>
      </c>
      <c r="C113" s="213">
        <f>C88/9/C112*1000</f>
        <v>17241.811842475385</v>
      </c>
      <c r="D113" s="213">
        <f>D88/3/D112*1000</f>
        <v>21470.580406504057</v>
      </c>
      <c r="E113" s="213">
        <v>19989.867565846947</v>
      </c>
      <c r="F113" s="197">
        <f>(T113+X113)/2</f>
        <v>21789.875726895618</v>
      </c>
      <c r="G113" s="198">
        <f>(G88+G98)/G112*1000</f>
        <v>22089.106666666667</v>
      </c>
      <c r="H113" s="198">
        <f>(H88+H98)/H112*1000</f>
        <v>22089.106666666667</v>
      </c>
      <c r="I113" s="198">
        <f>(I88+I98)/I112*1000</f>
        <v>22089.106666666667</v>
      </c>
      <c r="J113" s="197">
        <f>(G113+H113+I113)/3</f>
        <v>22089.10666666667</v>
      </c>
      <c r="K113" s="198">
        <f>(K88+K98)/K112*1000</f>
        <v>22089.106666666667</v>
      </c>
      <c r="L113" s="198">
        <f>(L88+L98)/L112*1000</f>
        <v>23333.563380281688</v>
      </c>
      <c r="M113" s="198">
        <f>(M88+M98)/M112*1000</f>
        <v>23333.563380281688</v>
      </c>
      <c r="N113" s="197">
        <f>(K113+L113+M113)/3</f>
        <v>22918.744475743344</v>
      </c>
      <c r="O113" s="197">
        <f>(N113+J113)/2</f>
        <v>22503.925571205007</v>
      </c>
      <c r="P113" s="198">
        <f>(P88+P98)/P112*1000</f>
        <v>23333.563380281688</v>
      </c>
      <c r="Q113" s="198">
        <f>(Q88+Q98)/Q112*1000</f>
        <v>23333.563380281688</v>
      </c>
      <c r="R113" s="198">
        <f>(R88+R98)/R112*1000</f>
        <v>23333.563380281688</v>
      </c>
      <c r="S113" s="197">
        <v>20073.91</v>
      </c>
      <c r="T113" s="197">
        <f>(O113+S113)/2</f>
        <v>21288.917785602505</v>
      </c>
      <c r="U113" s="198">
        <f>(U88+U98)/U112*1000</f>
        <v>22694.28767123288</v>
      </c>
      <c r="V113" s="198">
        <f>(V88+V98)/V112*1000</f>
        <v>22089.106666666667</v>
      </c>
      <c r="W113" s="198">
        <f>(W88+W98)/W112*1000</f>
        <v>22089.106666666667</v>
      </c>
      <c r="X113" s="197">
        <f>(U113+V113+W113)/3</f>
        <v>22290.833668188734</v>
      </c>
    </row>
    <row r="114" spans="2:24" ht="30.75" thickBot="1" x14ac:dyDescent="0.3">
      <c r="B114" s="34" t="s">
        <v>128</v>
      </c>
      <c r="C114" s="213"/>
      <c r="D114" s="213"/>
      <c r="E114" s="213"/>
      <c r="F114" s="197"/>
      <c r="G114" s="198"/>
      <c r="H114" s="198"/>
      <c r="I114" s="198"/>
      <c r="J114" s="197">
        <f t="shared" si="138"/>
        <v>0</v>
      </c>
      <c r="K114" s="198"/>
      <c r="L114" s="198"/>
      <c r="M114" s="198"/>
      <c r="N114" s="197">
        <f t="shared" si="139"/>
        <v>0</v>
      </c>
      <c r="O114" s="197">
        <f t="shared" si="140"/>
        <v>0</v>
      </c>
      <c r="P114" s="198"/>
      <c r="Q114" s="198"/>
      <c r="R114" s="198"/>
      <c r="S114" s="197">
        <f t="shared" si="141"/>
        <v>0</v>
      </c>
      <c r="T114" s="197">
        <f t="shared" si="142"/>
        <v>0</v>
      </c>
      <c r="U114" s="198"/>
      <c r="V114" s="198"/>
      <c r="W114" s="198"/>
      <c r="X114" s="197">
        <f t="shared" si="143"/>
        <v>0</v>
      </c>
    </row>
    <row r="115" spans="2:24" x14ac:dyDescent="0.25">
      <c r="B115" s="1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</row>
    <row r="116" spans="2:24" x14ac:dyDescent="0.25"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</row>
    <row r="117" spans="2:24" ht="11.25" customHeight="1" x14ac:dyDescent="0.25">
      <c r="B117" s="241"/>
      <c r="C117" s="241"/>
      <c r="D117" s="241"/>
      <c r="E117" s="241"/>
      <c r="F117" s="241"/>
    </row>
    <row r="118" spans="2:24" x14ac:dyDescent="0.25">
      <c r="E118" s="59"/>
    </row>
    <row r="119" spans="2:24" x14ac:dyDescent="0.25">
      <c r="C119" t="s">
        <v>98</v>
      </c>
      <c r="H119" t="s">
        <v>120</v>
      </c>
    </row>
    <row r="121" spans="2:24" hidden="1" x14ac:dyDescent="0.25"/>
    <row r="122" spans="2:24" hidden="1" x14ac:dyDescent="0.25"/>
    <row r="123" spans="2:24" x14ac:dyDescent="0.25">
      <c r="C123" t="s">
        <v>97</v>
      </c>
      <c r="G123" t="s">
        <v>119</v>
      </c>
    </row>
  </sheetData>
  <mergeCells count="11">
    <mergeCell ref="B117:F117"/>
    <mergeCell ref="K3:M3"/>
    <mergeCell ref="B8:B10"/>
    <mergeCell ref="E8:E10"/>
    <mergeCell ref="F8:X8"/>
    <mergeCell ref="F9:F10"/>
    <mergeCell ref="G9:X9"/>
    <mergeCell ref="F4:V4"/>
    <mergeCell ref="F5:U5"/>
    <mergeCell ref="C8:C10"/>
    <mergeCell ref="D8:D10"/>
  </mergeCells>
  <printOptions horizontalCentered="1"/>
  <pageMargins left="0" right="0" top="1.1811023622047245" bottom="0" header="0" footer="0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topLeftCell="A31" workbookViewId="0">
      <selection activeCell="S54" sqref="S54"/>
    </sheetView>
  </sheetViews>
  <sheetFormatPr defaultRowHeight="15" x14ac:dyDescent="0.25"/>
  <cols>
    <col min="3" max="3" width="24.28515625" customWidth="1"/>
    <col min="8" max="8" width="13.5703125" customWidth="1"/>
    <col min="13" max="13" width="14.7109375" customWidth="1"/>
    <col min="18" max="18" width="12.5703125" customWidth="1"/>
    <col min="19" max="19" width="12" customWidth="1"/>
    <col min="20" max="20" width="11.7109375" customWidth="1"/>
    <col min="22" max="22" width="10.5703125" customWidth="1"/>
    <col min="23" max="23" width="11.140625" customWidth="1"/>
  </cols>
  <sheetData>
    <row r="1" spans="1:23" x14ac:dyDescent="0.25">
      <c r="A1" s="85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7"/>
      <c r="Q1" s="85"/>
      <c r="R1" s="85"/>
      <c r="S1" s="85"/>
      <c r="T1" s="85"/>
      <c r="U1" s="85"/>
      <c r="V1" s="85"/>
      <c r="W1" s="88"/>
    </row>
    <row r="2" spans="1:23" x14ac:dyDescent="0.25">
      <c r="A2" s="89" t="s">
        <v>141</v>
      </c>
      <c r="B2" s="90"/>
      <c r="C2" s="90"/>
      <c r="D2" s="90"/>
      <c r="E2" s="90"/>
      <c r="F2" s="90"/>
      <c r="G2" s="90"/>
      <c r="H2" s="90"/>
      <c r="I2" s="90"/>
      <c r="J2" s="90"/>
      <c r="K2" s="85"/>
      <c r="L2" s="85"/>
      <c r="M2" s="85"/>
      <c r="N2" s="85"/>
      <c r="O2" s="85"/>
      <c r="P2" s="87"/>
      <c r="Q2" s="85"/>
      <c r="R2" s="85"/>
      <c r="S2" s="85"/>
      <c r="T2" s="85"/>
      <c r="U2" s="85"/>
      <c r="V2" s="85"/>
      <c r="W2" s="88"/>
    </row>
    <row r="3" spans="1:23" x14ac:dyDescent="0.25">
      <c r="A3" s="252" t="s">
        <v>142</v>
      </c>
      <c r="B3" s="253"/>
      <c r="C3" s="253"/>
      <c r="D3" s="253"/>
      <c r="E3" s="253"/>
      <c r="F3" s="90"/>
      <c r="G3" s="90"/>
      <c r="H3" s="90"/>
      <c r="I3" s="90"/>
      <c r="J3" s="90"/>
      <c r="K3" s="85"/>
      <c r="L3" s="85"/>
      <c r="M3" s="85"/>
      <c r="N3" s="85"/>
      <c r="O3" s="85"/>
      <c r="P3" s="87"/>
      <c r="Q3" s="85"/>
      <c r="R3" s="85"/>
      <c r="S3" s="85"/>
      <c r="T3" s="85"/>
      <c r="U3" s="85"/>
      <c r="V3" s="85"/>
      <c r="W3" s="88"/>
    </row>
    <row r="4" spans="1:23" ht="29.25" x14ac:dyDescent="0.25">
      <c r="A4" s="91"/>
      <c r="B4" s="92"/>
      <c r="C4" s="92" t="s">
        <v>143</v>
      </c>
      <c r="D4" s="92"/>
      <c r="E4" s="90"/>
      <c r="F4" s="90"/>
      <c r="G4" s="90"/>
      <c r="H4" s="85"/>
      <c r="I4" s="85"/>
      <c r="J4" s="85"/>
      <c r="K4" s="85"/>
      <c r="L4" s="85"/>
      <c r="M4" s="85"/>
      <c r="N4" s="85"/>
      <c r="O4" s="85"/>
      <c r="P4" s="87"/>
      <c r="Q4" s="85"/>
      <c r="R4" s="85"/>
      <c r="S4" s="85"/>
      <c r="T4" s="85"/>
      <c r="U4" s="85"/>
      <c r="V4" s="85"/>
      <c r="W4" s="88"/>
    </row>
    <row r="5" spans="1:23" ht="42.75" x14ac:dyDescent="0.25">
      <c r="A5" s="254" t="s">
        <v>144</v>
      </c>
      <c r="B5" s="250" t="s">
        <v>22</v>
      </c>
      <c r="C5" s="257"/>
      <c r="D5" s="254" t="s">
        <v>145</v>
      </c>
      <c r="E5" s="93"/>
      <c r="F5" s="94"/>
      <c r="G5" s="94"/>
      <c r="H5" s="247" t="s">
        <v>146</v>
      </c>
      <c r="I5" s="94"/>
      <c r="J5" s="94"/>
      <c r="K5" s="94"/>
      <c r="L5" s="247" t="s">
        <v>147</v>
      </c>
      <c r="M5" s="247" t="s">
        <v>148</v>
      </c>
      <c r="N5" s="94"/>
      <c r="O5" s="94"/>
      <c r="P5" s="95"/>
      <c r="Q5" s="96" t="s">
        <v>149</v>
      </c>
      <c r="R5" s="247" t="s">
        <v>150</v>
      </c>
      <c r="S5" s="94"/>
      <c r="T5" s="94"/>
      <c r="U5" s="94"/>
      <c r="V5" s="247" t="s">
        <v>151</v>
      </c>
      <c r="W5" s="268" t="s">
        <v>152</v>
      </c>
    </row>
    <row r="6" spans="1:23" x14ac:dyDescent="0.25">
      <c r="A6" s="255"/>
      <c r="B6" s="258"/>
      <c r="C6" s="259"/>
      <c r="D6" s="262"/>
      <c r="E6" s="254" t="s">
        <v>2</v>
      </c>
      <c r="F6" s="254" t="s">
        <v>3</v>
      </c>
      <c r="G6" s="254" t="s">
        <v>4</v>
      </c>
      <c r="H6" s="248"/>
      <c r="I6" s="264" t="s">
        <v>11</v>
      </c>
      <c r="J6" s="254" t="s">
        <v>12</v>
      </c>
      <c r="K6" s="250" t="s">
        <v>13</v>
      </c>
      <c r="L6" s="248"/>
      <c r="M6" s="266"/>
      <c r="N6" s="264" t="s">
        <v>14</v>
      </c>
      <c r="O6" s="254" t="s">
        <v>15</v>
      </c>
      <c r="P6" s="270" t="s">
        <v>16</v>
      </c>
      <c r="Q6" s="97"/>
      <c r="R6" s="266"/>
      <c r="S6" s="264" t="s">
        <v>17</v>
      </c>
      <c r="T6" s="254" t="s">
        <v>18</v>
      </c>
      <c r="U6" s="250" t="s">
        <v>19</v>
      </c>
      <c r="V6" s="248"/>
      <c r="W6" s="269"/>
    </row>
    <row r="7" spans="1:23" x14ac:dyDescent="0.25">
      <c r="A7" s="256"/>
      <c r="B7" s="260"/>
      <c r="C7" s="261"/>
      <c r="D7" s="263"/>
      <c r="E7" s="256"/>
      <c r="F7" s="256"/>
      <c r="G7" s="256"/>
      <c r="H7" s="249"/>
      <c r="I7" s="265"/>
      <c r="J7" s="256"/>
      <c r="K7" s="251"/>
      <c r="L7" s="249"/>
      <c r="M7" s="267"/>
      <c r="N7" s="265"/>
      <c r="O7" s="256"/>
      <c r="P7" s="271"/>
      <c r="Q7" s="98"/>
      <c r="R7" s="267"/>
      <c r="S7" s="265"/>
      <c r="T7" s="256"/>
      <c r="U7" s="251"/>
      <c r="V7" s="249"/>
      <c r="W7" s="269"/>
    </row>
    <row r="8" spans="1:23" x14ac:dyDescent="0.25">
      <c r="A8" s="99" t="s">
        <v>153</v>
      </c>
      <c r="B8" s="100"/>
      <c r="C8" s="100"/>
      <c r="D8" s="100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2"/>
      <c r="R8" s="102"/>
      <c r="S8" s="102"/>
      <c r="T8" s="102"/>
      <c r="U8" s="102"/>
      <c r="V8" s="102"/>
      <c r="W8" s="104"/>
    </row>
    <row r="9" spans="1:23" x14ac:dyDescent="0.25">
      <c r="A9" s="105" t="s">
        <v>154</v>
      </c>
      <c r="B9" s="273" t="s">
        <v>155</v>
      </c>
      <c r="C9" s="273"/>
      <c r="D9" s="106" t="s">
        <v>156</v>
      </c>
      <c r="E9" s="107">
        <f>0.096+0.02985</f>
        <v>0.12585000000000002</v>
      </c>
      <c r="F9" s="107">
        <f>0.075+0.02985</f>
        <v>0.10485</v>
      </c>
      <c r="G9" s="107">
        <f>0.064+0.02985</f>
        <v>9.3850000000000003E-2</v>
      </c>
      <c r="H9" s="108">
        <f>H11+H10</f>
        <v>0.32455000000000001</v>
      </c>
      <c r="I9" s="108">
        <f>0.064+0.02985</f>
        <v>9.3850000000000003E-2</v>
      </c>
      <c r="J9" s="108">
        <f>J11+J10</f>
        <v>0</v>
      </c>
      <c r="K9" s="108">
        <f>K11+K10</f>
        <v>0</v>
      </c>
      <c r="L9" s="109">
        <f>SUM(I9:K9)</f>
        <v>9.3850000000000003E-2</v>
      </c>
      <c r="M9" s="109">
        <f>L9+H9</f>
        <v>0.41839999999999999</v>
      </c>
      <c r="N9" s="108">
        <f>N11+N10</f>
        <v>0</v>
      </c>
      <c r="O9" s="108">
        <f>O11+O10</f>
        <v>0</v>
      </c>
      <c r="P9" s="108">
        <f>P11+P10</f>
        <v>0</v>
      </c>
      <c r="Q9" s="109">
        <f>P9+O9+N9</f>
        <v>0</v>
      </c>
      <c r="R9" s="109">
        <f>Q9+M9</f>
        <v>0.41839999999999999</v>
      </c>
      <c r="S9" s="108">
        <f>0.021+0.02985</f>
        <v>5.0850000000000006E-2</v>
      </c>
      <c r="T9" s="108">
        <f>0.053+0.02985</f>
        <v>8.2850000000000007E-2</v>
      </c>
      <c r="U9" s="108">
        <f>0.064+0.02985</f>
        <v>9.3850000000000003E-2</v>
      </c>
      <c r="V9" s="109">
        <f>U9+T9+S9</f>
        <v>0.22755000000000003</v>
      </c>
      <c r="W9" s="110">
        <f>V9+R9</f>
        <v>0.64595000000000002</v>
      </c>
    </row>
    <row r="10" spans="1:23" x14ac:dyDescent="0.25">
      <c r="A10" s="111" t="s">
        <v>157</v>
      </c>
      <c r="B10" s="274" t="s">
        <v>158</v>
      </c>
      <c r="C10" s="274"/>
      <c r="D10" s="112" t="s">
        <v>156</v>
      </c>
      <c r="E10" s="113">
        <f>E9*4.36%</f>
        <v>5.4870600000000011E-3</v>
      </c>
      <c r="F10" s="113">
        <f>F9*4.36%</f>
        <v>4.5714600000000003E-3</v>
      </c>
      <c r="G10" s="114">
        <f>G9*4.36%</f>
        <v>4.0918600000000001E-3</v>
      </c>
      <c r="H10" s="115">
        <f t="shared" ref="H10:H73" si="0">SUM(E10:G10)</f>
        <v>1.4150380000000001E-2</v>
      </c>
      <c r="I10" s="113">
        <f>I9*4.36%</f>
        <v>4.0918600000000001E-3</v>
      </c>
      <c r="J10" s="113">
        <v>0</v>
      </c>
      <c r="K10" s="114">
        <v>0</v>
      </c>
      <c r="L10" s="115">
        <f t="shared" ref="L10:L73" si="1">SUM(I10:K10)</f>
        <v>4.0918600000000001E-3</v>
      </c>
      <c r="M10" s="115">
        <f t="shared" ref="M10:M73" si="2">L10+H10</f>
        <v>1.824224E-2</v>
      </c>
      <c r="N10" s="113">
        <v>0</v>
      </c>
      <c r="O10" s="113">
        <v>0</v>
      </c>
      <c r="P10" s="114">
        <v>0</v>
      </c>
      <c r="Q10" s="115">
        <f t="shared" ref="Q10:Q73" si="3">SUM(N10:P10)</f>
        <v>0</v>
      </c>
      <c r="R10" s="116">
        <f t="shared" ref="R10:R73" si="4">Q10+M10</f>
        <v>1.824224E-2</v>
      </c>
      <c r="S10" s="113">
        <f>S9*4.36%</f>
        <v>2.2170600000000003E-3</v>
      </c>
      <c r="T10" s="113">
        <f>T9*4.36%</f>
        <v>3.6122600000000004E-3</v>
      </c>
      <c r="U10" s="114">
        <f>U9*4.36%</f>
        <v>4.0918600000000001E-3</v>
      </c>
      <c r="V10" s="115">
        <f t="shared" ref="V10:V73" si="5">SUM(S10:U10)</f>
        <v>9.9211800000000017E-3</v>
      </c>
      <c r="W10" s="117">
        <f t="shared" ref="W10:W73" si="6">V10+R10</f>
        <v>2.8163420000000002E-2</v>
      </c>
    </row>
    <row r="11" spans="1:23" x14ac:dyDescent="0.25">
      <c r="A11" s="118" t="s">
        <v>159</v>
      </c>
      <c r="B11" s="275" t="s">
        <v>160</v>
      </c>
      <c r="C11" s="276"/>
      <c r="D11" s="112" t="s">
        <v>156</v>
      </c>
      <c r="E11" s="116">
        <f>E9-E10</f>
        <v>0.12036294000000002</v>
      </c>
      <c r="F11" s="116">
        <f>F9-F10</f>
        <v>0.10027854</v>
      </c>
      <c r="G11" s="116">
        <f>G9-G10</f>
        <v>8.975814E-2</v>
      </c>
      <c r="H11" s="116">
        <f t="shared" si="0"/>
        <v>0.31039961999999999</v>
      </c>
      <c r="I11" s="116">
        <f>I9-I10</f>
        <v>8.975814E-2</v>
      </c>
      <c r="J11" s="116">
        <f>J14+J12</f>
        <v>0</v>
      </c>
      <c r="K11" s="116">
        <f>K14+K12</f>
        <v>0</v>
      </c>
      <c r="L11" s="116">
        <f t="shared" si="1"/>
        <v>8.975814E-2</v>
      </c>
      <c r="M11" s="116">
        <f t="shared" si="2"/>
        <v>0.40015775999999997</v>
      </c>
      <c r="N11" s="116">
        <v>0</v>
      </c>
      <c r="O11" s="116">
        <v>0</v>
      </c>
      <c r="P11" s="116">
        <v>0</v>
      </c>
      <c r="Q11" s="116">
        <f t="shared" si="3"/>
        <v>0</v>
      </c>
      <c r="R11" s="116">
        <f t="shared" si="4"/>
        <v>0.40015775999999997</v>
      </c>
      <c r="S11" s="116">
        <f>S9-S10</f>
        <v>4.8632940000000006E-2</v>
      </c>
      <c r="T11" s="116">
        <f>T9-T10</f>
        <v>7.9237740000000001E-2</v>
      </c>
      <c r="U11" s="116">
        <f>U9-U10</f>
        <v>8.975814E-2</v>
      </c>
      <c r="V11" s="116">
        <f t="shared" si="5"/>
        <v>0.21762882</v>
      </c>
      <c r="W11" s="119">
        <f t="shared" si="6"/>
        <v>0.61778657999999997</v>
      </c>
    </row>
    <row r="12" spans="1:23" x14ac:dyDescent="0.25">
      <c r="A12" s="111" t="s">
        <v>161</v>
      </c>
      <c r="B12" s="277" t="s">
        <v>162</v>
      </c>
      <c r="C12" s="278"/>
      <c r="D12" s="112" t="s">
        <v>156</v>
      </c>
      <c r="E12" s="120">
        <f>E11*2%</f>
        <v>2.4072588000000005E-3</v>
      </c>
      <c r="F12" s="120">
        <f>F11*2%</f>
        <v>2.0055708000000002E-3</v>
      </c>
      <c r="G12" s="120">
        <f>G11*2%</f>
        <v>1.7951627999999999E-3</v>
      </c>
      <c r="H12" s="121">
        <f t="shared" si="0"/>
        <v>6.2079924000000009E-3</v>
      </c>
      <c r="I12" s="120">
        <f>I11*2%</f>
        <v>1.7951627999999999E-3</v>
      </c>
      <c r="J12" s="120"/>
      <c r="K12" s="120">
        <v>0</v>
      </c>
      <c r="L12" s="115">
        <f t="shared" si="1"/>
        <v>1.7951627999999999E-3</v>
      </c>
      <c r="M12" s="115">
        <f t="shared" si="2"/>
        <v>8.0031552000000006E-3</v>
      </c>
      <c r="N12" s="120">
        <v>0</v>
      </c>
      <c r="O12" s="120">
        <v>0</v>
      </c>
      <c r="P12" s="120">
        <v>0</v>
      </c>
      <c r="Q12" s="115">
        <f t="shared" si="3"/>
        <v>0</v>
      </c>
      <c r="R12" s="116">
        <f t="shared" si="4"/>
        <v>8.0031552000000006E-3</v>
      </c>
      <c r="S12" s="120">
        <f>S11*2%</f>
        <v>9.7265880000000011E-4</v>
      </c>
      <c r="T12" s="120">
        <f>T11*2%</f>
        <v>1.5847548000000001E-3</v>
      </c>
      <c r="U12" s="120">
        <f>U11*2%</f>
        <v>1.7951627999999999E-3</v>
      </c>
      <c r="V12" s="115">
        <f t="shared" si="5"/>
        <v>4.3525764000000005E-3</v>
      </c>
      <c r="W12" s="117">
        <f t="shared" si="6"/>
        <v>1.2355731600000001E-2</v>
      </c>
    </row>
    <row r="13" spans="1:23" x14ac:dyDescent="0.25">
      <c r="A13" s="111" t="s">
        <v>163</v>
      </c>
      <c r="B13" s="277" t="s">
        <v>164</v>
      </c>
      <c r="C13" s="278"/>
      <c r="D13" s="112" t="s">
        <v>156</v>
      </c>
      <c r="E13" s="116">
        <f>E11-E12</f>
        <v>0.11795568120000001</v>
      </c>
      <c r="F13" s="116">
        <f>F11-F12</f>
        <v>9.8272969200000004E-2</v>
      </c>
      <c r="G13" s="116">
        <f>G11-G12</f>
        <v>8.79629772E-2</v>
      </c>
      <c r="H13" s="116">
        <v>0.30499999999999999</v>
      </c>
      <c r="I13" s="116">
        <f>I11-I12</f>
        <v>8.79629772E-2</v>
      </c>
      <c r="J13" s="116"/>
      <c r="K13" s="116"/>
      <c r="L13" s="121">
        <f t="shared" si="1"/>
        <v>8.79629772E-2</v>
      </c>
      <c r="M13" s="121">
        <v>0.39400000000000002</v>
      </c>
      <c r="N13" s="116"/>
      <c r="O13" s="116"/>
      <c r="P13" s="116"/>
      <c r="Q13" s="121">
        <f t="shared" si="3"/>
        <v>0</v>
      </c>
      <c r="R13" s="121">
        <f t="shared" si="4"/>
        <v>0.39400000000000002</v>
      </c>
      <c r="S13" s="116">
        <f>S15+S16</f>
        <v>3.4079999999999999E-2</v>
      </c>
      <c r="T13" s="116">
        <f>T11-T12</f>
        <v>7.7652985199999996E-2</v>
      </c>
      <c r="U13" s="116">
        <f>U11-U12</f>
        <v>8.79629772E-2</v>
      </c>
      <c r="V13" s="116">
        <v>0.20100000000000001</v>
      </c>
      <c r="W13" s="119">
        <f>V13+R13</f>
        <v>0.59499999999999997</v>
      </c>
    </row>
    <row r="14" spans="1:23" x14ac:dyDescent="0.25">
      <c r="A14" s="118" t="s">
        <v>165</v>
      </c>
      <c r="B14" s="275" t="s">
        <v>166</v>
      </c>
      <c r="C14" s="276"/>
      <c r="D14" s="112" t="s">
        <v>156</v>
      </c>
      <c r="E14" s="116">
        <f>E15+E16</f>
        <v>0.11841</v>
      </c>
      <c r="F14" s="116">
        <f>F15+F16</f>
        <v>9.8410000000000011E-2</v>
      </c>
      <c r="G14" s="116">
        <f>G15+G16</f>
        <v>8.8410000000000002E-2</v>
      </c>
      <c r="H14" s="116">
        <f t="shared" si="0"/>
        <v>0.30523</v>
      </c>
      <c r="I14" s="116">
        <f>I15+I16</f>
        <v>8.8410000000000002E-2</v>
      </c>
      <c r="J14" s="116">
        <v>0</v>
      </c>
      <c r="K14" s="116">
        <v>0</v>
      </c>
      <c r="L14" s="116">
        <f t="shared" si="1"/>
        <v>8.8410000000000002E-2</v>
      </c>
      <c r="M14" s="116">
        <f t="shared" si="2"/>
        <v>0.39363999999999999</v>
      </c>
      <c r="N14" s="116">
        <v>0</v>
      </c>
      <c r="O14" s="116">
        <v>0</v>
      </c>
      <c r="P14" s="116">
        <v>0</v>
      </c>
      <c r="Q14" s="116">
        <f t="shared" si="3"/>
        <v>0</v>
      </c>
      <c r="R14" s="116">
        <f t="shared" si="4"/>
        <v>0.39363999999999999</v>
      </c>
      <c r="S14" s="116">
        <f>S15+S16</f>
        <v>3.4079999999999999E-2</v>
      </c>
      <c r="T14" s="116">
        <f>T15+T16</f>
        <v>7.8410000000000007E-2</v>
      </c>
      <c r="U14" s="116">
        <f>U15+U16</f>
        <v>8.8410000000000002E-2</v>
      </c>
      <c r="V14" s="116">
        <f>SUM(S14:U14)</f>
        <v>0.20090000000000002</v>
      </c>
      <c r="W14" s="116">
        <f t="shared" si="6"/>
        <v>0.59454000000000007</v>
      </c>
    </row>
    <row r="15" spans="1:23" x14ac:dyDescent="0.25">
      <c r="A15" s="122" t="s">
        <v>167</v>
      </c>
      <c r="B15" s="274" t="s">
        <v>168</v>
      </c>
      <c r="C15" s="274"/>
      <c r="D15" s="112" t="s">
        <v>156</v>
      </c>
      <c r="E15" s="113">
        <v>0</v>
      </c>
      <c r="F15" s="113">
        <v>0</v>
      </c>
      <c r="G15" s="114">
        <v>0</v>
      </c>
      <c r="H15" s="115">
        <f t="shared" si="0"/>
        <v>0</v>
      </c>
      <c r="I15" s="113">
        <v>0</v>
      </c>
      <c r="J15" s="113">
        <v>0</v>
      </c>
      <c r="K15" s="114">
        <v>0</v>
      </c>
      <c r="L15" s="115">
        <f t="shared" si="1"/>
        <v>0</v>
      </c>
      <c r="M15" s="115">
        <f t="shared" si="2"/>
        <v>0</v>
      </c>
      <c r="N15" s="113">
        <v>0</v>
      </c>
      <c r="O15" s="113">
        <v>0</v>
      </c>
      <c r="P15" s="113">
        <v>0</v>
      </c>
      <c r="Q15" s="115">
        <f t="shared" si="3"/>
        <v>0</v>
      </c>
      <c r="R15" s="115">
        <f t="shared" si="4"/>
        <v>0</v>
      </c>
      <c r="S15" s="113">
        <v>0</v>
      </c>
      <c r="T15" s="113">
        <v>0</v>
      </c>
      <c r="U15" s="114">
        <v>0</v>
      </c>
      <c r="V15" s="115">
        <f t="shared" si="5"/>
        <v>0</v>
      </c>
      <c r="W15" s="117">
        <f t="shared" si="6"/>
        <v>0</v>
      </c>
    </row>
    <row r="16" spans="1:23" x14ac:dyDescent="0.25">
      <c r="A16" s="122" t="s">
        <v>169</v>
      </c>
      <c r="B16" s="274" t="s">
        <v>170</v>
      </c>
      <c r="C16" s="274"/>
      <c r="D16" s="112" t="s">
        <v>156</v>
      </c>
      <c r="E16" s="120">
        <f t="shared" ref="E16:U16" si="7">E17+E18+E19</f>
        <v>0.11841</v>
      </c>
      <c r="F16" s="120">
        <f t="shared" si="7"/>
        <v>9.8410000000000011E-2</v>
      </c>
      <c r="G16" s="120">
        <f t="shared" si="7"/>
        <v>8.8410000000000002E-2</v>
      </c>
      <c r="H16" s="120">
        <f t="shared" si="0"/>
        <v>0.30523</v>
      </c>
      <c r="I16" s="120">
        <f t="shared" si="7"/>
        <v>8.8410000000000002E-2</v>
      </c>
      <c r="J16" s="120">
        <f t="shared" si="7"/>
        <v>0</v>
      </c>
      <c r="K16" s="120">
        <v>0</v>
      </c>
      <c r="L16" s="120">
        <f t="shared" si="1"/>
        <v>8.8410000000000002E-2</v>
      </c>
      <c r="M16" s="120">
        <f t="shared" si="2"/>
        <v>0.39363999999999999</v>
      </c>
      <c r="N16" s="120">
        <v>0</v>
      </c>
      <c r="O16" s="120">
        <v>0</v>
      </c>
      <c r="P16" s="120">
        <f t="shared" si="7"/>
        <v>0</v>
      </c>
      <c r="Q16" s="120">
        <f t="shared" si="3"/>
        <v>0</v>
      </c>
      <c r="R16" s="120">
        <f t="shared" si="4"/>
        <v>0.39363999999999999</v>
      </c>
      <c r="S16" s="120">
        <f t="shared" si="7"/>
        <v>3.4079999999999999E-2</v>
      </c>
      <c r="T16" s="120">
        <f t="shared" si="7"/>
        <v>7.8410000000000007E-2</v>
      </c>
      <c r="U16" s="120">
        <f t="shared" si="7"/>
        <v>8.8410000000000002E-2</v>
      </c>
      <c r="V16" s="120">
        <f t="shared" si="5"/>
        <v>0.20090000000000002</v>
      </c>
      <c r="W16" s="120">
        <f t="shared" si="6"/>
        <v>0.59454000000000007</v>
      </c>
    </row>
    <row r="17" spans="1:23" x14ac:dyDescent="0.25">
      <c r="A17" s="122" t="s">
        <v>171</v>
      </c>
      <c r="B17" s="277" t="s">
        <v>172</v>
      </c>
      <c r="C17" s="278"/>
      <c r="D17" s="112" t="s">
        <v>156</v>
      </c>
      <c r="E17" s="113">
        <f>0.09+0.02841</f>
        <v>0.11841</v>
      </c>
      <c r="F17" s="113">
        <f>0.07+0.02841</f>
        <v>9.8410000000000011E-2</v>
      </c>
      <c r="G17" s="114">
        <f>0.06+0.02841</f>
        <v>8.8410000000000002E-2</v>
      </c>
      <c r="H17" s="115">
        <f t="shared" si="0"/>
        <v>0.30523</v>
      </c>
      <c r="I17" s="113">
        <f>0.06+0.02841</f>
        <v>8.8410000000000002E-2</v>
      </c>
      <c r="J17" s="113">
        <v>0</v>
      </c>
      <c r="K17" s="114">
        <v>0</v>
      </c>
      <c r="L17" s="115">
        <f t="shared" si="1"/>
        <v>8.8410000000000002E-2</v>
      </c>
      <c r="M17" s="115">
        <f t="shared" si="2"/>
        <v>0.39363999999999999</v>
      </c>
      <c r="N17" s="113">
        <v>0</v>
      </c>
      <c r="O17" s="113">
        <v>0</v>
      </c>
      <c r="P17" s="113">
        <v>0</v>
      </c>
      <c r="Q17" s="115">
        <f t="shared" si="3"/>
        <v>0</v>
      </c>
      <c r="R17" s="115">
        <f t="shared" si="4"/>
        <v>0.39363999999999999</v>
      </c>
      <c r="S17" s="113">
        <f>0.02+0.02841-0.01433</f>
        <v>3.4079999999999999E-2</v>
      </c>
      <c r="T17" s="113">
        <f>0.05+0.02841</f>
        <v>7.8410000000000007E-2</v>
      </c>
      <c r="U17" s="114">
        <f>0.06+0.02841</f>
        <v>8.8410000000000002E-2</v>
      </c>
      <c r="V17" s="115">
        <f t="shared" si="5"/>
        <v>0.20090000000000002</v>
      </c>
      <c r="W17" s="117">
        <f t="shared" si="6"/>
        <v>0.59454000000000007</v>
      </c>
    </row>
    <row r="18" spans="1:23" x14ac:dyDescent="0.25">
      <c r="A18" s="122" t="s">
        <v>173</v>
      </c>
      <c r="B18" s="277" t="s">
        <v>174</v>
      </c>
      <c r="C18" s="278"/>
      <c r="D18" s="112" t="s">
        <v>156</v>
      </c>
      <c r="E18" s="113">
        <v>0</v>
      </c>
      <c r="F18" s="113">
        <v>0</v>
      </c>
      <c r="G18" s="114">
        <v>0</v>
      </c>
      <c r="H18" s="115">
        <f t="shared" si="0"/>
        <v>0</v>
      </c>
      <c r="I18" s="113">
        <v>0</v>
      </c>
      <c r="J18" s="113">
        <v>0</v>
      </c>
      <c r="K18" s="114">
        <v>0</v>
      </c>
      <c r="L18" s="115">
        <f t="shared" si="1"/>
        <v>0</v>
      </c>
      <c r="M18" s="115">
        <f t="shared" si="2"/>
        <v>0</v>
      </c>
      <c r="N18" s="113">
        <v>0</v>
      </c>
      <c r="O18" s="113">
        <v>0</v>
      </c>
      <c r="P18" s="113">
        <v>0</v>
      </c>
      <c r="Q18" s="115">
        <f t="shared" si="3"/>
        <v>0</v>
      </c>
      <c r="R18" s="115">
        <f t="shared" si="4"/>
        <v>0</v>
      </c>
      <c r="S18" s="113">
        <v>0</v>
      </c>
      <c r="T18" s="113">
        <v>0</v>
      </c>
      <c r="U18" s="114">
        <v>0</v>
      </c>
      <c r="V18" s="115">
        <f t="shared" si="5"/>
        <v>0</v>
      </c>
      <c r="W18" s="117">
        <f t="shared" si="6"/>
        <v>0</v>
      </c>
    </row>
    <row r="19" spans="1:23" x14ac:dyDescent="0.25">
      <c r="A19" s="122" t="s">
        <v>175</v>
      </c>
      <c r="B19" s="277" t="s">
        <v>176</v>
      </c>
      <c r="C19" s="278"/>
      <c r="D19" s="112" t="s">
        <v>156</v>
      </c>
      <c r="E19" s="113">
        <v>0</v>
      </c>
      <c r="F19" s="113">
        <v>0</v>
      </c>
      <c r="G19" s="114">
        <v>0</v>
      </c>
      <c r="H19" s="115">
        <f t="shared" si="0"/>
        <v>0</v>
      </c>
      <c r="I19" s="113">
        <v>0</v>
      </c>
      <c r="J19" s="113">
        <v>0</v>
      </c>
      <c r="K19" s="114">
        <v>0</v>
      </c>
      <c r="L19" s="115">
        <f t="shared" si="1"/>
        <v>0</v>
      </c>
      <c r="M19" s="115">
        <f t="shared" si="2"/>
        <v>0</v>
      </c>
      <c r="N19" s="113">
        <v>0</v>
      </c>
      <c r="O19" s="113">
        <v>0</v>
      </c>
      <c r="P19" s="113">
        <v>0</v>
      </c>
      <c r="Q19" s="115">
        <f t="shared" si="3"/>
        <v>0</v>
      </c>
      <c r="R19" s="115">
        <f t="shared" si="4"/>
        <v>0</v>
      </c>
      <c r="S19" s="113">
        <v>0</v>
      </c>
      <c r="T19" s="113">
        <v>0</v>
      </c>
      <c r="U19" s="114">
        <v>0</v>
      </c>
      <c r="V19" s="115">
        <f t="shared" si="5"/>
        <v>0</v>
      </c>
      <c r="W19" s="117">
        <f t="shared" si="6"/>
        <v>0</v>
      </c>
    </row>
    <row r="20" spans="1:23" ht="15.75" thickBot="1" x14ac:dyDescent="0.3">
      <c r="A20" s="123" t="s">
        <v>177</v>
      </c>
      <c r="B20" s="272" t="s">
        <v>178</v>
      </c>
      <c r="C20" s="272"/>
      <c r="D20" s="112" t="s">
        <v>156</v>
      </c>
      <c r="E20" s="124">
        <v>0</v>
      </c>
      <c r="F20" s="124">
        <v>0</v>
      </c>
      <c r="G20" s="124">
        <v>0</v>
      </c>
      <c r="H20" s="125">
        <f t="shared" si="0"/>
        <v>0</v>
      </c>
      <c r="I20" s="124">
        <v>0</v>
      </c>
      <c r="J20" s="124">
        <v>0</v>
      </c>
      <c r="K20" s="124">
        <f>K14-K15-K16</f>
        <v>0</v>
      </c>
      <c r="L20" s="125">
        <f t="shared" si="1"/>
        <v>0</v>
      </c>
      <c r="M20" s="125">
        <f t="shared" si="2"/>
        <v>0</v>
      </c>
      <c r="N20" s="124">
        <f>N14-N15-N16</f>
        <v>0</v>
      </c>
      <c r="O20" s="124">
        <f>O14-O15-O16</f>
        <v>0</v>
      </c>
      <c r="P20" s="124">
        <f>P14-P15-P16</f>
        <v>0</v>
      </c>
      <c r="Q20" s="125">
        <f t="shared" si="3"/>
        <v>0</v>
      </c>
      <c r="R20" s="125">
        <f t="shared" si="4"/>
        <v>0</v>
      </c>
      <c r="S20" s="124">
        <v>0</v>
      </c>
      <c r="T20" s="124">
        <v>0</v>
      </c>
      <c r="U20" s="124">
        <v>0</v>
      </c>
      <c r="V20" s="125">
        <f t="shared" si="5"/>
        <v>0</v>
      </c>
      <c r="W20" s="126">
        <f t="shared" si="6"/>
        <v>0</v>
      </c>
    </row>
    <row r="21" spans="1:23" ht="15.75" thickBot="1" x14ac:dyDescent="0.3">
      <c r="A21" s="127" t="s">
        <v>179</v>
      </c>
      <c r="B21" s="281" t="s">
        <v>34</v>
      </c>
      <c r="C21" s="128" t="s">
        <v>180</v>
      </c>
      <c r="D21" s="129" t="s">
        <v>181</v>
      </c>
      <c r="E21" s="130">
        <f>E9*44.86</f>
        <v>5.6456310000000007</v>
      </c>
      <c r="F21" s="130">
        <f>F9*44.86</f>
        <v>4.7035710000000002</v>
      </c>
      <c r="G21" s="114">
        <f>G9*44.86</f>
        <v>4.2101110000000004</v>
      </c>
      <c r="H21" s="125">
        <f t="shared" si="0"/>
        <v>14.559313000000003</v>
      </c>
      <c r="I21" s="130">
        <f>I9*44.86</f>
        <v>4.2101110000000004</v>
      </c>
      <c r="J21" s="130">
        <v>0</v>
      </c>
      <c r="K21" s="114">
        <v>0</v>
      </c>
      <c r="L21" s="125">
        <f t="shared" si="1"/>
        <v>4.2101110000000004</v>
      </c>
      <c r="M21" s="131">
        <f t="shared" si="2"/>
        <v>18.769424000000004</v>
      </c>
      <c r="N21" s="130">
        <v>0</v>
      </c>
      <c r="O21" s="130">
        <v>0</v>
      </c>
      <c r="P21" s="130">
        <v>0</v>
      </c>
      <c r="Q21" s="125">
        <f t="shared" si="3"/>
        <v>0</v>
      </c>
      <c r="R21" s="131">
        <f t="shared" si="4"/>
        <v>18.769424000000004</v>
      </c>
      <c r="S21" s="130">
        <f>S9*44.86-0.65</f>
        <v>1.6311310000000003</v>
      </c>
      <c r="T21" s="130">
        <f>T9*44.86</f>
        <v>3.7166510000000001</v>
      </c>
      <c r="U21" s="114">
        <f>U9*44.86</f>
        <v>4.2101110000000004</v>
      </c>
      <c r="V21" s="125">
        <f t="shared" si="5"/>
        <v>9.557893</v>
      </c>
      <c r="W21" s="131">
        <f t="shared" si="6"/>
        <v>28.327317000000004</v>
      </c>
    </row>
    <row r="22" spans="1:23" ht="15.75" thickBot="1" x14ac:dyDescent="0.3">
      <c r="A22" s="132" t="s">
        <v>182</v>
      </c>
      <c r="B22" s="282"/>
      <c r="C22" s="133" t="s">
        <v>183</v>
      </c>
      <c r="D22" s="134" t="s">
        <v>184</v>
      </c>
      <c r="E22" s="135">
        <v>5.93</v>
      </c>
      <c r="F22" s="135">
        <v>5.93</v>
      </c>
      <c r="G22" s="135">
        <v>5.93</v>
      </c>
      <c r="H22" s="135">
        <v>5.93</v>
      </c>
      <c r="I22" s="135">
        <v>5.93</v>
      </c>
      <c r="J22" s="135">
        <v>0</v>
      </c>
      <c r="K22" s="135">
        <v>0</v>
      </c>
      <c r="L22" s="135">
        <v>5.93</v>
      </c>
      <c r="M22" s="135">
        <v>5.93</v>
      </c>
      <c r="N22" s="135">
        <v>0</v>
      </c>
      <c r="O22" s="135">
        <v>0</v>
      </c>
      <c r="P22" s="135">
        <v>0</v>
      </c>
      <c r="Q22" s="135">
        <f t="shared" si="3"/>
        <v>0</v>
      </c>
      <c r="R22" s="136">
        <v>5.93</v>
      </c>
      <c r="S22" s="135">
        <v>5.93</v>
      </c>
      <c r="T22" s="135">
        <v>5.93</v>
      </c>
      <c r="U22" s="135">
        <v>5.93</v>
      </c>
      <c r="V22" s="136">
        <v>5.93</v>
      </c>
      <c r="W22" s="136">
        <v>5.93</v>
      </c>
    </row>
    <row r="23" spans="1:23" x14ac:dyDescent="0.25">
      <c r="A23" s="127" t="s">
        <v>185</v>
      </c>
      <c r="B23" s="283" t="s">
        <v>186</v>
      </c>
      <c r="C23" s="128" t="s">
        <v>187</v>
      </c>
      <c r="D23" s="129" t="s">
        <v>188</v>
      </c>
      <c r="E23" s="137">
        <f>((E9*238.1*0.001)/0.365)*1000</f>
        <v>82.095575342465764</v>
      </c>
      <c r="F23" s="137">
        <f>((F9*238.1*0.001)/0.365)*1000</f>
        <v>68.396671232876713</v>
      </c>
      <c r="G23" s="138">
        <f>((G9*238.1*0.001)/0.365)*1000</f>
        <v>61.221054794520548</v>
      </c>
      <c r="H23" s="139">
        <f t="shared" si="0"/>
        <v>211.71330136986302</v>
      </c>
      <c r="I23" s="130">
        <f>((I9*238.1*0.001)/0.365)*1000</f>
        <v>61.221054794520548</v>
      </c>
      <c r="J23" s="130">
        <f>((J9*238.1*0.001)/0.365)*1000</f>
        <v>0</v>
      </c>
      <c r="K23" s="140">
        <f>((K9*238.1*0.001)/0.365)*1000</f>
        <v>0</v>
      </c>
      <c r="L23" s="139">
        <f t="shared" si="1"/>
        <v>61.221054794520548</v>
      </c>
      <c r="M23" s="131">
        <f t="shared" si="2"/>
        <v>272.93435616438359</v>
      </c>
      <c r="N23" s="130">
        <f>((N9*238.1*0.001)/0.365)*1000</f>
        <v>0</v>
      </c>
      <c r="O23" s="130">
        <f>((O9*238.1*0.001)/0.365)*1000</f>
        <v>0</v>
      </c>
      <c r="P23" s="130">
        <f>((P9*238.1*0.001)/0.365)*1000</f>
        <v>0</v>
      </c>
      <c r="Q23" s="139">
        <f t="shared" si="3"/>
        <v>0</v>
      </c>
      <c r="R23" s="131">
        <f t="shared" si="4"/>
        <v>272.93435616438359</v>
      </c>
      <c r="S23" s="130">
        <f>((S9*238.1*0.001)/0.365)*1000-9.452</f>
        <v>23.718917808219182</v>
      </c>
      <c r="T23" s="130">
        <f>((T9*238.1*0.001)/0.365)*1000</f>
        <v>54.045438356164389</v>
      </c>
      <c r="U23" s="140">
        <f>((U9*238.1*0.001)/0.365)*1000-0.26</f>
        <v>60.96105479452055</v>
      </c>
      <c r="V23" s="131">
        <f t="shared" si="5"/>
        <v>138.72541095890412</v>
      </c>
      <c r="W23" s="131">
        <f t="shared" si="6"/>
        <v>411.65976712328768</v>
      </c>
    </row>
    <row r="24" spans="1:23" ht="15.75" thickBot="1" x14ac:dyDescent="0.3">
      <c r="A24" s="111" t="s">
        <v>189</v>
      </c>
      <c r="B24" s="284"/>
      <c r="C24" s="141" t="s">
        <v>183</v>
      </c>
      <c r="D24" s="142" t="s">
        <v>190</v>
      </c>
      <c r="E24" s="143">
        <v>2461.25</v>
      </c>
      <c r="F24" s="143">
        <v>2461.25</v>
      </c>
      <c r="G24" s="143">
        <v>2461.25</v>
      </c>
      <c r="H24" s="143">
        <v>2461.25</v>
      </c>
      <c r="I24" s="143">
        <v>2461.25</v>
      </c>
      <c r="J24" s="143">
        <v>2461.25</v>
      </c>
      <c r="K24" s="143">
        <v>2461.25</v>
      </c>
      <c r="L24" s="143">
        <v>2461.25</v>
      </c>
      <c r="M24" s="143">
        <v>2461.25</v>
      </c>
      <c r="N24" s="143">
        <v>2461.25</v>
      </c>
      <c r="O24" s="143">
        <v>2461.25</v>
      </c>
      <c r="P24" s="143">
        <v>2461.25</v>
      </c>
      <c r="Q24" s="143">
        <v>2461.25</v>
      </c>
      <c r="R24" s="143">
        <v>2461.25</v>
      </c>
      <c r="S24" s="143">
        <v>2461.25</v>
      </c>
      <c r="T24" s="143">
        <v>2461.25</v>
      </c>
      <c r="U24" s="143">
        <v>2461.25</v>
      </c>
      <c r="V24" s="143">
        <v>2461.25</v>
      </c>
      <c r="W24" s="143">
        <v>2461.25</v>
      </c>
    </row>
    <row r="25" spans="1:23" ht="15.75" thickBot="1" x14ac:dyDescent="0.3">
      <c r="A25" s="144" t="s">
        <v>191</v>
      </c>
      <c r="B25" s="285"/>
      <c r="C25" s="145" t="s">
        <v>192</v>
      </c>
      <c r="D25" s="146" t="s">
        <v>193</v>
      </c>
      <c r="E25" s="147"/>
      <c r="F25" s="147"/>
      <c r="G25" s="148"/>
      <c r="H25" s="131">
        <f t="shared" si="0"/>
        <v>0</v>
      </c>
      <c r="I25" s="147"/>
      <c r="J25" s="147"/>
      <c r="K25" s="148"/>
      <c r="L25" s="149">
        <f t="shared" si="1"/>
        <v>0</v>
      </c>
      <c r="M25" s="131">
        <f t="shared" si="2"/>
        <v>0</v>
      </c>
      <c r="N25" s="147"/>
      <c r="O25" s="147"/>
      <c r="P25" s="147">
        <v>0</v>
      </c>
      <c r="Q25" s="149">
        <f t="shared" si="3"/>
        <v>0</v>
      </c>
      <c r="R25" s="131">
        <f t="shared" si="4"/>
        <v>0</v>
      </c>
      <c r="S25" s="147"/>
      <c r="T25" s="147"/>
      <c r="U25" s="148"/>
      <c r="V25" s="149">
        <f t="shared" si="5"/>
        <v>0</v>
      </c>
      <c r="W25" s="131">
        <f t="shared" si="6"/>
        <v>0</v>
      </c>
    </row>
    <row r="26" spans="1:23" ht="18" x14ac:dyDescent="0.25">
      <c r="A26" s="150" t="s">
        <v>194</v>
      </c>
      <c r="B26" s="286" t="s">
        <v>195</v>
      </c>
      <c r="C26" s="151" t="s">
        <v>196</v>
      </c>
      <c r="D26" s="112" t="s">
        <v>197</v>
      </c>
      <c r="E26" s="152">
        <f>0.35*E9</f>
        <v>4.4047500000000003E-2</v>
      </c>
      <c r="F26" s="152">
        <f>0.35*F9</f>
        <v>3.6697499999999994E-2</v>
      </c>
      <c r="G26" s="114">
        <f>0.35*G9</f>
        <v>3.2847500000000002E-2</v>
      </c>
      <c r="H26" s="153">
        <f t="shared" si="0"/>
        <v>0.1135925</v>
      </c>
      <c r="I26" s="152">
        <f>0.35*I9</f>
        <v>3.2847500000000002E-2</v>
      </c>
      <c r="J26" s="152">
        <f>0.26*J9</f>
        <v>0</v>
      </c>
      <c r="K26" s="114">
        <f>0.26*K9</f>
        <v>0</v>
      </c>
      <c r="L26" s="153">
        <f t="shared" si="1"/>
        <v>3.2847500000000002E-2</v>
      </c>
      <c r="M26" s="131">
        <f t="shared" si="2"/>
        <v>0.14644000000000001</v>
      </c>
      <c r="N26" s="152">
        <f>0.26*N9</f>
        <v>0</v>
      </c>
      <c r="O26" s="152">
        <f>0.26*O9</f>
        <v>0</v>
      </c>
      <c r="P26" s="152">
        <f>0.26*P9</f>
        <v>0</v>
      </c>
      <c r="Q26" s="153">
        <f t="shared" si="3"/>
        <v>0</v>
      </c>
      <c r="R26" s="153">
        <f t="shared" si="4"/>
        <v>0.14644000000000001</v>
      </c>
      <c r="S26" s="152">
        <f>0.35*S9</f>
        <v>1.7797500000000001E-2</v>
      </c>
      <c r="T26" s="152">
        <f>0.35*T9-0.007</f>
        <v>2.19975E-2</v>
      </c>
      <c r="U26" s="114">
        <f>0.35*U9</f>
        <v>3.2847500000000002E-2</v>
      </c>
      <c r="V26" s="153">
        <f>SUM(S26:U26)</f>
        <v>7.2642499999999999E-2</v>
      </c>
      <c r="W26" s="131">
        <f t="shared" si="6"/>
        <v>0.21908250000000001</v>
      </c>
    </row>
    <row r="27" spans="1:23" ht="18" x14ac:dyDescent="0.25">
      <c r="A27" s="150" t="s">
        <v>198</v>
      </c>
      <c r="B27" s="286"/>
      <c r="C27" s="151" t="s">
        <v>199</v>
      </c>
      <c r="D27" s="112" t="s">
        <v>197</v>
      </c>
      <c r="E27" s="152"/>
      <c r="F27" s="152"/>
      <c r="G27" s="114"/>
      <c r="H27" s="153">
        <f t="shared" si="0"/>
        <v>0</v>
      </c>
      <c r="I27" s="152">
        <v>0</v>
      </c>
      <c r="J27" s="152">
        <v>0</v>
      </c>
      <c r="K27" s="114">
        <v>0</v>
      </c>
      <c r="L27" s="153">
        <f t="shared" si="1"/>
        <v>0</v>
      </c>
      <c r="M27" s="153">
        <f t="shared" si="2"/>
        <v>0</v>
      </c>
      <c r="N27" s="152"/>
      <c r="O27" s="152"/>
      <c r="P27" s="152">
        <v>0</v>
      </c>
      <c r="Q27" s="153">
        <f t="shared" si="3"/>
        <v>0</v>
      </c>
      <c r="R27" s="153">
        <f t="shared" si="4"/>
        <v>0</v>
      </c>
      <c r="S27" s="152">
        <v>0</v>
      </c>
      <c r="T27" s="152">
        <v>0</v>
      </c>
      <c r="U27" s="114">
        <f>W27-R27-S27-T27</f>
        <v>0</v>
      </c>
      <c r="V27" s="153">
        <f t="shared" si="5"/>
        <v>0</v>
      </c>
      <c r="W27" s="154"/>
    </row>
    <row r="28" spans="1:23" ht="18" x14ac:dyDescent="0.25">
      <c r="A28" s="150" t="s">
        <v>200</v>
      </c>
      <c r="B28" s="287"/>
      <c r="C28" s="141" t="s">
        <v>183</v>
      </c>
      <c r="D28" s="142" t="s">
        <v>201</v>
      </c>
      <c r="E28" s="113">
        <v>28.67</v>
      </c>
      <c r="F28" s="113">
        <v>28.67</v>
      </c>
      <c r="G28" s="113">
        <v>28.67</v>
      </c>
      <c r="H28" s="113">
        <v>28.67</v>
      </c>
      <c r="I28" s="113">
        <v>28.67</v>
      </c>
      <c r="J28" s="113">
        <v>28.67</v>
      </c>
      <c r="K28" s="113">
        <v>28.67</v>
      </c>
      <c r="L28" s="113">
        <v>28.67</v>
      </c>
      <c r="M28" s="113">
        <v>28.67</v>
      </c>
      <c r="N28" s="113">
        <v>28.67</v>
      </c>
      <c r="O28" s="113">
        <v>28.67</v>
      </c>
      <c r="P28" s="113">
        <v>28.67</v>
      </c>
      <c r="Q28" s="113">
        <v>28.67</v>
      </c>
      <c r="R28" s="113">
        <v>28.67</v>
      </c>
      <c r="S28" s="113">
        <v>28.67</v>
      </c>
      <c r="T28" s="113">
        <v>28.67</v>
      </c>
      <c r="U28" s="113">
        <v>28.67</v>
      </c>
      <c r="V28" s="113">
        <v>28.67</v>
      </c>
      <c r="W28" s="113">
        <v>28.67</v>
      </c>
    </row>
    <row r="29" spans="1:23" x14ac:dyDescent="0.25">
      <c r="A29" s="155" t="s">
        <v>202</v>
      </c>
      <c r="B29" s="156"/>
      <c r="C29" s="157"/>
      <c r="D29" s="158"/>
      <c r="E29" s="159"/>
      <c r="F29" s="159"/>
      <c r="G29" s="159"/>
      <c r="H29" s="160">
        <f t="shared" si="0"/>
        <v>0</v>
      </c>
      <c r="I29" s="159"/>
      <c r="J29" s="159"/>
      <c r="K29" s="159"/>
      <c r="L29" s="160">
        <f t="shared" si="1"/>
        <v>0</v>
      </c>
      <c r="M29" s="160">
        <f t="shared" si="2"/>
        <v>0</v>
      </c>
      <c r="N29" s="161"/>
      <c r="O29" s="159"/>
      <c r="P29" s="159"/>
      <c r="Q29" s="160">
        <f t="shared" si="3"/>
        <v>0</v>
      </c>
      <c r="R29" s="161">
        <f t="shared" si="4"/>
        <v>0</v>
      </c>
      <c r="S29" s="161"/>
      <c r="T29" s="159"/>
      <c r="U29" s="159"/>
      <c r="V29" s="160">
        <f t="shared" si="5"/>
        <v>0</v>
      </c>
      <c r="W29" s="162">
        <f t="shared" si="6"/>
        <v>0</v>
      </c>
    </row>
    <row r="30" spans="1:23" x14ac:dyDescent="0.25">
      <c r="A30" s="111">
        <v>1</v>
      </c>
      <c r="B30" s="288" t="s">
        <v>203</v>
      </c>
      <c r="C30" s="288"/>
      <c r="D30" s="142" t="s">
        <v>204</v>
      </c>
      <c r="E30" s="120">
        <f>E23*E24/1000</f>
        <v>202.05773481164385</v>
      </c>
      <c r="F30" s="120">
        <f>F23*F24/1000</f>
        <v>168.34130707191781</v>
      </c>
      <c r="G30" s="120">
        <f>G23*G24/1000</f>
        <v>150.68032111301369</v>
      </c>
      <c r="H30" s="116">
        <f t="shared" si="0"/>
        <v>521.07936299657536</v>
      </c>
      <c r="I30" s="120">
        <f>I23*I24/1000</f>
        <v>150.68032111301369</v>
      </c>
      <c r="J30" s="120">
        <f>J23*J24/1000</f>
        <v>0</v>
      </c>
      <c r="K30" s="120">
        <f>K23*K24/1000</f>
        <v>0</v>
      </c>
      <c r="L30" s="115">
        <f t="shared" si="1"/>
        <v>150.68032111301369</v>
      </c>
      <c r="M30" s="115">
        <f t="shared" si="2"/>
        <v>671.75968410958899</v>
      </c>
      <c r="N30" s="120">
        <f>N23*N24/1000</f>
        <v>0</v>
      </c>
      <c r="O30" s="120">
        <f>O23*O24/1000</f>
        <v>0</v>
      </c>
      <c r="P30" s="120">
        <f>P23*P24/1000</f>
        <v>0</v>
      </c>
      <c r="Q30" s="115">
        <f t="shared" si="3"/>
        <v>0</v>
      </c>
      <c r="R30" s="115">
        <f t="shared" si="4"/>
        <v>671.75968410958899</v>
      </c>
      <c r="S30" s="120">
        <f>S23*S24/1000</f>
        <v>58.378186455479458</v>
      </c>
      <c r="T30" s="120">
        <f>T23*T24/1000</f>
        <v>133.0193351541096</v>
      </c>
      <c r="U30" s="120">
        <f>U23*U24/1000</f>
        <v>150.04039611301371</v>
      </c>
      <c r="V30" s="116">
        <f t="shared" si="5"/>
        <v>341.43791772260278</v>
      </c>
      <c r="W30" s="117">
        <f t="shared" si="6"/>
        <v>1013.1976018321918</v>
      </c>
    </row>
    <row r="31" spans="1:23" x14ac:dyDescent="0.25">
      <c r="A31" s="122" t="s">
        <v>205</v>
      </c>
      <c r="B31" s="289" t="s">
        <v>186</v>
      </c>
      <c r="C31" s="290"/>
      <c r="D31" s="142" t="s">
        <v>204</v>
      </c>
      <c r="E31" s="113">
        <f>E30</f>
        <v>202.05773481164385</v>
      </c>
      <c r="F31" s="113">
        <f>F30</f>
        <v>168.34130707191781</v>
      </c>
      <c r="G31" s="113">
        <f>G30</f>
        <v>150.68032111301369</v>
      </c>
      <c r="H31" s="116">
        <f t="shared" si="0"/>
        <v>521.07936299657536</v>
      </c>
      <c r="I31" s="113">
        <f>I30</f>
        <v>150.68032111301369</v>
      </c>
      <c r="J31" s="113">
        <v>0</v>
      </c>
      <c r="K31" s="113">
        <v>0</v>
      </c>
      <c r="L31" s="115">
        <f t="shared" si="1"/>
        <v>150.68032111301369</v>
      </c>
      <c r="M31" s="115">
        <f t="shared" si="2"/>
        <v>671.75968410958899</v>
      </c>
      <c r="N31" s="113">
        <v>0</v>
      </c>
      <c r="O31" s="113">
        <v>0</v>
      </c>
      <c r="P31" s="113">
        <v>0</v>
      </c>
      <c r="Q31" s="115">
        <f t="shared" si="3"/>
        <v>0</v>
      </c>
      <c r="R31" s="115">
        <f t="shared" si="4"/>
        <v>671.75968410958899</v>
      </c>
      <c r="S31" s="113">
        <f>S30</f>
        <v>58.378186455479458</v>
      </c>
      <c r="T31" s="113">
        <f>T30</f>
        <v>133.0193351541096</v>
      </c>
      <c r="U31" s="113">
        <f>U30</f>
        <v>150.04039611301371</v>
      </c>
      <c r="V31" s="116">
        <f t="shared" si="5"/>
        <v>341.43791772260278</v>
      </c>
      <c r="W31" s="117">
        <f t="shared" si="6"/>
        <v>1013.1976018321918</v>
      </c>
    </row>
    <row r="32" spans="1:23" x14ac:dyDescent="0.25">
      <c r="A32" s="111">
        <v>2</v>
      </c>
      <c r="B32" s="288" t="s">
        <v>34</v>
      </c>
      <c r="C32" s="288"/>
      <c r="D32" s="142" t="s">
        <v>204</v>
      </c>
      <c r="E32" s="113">
        <f>E21*E22</f>
        <v>33.478591830000006</v>
      </c>
      <c r="F32" s="113">
        <f>F21*F22</f>
        <v>27.892176029999998</v>
      </c>
      <c r="G32" s="114">
        <f>G21*G22</f>
        <v>24.965958230000002</v>
      </c>
      <c r="H32" s="116">
        <f t="shared" si="0"/>
        <v>86.336726089999999</v>
      </c>
      <c r="I32" s="113">
        <f>I21*I22</f>
        <v>24.965958230000002</v>
      </c>
      <c r="J32" s="113">
        <v>0</v>
      </c>
      <c r="K32" s="113">
        <v>0</v>
      </c>
      <c r="L32" s="116">
        <f t="shared" si="1"/>
        <v>24.965958230000002</v>
      </c>
      <c r="M32" s="115">
        <f t="shared" si="2"/>
        <v>111.30268432</v>
      </c>
      <c r="N32" s="113">
        <v>0</v>
      </c>
      <c r="O32" s="113">
        <v>0</v>
      </c>
      <c r="P32" s="113">
        <v>0</v>
      </c>
      <c r="Q32" s="116">
        <f t="shared" si="3"/>
        <v>0</v>
      </c>
      <c r="R32" s="115">
        <f t="shared" si="4"/>
        <v>111.30268432</v>
      </c>
      <c r="S32" s="113">
        <f>S21*S22</f>
        <v>9.6726068300000012</v>
      </c>
      <c r="T32" s="113">
        <f>T21*T22</f>
        <v>22.039740429999998</v>
      </c>
      <c r="U32" s="113">
        <f>U21*U22</f>
        <v>24.965958230000002</v>
      </c>
      <c r="V32" s="116">
        <f t="shared" si="5"/>
        <v>56.67830549</v>
      </c>
      <c r="W32" s="117">
        <f t="shared" si="6"/>
        <v>167.98098980999998</v>
      </c>
    </row>
    <row r="33" spans="1:23" x14ac:dyDescent="0.25">
      <c r="A33" s="111">
        <v>3</v>
      </c>
      <c r="B33" s="279" t="s">
        <v>206</v>
      </c>
      <c r="C33" s="280"/>
      <c r="D33" s="142" t="s">
        <v>204</v>
      </c>
      <c r="E33" s="113">
        <v>0.89600000000000002</v>
      </c>
      <c r="F33" s="113">
        <v>0.89600000000000002</v>
      </c>
      <c r="G33" s="114">
        <v>0.89600000000000002</v>
      </c>
      <c r="H33" s="116">
        <f t="shared" si="0"/>
        <v>2.6880000000000002</v>
      </c>
      <c r="I33" s="113">
        <v>0.89600000000000002</v>
      </c>
      <c r="J33" s="113">
        <v>0.89600000000000002</v>
      </c>
      <c r="K33" s="113">
        <v>0.89600000000000002</v>
      </c>
      <c r="L33" s="116">
        <f t="shared" si="1"/>
        <v>2.6880000000000002</v>
      </c>
      <c r="M33" s="115">
        <f t="shared" si="2"/>
        <v>5.3760000000000003</v>
      </c>
      <c r="N33" s="113">
        <v>0.89600000000000002</v>
      </c>
      <c r="O33" s="113">
        <v>0.89600000000000002</v>
      </c>
      <c r="P33" s="113">
        <v>0.89600000000000002</v>
      </c>
      <c r="Q33" s="116">
        <f t="shared" si="3"/>
        <v>2.6880000000000002</v>
      </c>
      <c r="R33" s="115">
        <f t="shared" si="4"/>
        <v>8.0640000000000001</v>
      </c>
      <c r="S33" s="113">
        <v>0.89600000000000002</v>
      </c>
      <c r="T33" s="113">
        <v>0.89600000000000002</v>
      </c>
      <c r="U33" s="113">
        <v>0.89600000000000002</v>
      </c>
      <c r="V33" s="116">
        <f t="shared" si="5"/>
        <v>2.6880000000000002</v>
      </c>
      <c r="W33" s="117">
        <f t="shared" si="6"/>
        <v>10.752000000000001</v>
      </c>
    </row>
    <row r="34" spans="1:23" x14ac:dyDescent="0.25">
      <c r="A34" s="111">
        <v>4</v>
      </c>
      <c r="B34" s="288" t="s">
        <v>207</v>
      </c>
      <c r="C34" s="288"/>
      <c r="D34" s="142" t="s">
        <v>204</v>
      </c>
      <c r="E34" s="113"/>
      <c r="F34" s="113"/>
      <c r="G34" s="114"/>
      <c r="H34" s="116">
        <f t="shared" si="0"/>
        <v>0</v>
      </c>
      <c r="I34" s="113"/>
      <c r="J34" s="113"/>
      <c r="K34" s="113"/>
      <c r="L34" s="116">
        <f t="shared" si="1"/>
        <v>0</v>
      </c>
      <c r="M34" s="115">
        <f t="shared" si="2"/>
        <v>0</v>
      </c>
      <c r="N34" s="113"/>
      <c r="O34" s="113"/>
      <c r="P34" s="113"/>
      <c r="Q34" s="116">
        <f t="shared" si="3"/>
        <v>0</v>
      </c>
      <c r="R34" s="115">
        <f t="shared" si="4"/>
        <v>0</v>
      </c>
      <c r="S34" s="113"/>
      <c r="T34" s="113"/>
      <c r="U34" s="113"/>
      <c r="V34" s="116">
        <f t="shared" si="5"/>
        <v>0</v>
      </c>
      <c r="W34" s="117">
        <f t="shared" si="6"/>
        <v>0</v>
      </c>
    </row>
    <row r="35" spans="1:23" x14ac:dyDescent="0.25">
      <c r="A35" s="111">
        <v>5</v>
      </c>
      <c r="B35" s="288" t="s">
        <v>208</v>
      </c>
      <c r="C35" s="288"/>
      <c r="D35" s="142" t="s">
        <v>204</v>
      </c>
      <c r="E35" s="113">
        <f>E36+E37</f>
        <v>103.26249799999999</v>
      </c>
      <c r="F35" s="113">
        <f>F36+F37</f>
        <v>96.43093300000001</v>
      </c>
      <c r="G35" s="114">
        <f>G36+G37</f>
        <v>96.43093300000001</v>
      </c>
      <c r="H35" s="116">
        <f>H36+H37</f>
        <v>296.12436400000001</v>
      </c>
      <c r="I35" s="113">
        <f t="shared" ref="I35:W35" si="8">I36+I37</f>
        <v>123.425433</v>
      </c>
      <c r="J35" s="113">
        <f t="shared" si="8"/>
        <v>13.370933000000001</v>
      </c>
      <c r="K35" s="113">
        <f t="shared" si="8"/>
        <v>13.370933000000001</v>
      </c>
      <c r="L35" s="116">
        <f t="shared" si="8"/>
        <v>150.16729900000001</v>
      </c>
      <c r="M35" s="115">
        <f t="shared" si="8"/>
        <v>446.29166300000003</v>
      </c>
      <c r="N35" s="113">
        <f t="shared" si="8"/>
        <v>13.370933000000001</v>
      </c>
      <c r="O35" s="113">
        <f t="shared" si="8"/>
        <v>13.370933000000001</v>
      </c>
      <c r="P35" s="113">
        <f t="shared" si="8"/>
        <v>13.370933000000001</v>
      </c>
      <c r="Q35" s="116">
        <f t="shared" si="8"/>
        <v>40.112799000000003</v>
      </c>
      <c r="R35" s="115">
        <f t="shared" si="8"/>
        <v>486.40446200000002</v>
      </c>
      <c r="S35" s="113">
        <f t="shared" si="8"/>
        <v>54.900933000000002</v>
      </c>
      <c r="T35" s="113">
        <f t="shared" si="8"/>
        <v>96.43093300000001</v>
      </c>
      <c r="U35" s="113">
        <f t="shared" si="8"/>
        <v>96.43093300000001</v>
      </c>
      <c r="V35" s="116">
        <f t="shared" si="8"/>
        <v>247.762799</v>
      </c>
      <c r="W35" s="117">
        <f t="shared" si="8"/>
        <v>734.16726100000005</v>
      </c>
    </row>
    <row r="36" spans="1:23" x14ac:dyDescent="0.25">
      <c r="A36" s="111"/>
      <c r="B36" s="279" t="s">
        <v>209</v>
      </c>
      <c r="C36" s="280"/>
      <c r="D36" s="142" t="s">
        <v>204</v>
      </c>
      <c r="E36" s="113">
        <v>83.06</v>
      </c>
      <c r="F36" s="113">
        <v>83.06</v>
      </c>
      <c r="G36" s="114">
        <v>83.06</v>
      </c>
      <c r="H36" s="116">
        <f t="shared" si="0"/>
        <v>249.18</v>
      </c>
      <c r="I36" s="113">
        <f>83.06+26.9945</f>
        <v>110.0545</v>
      </c>
      <c r="J36" s="113"/>
      <c r="K36" s="113"/>
      <c r="L36" s="116">
        <f t="shared" si="1"/>
        <v>110.0545</v>
      </c>
      <c r="M36" s="115">
        <f>L36+H36</f>
        <v>359.23450000000003</v>
      </c>
      <c r="N36" s="113"/>
      <c r="O36" s="113"/>
      <c r="P36" s="113"/>
      <c r="Q36" s="116">
        <f>SUM(N36:P36)</f>
        <v>0</v>
      </c>
      <c r="R36" s="115">
        <f>Q36+M36</f>
        <v>359.23450000000003</v>
      </c>
      <c r="S36" s="113">
        <v>41.53</v>
      </c>
      <c r="T36" s="113">
        <v>83.06</v>
      </c>
      <c r="U36" s="113">
        <v>83.06</v>
      </c>
      <c r="V36" s="116">
        <f>SUM(S36:U36)</f>
        <v>207.65</v>
      </c>
      <c r="W36" s="117">
        <f>V36+R36</f>
        <v>566.8845</v>
      </c>
    </row>
    <row r="37" spans="1:23" x14ac:dyDescent="0.25">
      <c r="A37" s="163"/>
      <c r="B37" s="279" t="s">
        <v>210</v>
      </c>
      <c r="C37" s="280" t="s">
        <v>211</v>
      </c>
      <c r="D37" s="142" t="s">
        <v>204</v>
      </c>
      <c r="E37" s="113">
        <v>20.202497999999999</v>
      </c>
      <c r="F37" s="113">
        <v>13.370933000000001</v>
      </c>
      <c r="G37" s="114">
        <v>13.370933000000001</v>
      </c>
      <c r="H37" s="116">
        <f t="shared" si="0"/>
        <v>46.944364</v>
      </c>
      <c r="I37" s="113">
        <v>13.370933000000001</v>
      </c>
      <c r="J37" s="113">
        <v>13.370933000000001</v>
      </c>
      <c r="K37" s="113">
        <v>13.370933000000001</v>
      </c>
      <c r="L37" s="116">
        <f t="shared" si="1"/>
        <v>40.112799000000003</v>
      </c>
      <c r="M37" s="115">
        <f>L37+H37</f>
        <v>87.057163000000003</v>
      </c>
      <c r="N37" s="113">
        <v>13.370933000000001</v>
      </c>
      <c r="O37" s="113">
        <v>13.370933000000001</v>
      </c>
      <c r="P37" s="113">
        <v>13.370933000000001</v>
      </c>
      <c r="Q37" s="116">
        <f t="shared" si="3"/>
        <v>40.112799000000003</v>
      </c>
      <c r="R37" s="115">
        <f t="shared" si="4"/>
        <v>127.169962</v>
      </c>
      <c r="S37" s="113">
        <v>13.370933000000001</v>
      </c>
      <c r="T37" s="113">
        <v>13.370933000000001</v>
      </c>
      <c r="U37" s="113">
        <v>13.370933000000001</v>
      </c>
      <c r="V37" s="116">
        <f t="shared" si="5"/>
        <v>40.112799000000003</v>
      </c>
      <c r="W37" s="117">
        <f t="shared" si="6"/>
        <v>167.28276099999999</v>
      </c>
    </row>
    <row r="38" spans="1:23" x14ac:dyDescent="0.25">
      <c r="A38" s="163" t="s">
        <v>163</v>
      </c>
      <c r="B38" s="279" t="s">
        <v>212</v>
      </c>
      <c r="C38" s="280"/>
      <c r="D38" s="142" t="s">
        <v>204</v>
      </c>
      <c r="E38" s="113">
        <f>E39+E40</f>
        <v>31.144869399999997</v>
      </c>
      <c r="F38" s="113">
        <f>F39+F40</f>
        <v>29.095399899999997</v>
      </c>
      <c r="G38" s="114">
        <f>G39+G40</f>
        <v>29.095399899999997</v>
      </c>
      <c r="H38" s="116">
        <f t="shared" si="0"/>
        <v>89.335669199999984</v>
      </c>
      <c r="I38" s="113">
        <f>I39+I40</f>
        <v>37.247738900000002</v>
      </c>
      <c r="J38" s="113">
        <f>J39+J40</f>
        <v>4.0112798999999999</v>
      </c>
      <c r="K38" s="113">
        <f>K39+K40</f>
        <v>4.0112798999999999</v>
      </c>
      <c r="L38" s="116">
        <f t="shared" si="1"/>
        <v>45.270298699999998</v>
      </c>
      <c r="M38" s="115">
        <f t="shared" si="2"/>
        <v>134.6059679</v>
      </c>
      <c r="N38" s="113">
        <f>N39+N40</f>
        <v>4.0112798999999999</v>
      </c>
      <c r="O38" s="113">
        <f>O39+O40</f>
        <v>4.0112798999999999</v>
      </c>
      <c r="P38" s="113">
        <f>P39+P40</f>
        <v>4.0112798999999999</v>
      </c>
      <c r="Q38" s="116">
        <f t="shared" si="3"/>
        <v>12.0338397</v>
      </c>
      <c r="R38" s="115">
        <f t="shared" si="4"/>
        <v>146.63980759999998</v>
      </c>
      <c r="S38" s="113">
        <f>S39+S40</f>
        <v>16.553339899999997</v>
      </c>
      <c r="T38" s="113">
        <f>T39+T40</f>
        <v>29.095399899999997</v>
      </c>
      <c r="U38" s="113">
        <f>U39+U40</f>
        <v>29.095399899999997</v>
      </c>
      <c r="V38" s="116">
        <f t="shared" si="5"/>
        <v>74.744139699999991</v>
      </c>
      <c r="W38" s="117">
        <f t="shared" si="6"/>
        <v>221.38394729999999</v>
      </c>
    </row>
    <row r="39" spans="1:23" x14ac:dyDescent="0.25">
      <c r="A39" s="163"/>
      <c r="B39" s="164" t="s">
        <v>209</v>
      </c>
      <c r="C39" s="165"/>
      <c r="D39" s="142" t="s">
        <v>204</v>
      </c>
      <c r="E39" s="113">
        <f>E36*30.2%</f>
        <v>25.084119999999999</v>
      </c>
      <c r="F39" s="113">
        <f>F36*30.2%</f>
        <v>25.084119999999999</v>
      </c>
      <c r="G39" s="114">
        <f>G36*30.2%</f>
        <v>25.084119999999999</v>
      </c>
      <c r="H39" s="116">
        <f t="shared" si="0"/>
        <v>75.252359999999996</v>
      </c>
      <c r="I39" s="113">
        <f>I36*30.2%</f>
        <v>33.236459000000004</v>
      </c>
      <c r="J39" s="113">
        <f>J36*30.2%</f>
        <v>0</v>
      </c>
      <c r="K39" s="113">
        <f>K36*30.2%</f>
        <v>0</v>
      </c>
      <c r="L39" s="116">
        <f t="shared" si="1"/>
        <v>33.236459000000004</v>
      </c>
      <c r="M39" s="115">
        <f t="shared" si="2"/>
        <v>108.48881900000001</v>
      </c>
      <c r="N39" s="113">
        <f>N36*30.2%</f>
        <v>0</v>
      </c>
      <c r="O39" s="113">
        <f>O36*30.2%</f>
        <v>0</v>
      </c>
      <c r="P39" s="113">
        <f>P36*30.2%</f>
        <v>0</v>
      </c>
      <c r="Q39" s="116">
        <f t="shared" si="3"/>
        <v>0</v>
      </c>
      <c r="R39" s="115">
        <f t="shared" si="4"/>
        <v>108.48881900000001</v>
      </c>
      <c r="S39" s="113">
        <f>S36*30.2%</f>
        <v>12.542059999999999</v>
      </c>
      <c r="T39" s="113">
        <f>T36*30.2%</f>
        <v>25.084119999999999</v>
      </c>
      <c r="U39" s="113">
        <f>U36*30.2%</f>
        <v>25.084119999999999</v>
      </c>
      <c r="V39" s="116">
        <f t="shared" si="5"/>
        <v>62.710299999999997</v>
      </c>
      <c r="W39" s="117">
        <f t="shared" si="6"/>
        <v>171.199119</v>
      </c>
    </row>
    <row r="40" spans="1:23" x14ac:dyDescent="0.25">
      <c r="A40" s="111"/>
      <c r="B40" s="279" t="s">
        <v>213</v>
      </c>
      <c r="C40" s="280" t="s">
        <v>211</v>
      </c>
      <c r="D40" s="142" t="s">
        <v>204</v>
      </c>
      <c r="E40" s="113">
        <f>E37*30%</f>
        <v>6.0607493999999997</v>
      </c>
      <c r="F40" s="113">
        <f>F37*30%</f>
        <v>4.0112798999999999</v>
      </c>
      <c r="G40" s="114">
        <f>G37*30%</f>
        <v>4.0112798999999999</v>
      </c>
      <c r="H40" s="116">
        <f t="shared" si="0"/>
        <v>14.0833092</v>
      </c>
      <c r="I40" s="113">
        <f>I37*30%</f>
        <v>4.0112798999999999</v>
      </c>
      <c r="J40" s="113">
        <f>J37*30%</f>
        <v>4.0112798999999999</v>
      </c>
      <c r="K40" s="113">
        <f>K37*30%</f>
        <v>4.0112798999999999</v>
      </c>
      <c r="L40" s="116">
        <f t="shared" si="1"/>
        <v>12.0338397</v>
      </c>
      <c r="M40" s="115">
        <f t="shared" si="2"/>
        <v>26.1171489</v>
      </c>
      <c r="N40" s="113">
        <f>N37*30%</f>
        <v>4.0112798999999999</v>
      </c>
      <c r="O40" s="113">
        <f>O37*30%</f>
        <v>4.0112798999999999</v>
      </c>
      <c r="P40" s="113">
        <f>P37*30%</f>
        <v>4.0112798999999999</v>
      </c>
      <c r="Q40" s="116">
        <f t="shared" si="3"/>
        <v>12.0338397</v>
      </c>
      <c r="R40" s="115">
        <f t="shared" si="4"/>
        <v>38.150988599999998</v>
      </c>
      <c r="S40" s="113">
        <f>S37*30%</f>
        <v>4.0112798999999999</v>
      </c>
      <c r="T40" s="113">
        <f>T37*30%</f>
        <v>4.0112798999999999</v>
      </c>
      <c r="U40" s="113">
        <f>U37*30%</f>
        <v>4.0112798999999999</v>
      </c>
      <c r="V40" s="116">
        <f t="shared" si="5"/>
        <v>12.0338397</v>
      </c>
      <c r="W40" s="117">
        <f t="shared" si="6"/>
        <v>50.1848283</v>
      </c>
    </row>
    <row r="41" spans="1:23" x14ac:dyDescent="0.25">
      <c r="A41" s="111">
        <v>7</v>
      </c>
      <c r="B41" s="164" t="s">
        <v>103</v>
      </c>
      <c r="C41" s="165"/>
      <c r="D41" s="142" t="s">
        <v>132</v>
      </c>
      <c r="E41" s="113">
        <f>E9*0.17*18.62</f>
        <v>0.3983655900000001</v>
      </c>
      <c r="F41" s="113">
        <f>F9*0.17*18.62</f>
        <v>0.33189219000000003</v>
      </c>
      <c r="G41" s="114">
        <f>G9*0.17*18.62</f>
        <v>0.29707279000000003</v>
      </c>
      <c r="H41" s="116">
        <f t="shared" si="0"/>
        <v>1.0273305700000002</v>
      </c>
      <c r="I41" s="113">
        <f>I9*0.17*18.62</f>
        <v>0.29707279000000003</v>
      </c>
      <c r="J41" s="113">
        <v>0</v>
      </c>
      <c r="K41" s="113">
        <v>0</v>
      </c>
      <c r="L41" s="116">
        <f t="shared" si="1"/>
        <v>0.29707279000000003</v>
      </c>
      <c r="M41" s="115">
        <f t="shared" si="2"/>
        <v>1.3244033600000003</v>
      </c>
      <c r="N41" s="113">
        <v>0</v>
      </c>
      <c r="O41" s="113">
        <v>0</v>
      </c>
      <c r="P41" s="113">
        <v>0</v>
      </c>
      <c r="Q41" s="116">
        <f t="shared" si="3"/>
        <v>0</v>
      </c>
      <c r="R41" s="115">
        <f t="shared" si="4"/>
        <v>1.3244033600000003</v>
      </c>
      <c r="S41" s="113">
        <f>S9*0.17*18.62</f>
        <v>0.16096059000000004</v>
      </c>
      <c r="T41" s="113">
        <f>T9*0.17*18.62</f>
        <v>0.26225339000000003</v>
      </c>
      <c r="U41" s="113">
        <f>U9*0.17*18.62</f>
        <v>0.29707279000000003</v>
      </c>
      <c r="V41" s="116">
        <f t="shared" si="5"/>
        <v>0.72028677000000019</v>
      </c>
      <c r="W41" s="117">
        <f t="shared" si="6"/>
        <v>2.0446901300000002</v>
      </c>
    </row>
    <row r="42" spans="1:23" x14ac:dyDescent="0.25">
      <c r="A42" s="111">
        <v>8</v>
      </c>
      <c r="B42" s="164" t="s">
        <v>195</v>
      </c>
      <c r="C42" s="165"/>
      <c r="D42" s="142" t="s">
        <v>132</v>
      </c>
      <c r="E42" s="113">
        <f>E26*E28</f>
        <v>1.2628418250000002</v>
      </c>
      <c r="F42" s="113">
        <f>F26*F28</f>
        <v>1.052117325</v>
      </c>
      <c r="G42" s="114">
        <f>G26*G28</f>
        <v>0.94173782500000014</v>
      </c>
      <c r="H42" s="116">
        <f t="shared" si="0"/>
        <v>3.2566969750000001</v>
      </c>
      <c r="I42" s="113">
        <f>I26*I28</f>
        <v>0.94173782500000014</v>
      </c>
      <c r="J42" s="113">
        <f>J26*J28</f>
        <v>0</v>
      </c>
      <c r="K42" s="113">
        <f>K26*K28</f>
        <v>0</v>
      </c>
      <c r="L42" s="116">
        <f t="shared" si="1"/>
        <v>0.94173782500000014</v>
      </c>
      <c r="M42" s="115">
        <f t="shared" si="2"/>
        <v>4.1984348000000002</v>
      </c>
      <c r="N42" s="113">
        <f>N26*N28</f>
        <v>0</v>
      </c>
      <c r="O42" s="113">
        <f>O26*O28</f>
        <v>0</v>
      </c>
      <c r="P42" s="113">
        <f>P26*P28</f>
        <v>0</v>
      </c>
      <c r="Q42" s="116">
        <f t="shared" si="3"/>
        <v>0</v>
      </c>
      <c r="R42" s="115">
        <f t="shared" si="4"/>
        <v>4.1984348000000002</v>
      </c>
      <c r="S42" s="113">
        <f>S26*S28</f>
        <v>0.51025432500000001</v>
      </c>
      <c r="T42" s="113">
        <f>T26*T28</f>
        <v>0.63066832500000003</v>
      </c>
      <c r="U42" s="113">
        <f>U26*U28</f>
        <v>0.94173782500000014</v>
      </c>
      <c r="V42" s="116">
        <f t="shared" si="5"/>
        <v>2.082660475</v>
      </c>
      <c r="W42" s="117">
        <f t="shared" si="6"/>
        <v>6.2810952750000002</v>
      </c>
    </row>
    <row r="43" spans="1:23" x14ac:dyDescent="0.25">
      <c r="A43" s="111">
        <v>9</v>
      </c>
      <c r="B43" s="288" t="s">
        <v>214</v>
      </c>
      <c r="C43" s="288"/>
      <c r="D43" s="142" t="s">
        <v>204</v>
      </c>
      <c r="E43" s="120">
        <f>SUM(E44:E47,E49:E50,E55)</f>
        <v>65.61220752191781</v>
      </c>
      <c r="F43" s="120">
        <f>SUM(F44:F47,F49:F50,F55)</f>
        <v>55.635295658904106</v>
      </c>
      <c r="G43" s="120">
        <f>SUM(G44:G47,G49:G50,G55)</f>
        <v>50.409294206849317</v>
      </c>
      <c r="H43" s="116">
        <f t="shared" si="0"/>
        <v>171.65679738767125</v>
      </c>
      <c r="I43" s="120">
        <f>SUM(I44:I47,I49:I50,I55)</f>
        <v>50.409294206849317</v>
      </c>
      <c r="J43" s="120">
        <f>SUM(J44:J47,J49:J50,J55)</f>
        <v>0</v>
      </c>
      <c r="K43" s="120">
        <f>SUM(K44:K47,K49:K50,K55)</f>
        <v>0</v>
      </c>
      <c r="L43" s="116">
        <f t="shared" si="1"/>
        <v>50.409294206849317</v>
      </c>
      <c r="M43" s="115">
        <f t="shared" si="2"/>
        <v>222.06609159452057</v>
      </c>
      <c r="N43" s="120">
        <f>SUM(N44,N47,N49,N50,N55)</f>
        <v>0</v>
      </c>
      <c r="O43" s="120">
        <f>O44+O45+O46+O47+O50+O55</f>
        <v>0</v>
      </c>
      <c r="P43" s="120">
        <f>P44+P45+P46+P47+P50+P55</f>
        <v>0</v>
      </c>
      <c r="Q43" s="116">
        <f t="shared" si="3"/>
        <v>0</v>
      </c>
      <c r="R43" s="115">
        <f t="shared" si="4"/>
        <v>222.06609159452057</v>
      </c>
      <c r="S43" s="120">
        <f>S44+S45+S46+S47+S50+S55+S49</f>
        <v>20.438487839726029</v>
      </c>
      <c r="T43" s="120">
        <f>T44+T45+T46+T47+T50+T55+T49</f>
        <v>45.183292754794522</v>
      </c>
      <c r="U43" s="120">
        <f>U44+U45+U46+U47+U50+U55+U49</f>
        <v>50.219936206849319</v>
      </c>
      <c r="V43" s="116">
        <f t="shared" si="5"/>
        <v>115.84171680136987</v>
      </c>
      <c r="W43" s="117">
        <f t="shared" si="6"/>
        <v>337.90780839589047</v>
      </c>
    </row>
    <row r="44" spans="1:23" x14ac:dyDescent="0.25">
      <c r="A44" s="122" t="s">
        <v>215</v>
      </c>
      <c r="B44" s="277" t="s">
        <v>216</v>
      </c>
      <c r="C44" s="278"/>
      <c r="D44" s="142" t="s">
        <v>204</v>
      </c>
      <c r="E44" s="113">
        <v>0</v>
      </c>
      <c r="F44" s="113">
        <v>0</v>
      </c>
      <c r="G44" s="113">
        <v>0</v>
      </c>
      <c r="H44" s="116">
        <f t="shared" si="0"/>
        <v>0</v>
      </c>
      <c r="I44" s="113">
        <v>0</v>
      </c>
      <c r="J44" s="113">
        <v>0</v>
      </c>
      <c r="K44" s="113">
        <v>0</v>
      </c>
      <c r="L44" s="116">
        <f t="shared" si="1"/>
        <v>0</v>
      </c>
      <c r="M44" s="115">
        <f t="shared" si="2"/>
        <v>0</v>
      </c>
      <c r="N44" s="113">
        <v>0</v>
      </c>
      <c r="O44" s="113">
        <v>0</v>
      </c>
      <c r="P44" s="113">
        <v>0</v>
      </c>
      <c r="Q44" s="116">
        <f t="shared" si="3"/>
        <v>0</v>
      </c>
      <c r="R44" s="115">
        <f t="shared" si="4"/>
        <v>0</v>
      </c>
      <c r="S44" s="113"/>
      <c r="T44" s="113"/>
      <c r="U44" s="113"/>
      <c r="V44" s="116">
        <f t="shared" si="5"/>
        <v>0</v>
      </c>
      <c r="W44" s="117">
        <f t="shared" si="6"/>
        <v>0</v>
      </c>
    </row>
    <row r="45" spans="1:23" x14ac:dyDescent="0.25">
      <c r="A45" s="122" t="s">
        <v>217</v>
      </c>
      <c r="B45" s="277" t="s">
        <v>218</v>
      </c>
      <c r="C45" s="293"/>
      <c r="D45" s="142" t="s">
        <v>204</v>
      </c>
      <c r="E45" s="113">
        <v>0</v>
      </c>
      <c r="F45" s="113">
        <v>0</v>
      </c>
      <c r="G45" s="113">
        <v>0</v>
      </c>
      <c r="H45" s="116">
        <f t="shared" si="0"/>
        <v>0</v>
      </c>
      <c r="I45" s="113">
        <v>0</v>
      </c>
      <c r="J45" s="113">
        <v>0</v>
      </c>
      <c r="K45" s="113">
        <v>0</v>
      </c>
      <c r="L45" s="116">
        <f t="shared" si="1"/>
        <v>0</v>
      </c>
      <c r="M45" s="115">
        <f t="shared" si="2"/>
        <v>0</v>
      </c>
      <c r="N45" s="113">
        <v>0</v>
      </c>
      <c r="O45" s="113">
        <v>0</v>
      </c>
      <c r="P45" s="113">
        <v>0</v>
      </c>
      <c r="Q45" s="116">
        <f t="shared" si="3"/>
        <v>0</v>
      </c>
      <c r="R45" s="115">
        <f t="shared" si="4"/>
        <v>0</v>
      </c>
      <c r="S45" s="113">
        <v>0</v>
      </c>
      <c r="T45" s="113">
        <v>0</v>
      </c>
      <c r="U45" s="113">
        <v>0</v>
      </c>
      <c r="V45" s="116">
        <f t="shared" si="5"/>
        <v>0</v>
      </c>
      <c r="W45" s="117">
        <f t="shared" si="6"/>
        <v>0</v>
      </c>
    </row>
    <row r="46" spans="1:23" x14ac:dyDescent="0.25">
      <c r="A46" s="122" t="s">
        <v>219</v>
      </c>
      <c r="B46" s="277" t="s">
        <v>220</v>
      </c>
      <c r="C46" s="293"/>
      <c r="D46" s="142" t="s">
        <v>204</v>
      </c>
      <c r="E46" s="113">
        <v>0</v>
      </c>
      <c r="F46" s="113">
        <v>0</v>
      </c>
      <c r="G46" s="113">
        <v>0</v>
      </c>
      <c r="H46" s="116">
        <f t="shared" si="0"/>
        <v>0</v>
      </c>
      <c r="I46" s="113">
        <v>0</v>
      </c>
      <c r="J46" s="113">
        <v>0</v>
      </c>
      <c r="K46" s="113">
        <v>0</v>
      </c>
      <c r="L46" s="116">
        <f t="shared" si="1"/>
        <v>0</v>
      </c>
      <c r="M46" s="115">
        <f t="shared" si="2"/>
        <v>0</v>
      </c>
      <c r="N46" s="113">
        <v>0</v>
      </c>
      <c r="O46" s="113">
        <v>0</v>
      </c>
      <c r="P46" s="113">
        <v>0</v>
      </c>
      <c r="Q46" s="116">
        <f t="shared" si="3"/>
        <v>0</v>
      </c>
      <c r="R46" s="115">
        <f t="shared" si="4"/>
        <v>0</v>
      </c>
      <c r="S46" s="113">
        <v>0</v>
      </c>
      <c r="T46" s="113">
        <v>0</v>
      </c>
      <c r="U46" s="113">
        <v>0</v>
      </c>
      <c r="V46" s="116">
        <f t="shared" si="5"/>
        <v>0</v>
      </c>
      <c r="W46" s="117">
        <f t="shared" si="6"/>
        <v>0</v>
      </c>
    </row>
    <row r="47" spans="1:23" x14ac:dyDescent="0.25">
      <c r="A47" s="122" t="s">
        <v>221</v>
      </c>
      <c r="B47" s="288" t="s">
        <v>222</v>
      </c>
      <c r="C47" s="288"/>
      <c r="D47" s="142" t="s">
        <v>204</v>
      </c>
      <c r="E47" s="113"/>
      <c r="F47" s="113"/>
      <c r="G47" s="113"/>
      <c r="H47" s="116">
        <f t="shared" si="0"/>
        <v>0</v>
      </c>
      <c r="I47" s="113"/>
      <c r="J47" s="113">
        <v>0</v>
      </c>
      <c r="K47" s="113">
        <v>0</v>
      </c>
      <c r="L47" s="116">
        <f t="shared" si="1"/>
        <v>0</v>
      </c>
      <c r="M47" s="115">
        <f t="shared" si="2"/>
        <v>0</v>
      </c>
      <c r="N47" s="113">
        <v>0</v>
      </c>
      <c r="O47" s="113">
        <v>0</v>
      </c>
      <c r="P47" s="113">
        <v>0</v>
      </c>
      <c r="Q47" s="116">
        <f t="shared" si="3"/>
        <v>0</v>
      </c>
      <c r="R47" s="115">
        <f t="shared" si="4"/>
        <v>0</v>
      </c>
      <c r="S47" s="113">
        <v>0</v>
      </c>
      <c r="T47" s="113">
        <v>0</v>
      </c>
      <c r="U47" s="113">
        <v>0</v>
      </c>
      <c r="V47" s="116">
        <f t="shared" si="5"/>
        <v>0</v>
      </c>
      <c r="W47" s="117">
        <f t="shared" si="6"/>
        <v>0</v>
      </c>
    </row>
    <row r="48" spans="1:23" x14ac:dyDescent="0.25">
      <c r="A48" s="122"/>
      <c r="B48" s="294" t="s">
        <v>223</v>
      </c>
      <c r="C48" s="294"/>
      <c r="D48" s="142" t="s">
        <v>204</v>
      </c>
      <c r="E48" s="113"/>
      <c r="F48" s="113"/>
      <c r="G48" s="113"/>
      <c r="H48" s="116">
        <f t="shared" si="0"/>
        <v>0</v>
      </c>
      <c r="I48" s="113"/>
      <c r="J48" s="113">
        <v>0</v>
      </c>
      <c r="K48" s="113">
        <v>0</v>
      </c>
      <c r="L48" s="116">
        <f t="shared" si="1"/>
        <v>0</v>
      </c>
      <c r="M48" s="115">
        <f t="shared" si="2"/>
        <v>0</v>
      </c>
      <c r="N48" s="113">
        <v>0</v>
      </c>
      <c r="O48" s="113">
        <v>0</v>
      </c>
      <c r="P48" s="113">
        <v>0</v>
      </c>
      <c r="Q48" s="116">
        <f t="shared" si="3"/>
        <v>0</v>
      </c>
      <c r="R48" s="115">
        <f t="shared" si="4"/>
        <v>0</v>
      </c>
      <c r="S48" s="113">
        <v>0</v>
      </c>
      <c r="T48" s="113">
        <v>0</v>
      </c>
      <c r="U48" s="113">
        <v>0</v>
      </c>
      <c r="V48" s="116">
        <f t="shared" si="5"/>
        <v>0</v>
      </c>
      <c r="W48" s="117">
        <f t="shared" si="6"/>
        <v>0</v>
      </c>
    </row>
    <row r="49" spans="1:23" x14ac:dyDescent="0.25">
      <c r="A49" s="122" t="s">
        <v>224</v>
      </c>
      <c r="B49" s="277" t="s">
        <v>225</v>
      </c>
      <c r="C49" s="278"/>
      <c r="D49" s="142" t="s">
        <v>204</v>
      </c>
      <c r="E49" s="113">
        <f>728.3*E23/1000</f>
        <v>59.790207521917814</v>
      </c>
      <c r="F49" s="113">
        <f>728.3*F23/1000</f>
        <v>49.813295658904103</v>
      </c>
      <c r="G49" s="113">
        <f>728.3*G23/1000</f>
        <v>44.587294206849315</v>
      </c>
      <c r="H49" s="116">
        <f t="shared" si="0"/>
        <v>154.19079738767124</v>
      </c>
      <c r="I49" s="113">
        <f>728.3*I23/1000</f>
        <v>44.587294206849315</v>
      </c>
      <c r="J49" s="113">
        <f>485.5*J23/1000</f>
        <v>0</v>
      </c>
      <c r="K49" s="113">
        <f>485.5*K23/1000</f>
        <v>0</v>
      </c>
      <c r="L49" s="116">
        <f t="shared" si="1"/>
        <v>44.587294206849315</v>
      </c>
      <c r="M49" s="115">
        <f t="shared" si="2"/>
        <v>198.77809159452056</v>
      </c>
      <c r="N49" s="113">
        <f>485.5*N23/1000</f>
        <v>0</v>
      </c>
      <c r="O49" s="113">
        <f>485.5*O23/1000</f>
        <v>0</v>
      </c>
      <c r="P49" s="113">
        <f>485.5*P23/1000</f>
        <v>0</v>
      </c>
      <c r="Q49" s="116">
        <f t="shared" si="3"/>
        <v>0</v>
      </c>
      <c r="R49" s="115">
        <f t="shared" si="4"/>
        <v>198.77809159452056</v>
      </c>
      <c r="S49" s="113">
        <f>728.3*S23/1000</f>
        <v>17.274487839726028</v>
      </c>
      <c r="T49" s="113">
        <f>728.3*T23/1000</f>
        <v>39.361292754794519</v>
      </c>
      <c r="U49" s="113">
        <f>728.3*U23/1000</f>
        <v>44.397936206849316</v>
      </c>
      <c r="V49" s="116">
        <f t="shared" si="5"/>
        <v>101.03371680136986</v>
      </c>
      <c r="W49" s="117">
        <f t="shared" si="6"/>
        <v>299.81180839589041</v>
      </c>
    </row>
    <row r="50" spans="1:23" x14ac:dyDescent="0.25">
      <c r="A50" s="122" t="s">
        <v>226</v>
      </c>
      <c r="B50" s="288" t="s">
        <v>227</v>
      </c>
      <c r="C50" s="288"/>
      <c r="D50" s="142" t="s">
        <v>204</v>
      </c>
      <c r="E50" s="113">
        <f>SUM(E51:E54)</f>
        <v>5.8220000000000001</v>
      </c>
      <c r="F50" s="113">
        <f>SUM(F51:F54)</f>
        <v>5.8220000000000001</v>
      </c>
      <c r="G50" s="113">
        <f>SUM(G51:G54)</f>
        <v>5.8220000000000001</v>
      </c>
      <c r="H50" s="116">
        <f t="shared" si="0"/>
        <v>17.466000000000001</v>
      </c>
      <c r="I50" s="113">
        <f>SUM(I51:I54)</f>
        <v>5.8220000000000001</v>
      </c>
      <c r="J50" s="113">
        <f>SUM(J51:J54)</f>
        <v>0</v>
      </c>
      <c r="K50" s="113">
        <f>SUM(K51:K54)</f>
        <v>0</v>
      </c>
      <c r="L50" s="116">
        <f t="shared" si="1"/>
        <v>5.8220000000000001</v>
      </c>
      <c r="M50" s="115">
        <f t="shared" si="2"/>
        <v>23.288</v>
      </c>
      <c r="N50" s="113">
        <f>SUM(N51:N54)</f>
        <v>0</v>
      </c>
      <c r="O50" s="113">
        <f>SUM(O51:O54)</f>
        <v>0</v>
      </c>
      <c r="P50" s="113">
        <v>0</v>
      </c>
      <c r="Q50" s="116">
        <f t="shared" si="3"/>
        <v>0</v>
      </c>
      <c r="R50" s="115">
        <f t="shared" si="4"/>
        <v>23.288</v>
      </c>
      <c r="S50" s="113">
        <f>SUM(S51:S54)</f>
        <v>3.1640000000000001</v>
      </c>
      <c r="T50" s="113">
        <f>SUM(T51:T54)</f>
        <v>5.8220000000000001</v>
      </c>
      <c r="U50" s="113">
        <f>SUM(U51:U54)</f>
        <v>5.8220000000000001</v>
      </c>
      <c r="V50" s="116">
        <f t="shared" si="5"/>
        <v>14.808</v>
      </c>
      <c r="W50" s="117">
        <f t="shared" si="6"/>
        <v>38.096000000000004</v>
      </c>
    </row>
    <row r="51" spans="1:23" x14ac:dyDescent="0.25">
      <c r="A51" s="111"/>
      <c r="B51" s="294" t="s">
        <v>228</v>
      </c>
      <c r="C51" s="294"/>
      <c r="D51" s="142" t="s">
        <v>204</v>
      </c>
      <c r="E51" s="113">
        <v>0</v>
      </c>
      <c r="F51" s="113">
        <v>0</v>
      </c>
      <c r="G51" s="113">
        <v>0</v>
      </c>
      <c r="H51" s="116">
        <f t="shared" si="0"/>
        <v>0</v>
      </c>
      <c r="I51" s="113">
        <v>0</v>
      </c>
      <c r="J51" s="113">
        <v>0</v>
      </c>
      <c r="K51" s="113">
        <v>0</v>
      </c>
      <c r="L51" s="116">
        <f t="shared" si="1"/>
        <v>0</v>
      </c>
      <c r="M51" s="115">
        <f t="shared" si="2"/>
        <v>0</v>
      </c>
      <c r="N51" s="113">
        <v>0</v>
      </c>
      <c r="O51" s="113">
        <v>0</v>
      </c>
      <c r="P51" s="113">
        <v>0</v>
      </c>
      <c r="Q51" s="116">
        <f t="shared" si="3"/>
        <v>0</v>
      </c>
      <c r="R51" s="115">
        <f t="shared" si="4"/>
        <v>0</v>
      </c>
      <c r="S51" s="113"/>
      <c r="T51" s="113"/>
      <c r="U51" s="113"/>
      <c r="V51" s="116">
        <f t="shared" si="5"/>
        <v>0</v>
      </c>
      <c r="W51" s="117">
        <f t="shared" si="6"/>
        <v>0</v>
      </c>
    </row>
    <row r="52" spans="1:23" x14ac:dyDescent="0.25">
      <c r="A52" s="111"/>
      <c r="B52" s="291" t="s">
        <v>229</v>
      </c>
      <c r="C52" s="292"/>
      <c r="D52" s="142" t="s">
        <v>204</v>
      </c>
      <c r="E52" s="113">
        <v>0</v>
      </c>
      <c r="F52" s="113">
        <v>0</v>
      </c>
      <c r="G52" s="113">
        <v>0</v>
      </c>
      <c r="H52" s="116">
        <f t="shared" si="0"/>
        <v>0</v>
      </c>
      <c r="I52" s="113">
        <v>0</v>
      </c>
      <c r="J52" s="113">
        <v>0</v>
      </c>
      <c r="K52" s="113">
        <v>0</v>
      </c>
      <c r="L52" s="116">
        <f t="shared" si="1"/>
        <v>0</v>
      </c>
      <c r="M52" s="115">
        <f t="shared" si="2"/>
        <v>0</v>
      </c>
      <c r="N52" s="113">
        <v>0</v>
      </c>
      <c r="O52" s="113">
        <v>0</v>
      </c>
      <c r="P52" s="113">
        <v>0</v>
      </c>
      <c r="Q52" s="116">
        <f t="shared" si="3"/>
        <v>0</v>
      </c>
      <c r="R52" s="115">
        <f t="shared" si="4"/>
        <v>0</v>
      </c>
      <c r="S52" s="113"/>
      <c r="T52" s="113">
        <v>0</v>
      </c>
      <c r="U52" s="113">
        <v>0</v>
      </c>
      <c r="V52" s="116">
        <f t="shared" si="5"/>
        <v>0</v>
      </c>
      <c r="W52" s="117">
        <f t="shared" si="6"/>
        <v>0</v>
      </c>
    </row>
    <row r="53" spans="1:23" x14ac:dyDescent="0.25">
      <c r="A53" s="111"/>
      <c r="B53" s="291" t="s">
        <v>230</v>
      </c>
      <c r="C53" s="292"/>
      <c r="D53" s="142" t="s">
        <v>204</v>
      </c>
      <c r="E53" s="113">
        <v>0</v>
      </c>
      <c r="F53" s="113">
        <v>0</v>
      </c>
      <c r="G53" s="113">
        <v>0</v>
      </c>
      <c r="H53" s="116">
        <f t="shared" si="0"/>
        <v>0</v>
      </c>
      <c r="I53" s="113">
        <v>0</v>
      </c>
      <c r="J53" s="113">
        <v>0</v>
      </c>
      <c r="K53" s="113">
        <v>0</v>
      </c>
      <c r="L53" s="116">
        <f t="shared" si="1"/>
        <v>0</v>
      </c>
      <c r="M53" s="115">
        <f t="shared" si="2"/>
        <v>0</v>
      </c>
      <c r="N53" s="113">
        <v>0</v>
      </c>
      <c r="O53" s="113">
        <v>0</v>
      </c>
      <c r="P53" s="113">
        <v>0</v>
      </c>
      <c r="Q53" s="116">
        <f t="shared" si="3"/>
        <v>0</v>
      </c>
      <c r="R53" s="115">
        <f t="shared" si="4"/>
        <v>0</v>
      </c>
      <c r="S53" s="113">
        <v>0</v>
      </c>
      <c r="T53" s="113"/>
      <c r="U53" s="113"/>
      <c r="V53" s="116">
        <f t="shared" si="5"/>
        <v>0</v>
      </c>
      <c r="W53" s="117">
        <f t="shared" si="6"/>
        <v>0</v>
      </c>
    </row>
    <row r="54" spans="1:23" x14ac:dyDescent="0.25">
      <c r="A54" s="111"/>
      <c r="B54" s="166" t="s">
        <v>231</v>
      </c>
      <c r="C54" s="167"/>
      <c r="D54" s="142" t="s">
        <v>204</v>
      </c>
      <c r="E54" s="113">
        <f>6.325-0.503</f>
        <v>5.8220000000000001</v>
      </c>
      <c r="F54" s="113">
        <f>6.325-0.503</f>
        <v>5.8220000000000001</v>
      </c>
      <c r="G54" s="113">
        <f>6.325-0.503</f>
        <v>5.8220000000000001</v>
      </c>
      <c r="H54" s="116">
        <f t="shared" si="0"/>
        <v>17.466000000000001</v>
      </c>
      <c r="I54" s="113">
        <f>6.325-0.503</f>
        <v>5.8220000000000001</v>
      </c>
      <c r="J54" s="113">
        <v>0</v>
      </c>
      <c r="K54" s="113">
        <v>0</v>
      </c>
      <c r="L54" s="116">
        <f t="shared" si="1"/>
        <v>5.8220000000000001</v>
      </c>
      <c r="M54" s="115">
        <f t="shared" si="2"/>
        <v>23.288</v>
      </c>
      <c r="N54" s="113">
        <v>0</v>
      </c>
      <c r="O54" s="113">
        <v>0</v>
      </c>
      <c r="P54" s="113">
        <v>0</v>
      </c>
      <c r="Q54" s="116">
        <f t="shared" si="3"/>
        <v>0</v>
      </c>
      <c r="R54" s="115">
        <f t="shared" si="4"/>
        <v>23.288</v>
      </c>
      <c r="S54" s="113">
        <f>6.325-0.503-2.658</f>
        <v>3.1640000000000001</v>
      </c>
      <c r="T54" s="113">
        <f>6.325-0.503</f>
        <v>5.8220000000000001</v>
      </c>
      <c r="U54" s="113">
        <f>6.325-0.503</f>
        <v>5.8220000000000001</v>
      </c>
      <c r="V54" s="116">
        <f t="shared" si="5"/>
        <v>14.808</v>
      </c>
      <c r="W54" s="117">
        <f t="shared" si="6"/>
        <v>38.096000000000004</v>
      </c>
    </row>
    <row r="55" spans="1:23" x14ac:dyDescent="0.25">
      <c r="A55" s="122" t="s">
        <v>232</v>
      </c>
      <c r="B55" s="288" t="s">
        <v>233</v>
      </c>
      <c r="C55" s="288"/>
      <c r="D55" s="142" t="s">
        <v>204</v>
      </c>
      <c r="E55" s="113">
        <f>SUM(E56)</f>
        <v>0</v>
      </c>
      <c r="F55" s="113">
        <f>SUM(F56)</f>
        <v>0</v>
      </c>
      <c r="G55" s="113">
        <f>SUM(G56)</f>
        <v>0</v>
      </c>
      <c r="H55" s="116">
        <f t="shared" si="0"/>
        <v>0</v>
      </c>
      <c r="I55" s="113">
        <f>SUM(I56)</f>
        <v>0</v>
      </c>
      <c r="J55" s="113">
        <f>SUM(J56)</f>
        <v>0</v>
      </c>
      <c r="K55" s="113">
        <f>SUM(K56)</f>
        <v>0</v>
      </c>
      <c r="L55" s="116">
        <f t="shared" si="1"/>
        <v>0</v>
      </c>
      <c r="M55" s="115">
        <f t="shared" si="2"/>
        <v>0</v>
      </c>
      <c r="N55" s="113">
        <f>SUM(N56)</f>
        <v>0</v>
      </c>
      <c r="O55" s="113">
        <f>SUM(O56)</f>
        <v>0</v>
      </c>
      <c r="P55" s="113">
        <f>SUM(P56)</f>
        <v>0</v>
      </c>
      <c r="Q55" s="116">
        <f t="shared" si="3"/>
        <v>0</v>
      </c>
      <c r="R55" s="115">
        <f t="shared" si="4"/>
        <v>0</v>
      </c>
      <c r="S55" s="113">
        <f>SUM(S56)</f>
        <v>0</v>
      </c>
      <c r="T55" s="113">
        <f>SUM(T56)</f>
        <v>0</v>
      </c>
      <c r="U55" s="113">
        <f>SUM(U56)</f>
        <v>0</v>
      </c>
      <c r="V55" s="116">
        <f t="shared" si="5"/>
        <v>0</v>
      </c>
      <c r="W55" s="117">
        <f t="shared" si="6"/>
        <v>0</v>
      </c>
    </row>
    <row r="56" spans="1:23" x14ac:dyDescent="0.25">
      <c r="A56" s="111"/>
      <c r="B56" s="288" t="s">
        <v>234</v>
      </c>
      <c r="C56" s="288"/>
      <c r="D56" s="142" t="s">
        <v>204</v>
      </c>
      <c r="E56" s="113">
        <v>0</v>
      </c>
      <c r="F56" s="113">
        <v>0</v>
      </c>
      <c r="G56" s="113">
        <v>0</v>
      </c>
      <c r="H56" s="116">
        <f t="shared" si="0"/>
        <v>0</v>
      </c>
      <c r="I56" s="113">
        <v>0</v>
      </c>
      <c r="J56" s="113">
        <v>0</v>
      </c>
      <c r="K56" s="113">
        <v>0</v>
      </c>
      <c r="L56" s="116">
        <f t="shared" si="1"/>
        <v>0</v>
      </c>
      <c r="M56" s="115">
        <f t="shared" si="2"/>
        <v>0</v>
      </c>
      <c r="N56" s="113">
        <v>0</v>
      </c>
      <c r="O56" s="113">
        <v>0</v>
      </c>
      <c r="P56" s="113">
        <v>0</v>
      </c>
      <c r="Q56" s="116">
        <f t="shared" si="3"/>
        <v>0</v>
      </c>
      <c r="R56" s="115">
        <f t="shared" si="4"/>
        <v>0</v>
      </c>
      <c r="S56" s="113">
        <v>0</v>
      </c>
      <c r="T56" s="113"/>
      <c r="U56" s="113">
        <v>0</v>
      </c>
      <c r="V56" s="116">
        <f t="shared" si="5"/>
        <v>0</v>
      </c>
      <c r="W56" s="117">
        <f t="shared" si="6"/>
        <v>0</v>
      </c>
    </row>
    <row r="57" spans="1:23" x14ac:dyDescent="0.25">
      <c r="A57" s="111" t="s">
        <v>235</v>
      </c>
      <c r="B57" s="288" t="s">
        <v>236</v>
      </c>
      <c r="C57" s="288"/>
      <c r="D57" s="142" t="s">
        <v>204</v>
      </c>
      <c r="E57" s="113">
        <v>0</v>
      </c>
      <c r="F57" s="113">
        <v>0</v>
      </c>
      <c r="G57" s="113">
        <v>0</v>
      </c>
      <c r="H57" s="116">
        <f t="shared" si="0"/>
        <v>0</v>
      </c>
      <c r="I57" s="113">
        <v>0</v>
      </c>
      <c r="J57" s="113">
        <v>0</v>
      </c>
      <c r="K57" s="113">
        <v>0</v>
      </c>
      <c r="L57" s="116">
        <f t="shared" si="1"/>
        <v>0</v>
      </c>
      <c r="M57" s="115">
        <f t="shared" si="2"/>
        <v>0</v>
      </c>
      <c r="N57" s="113">
        <v>0</v>
      </c>
      <c r="O57" s="113">
        <v>0</v>
      </c>
      <c r="P57" s="113">
        <v>0</v>
      </c>
      <c r="Q57" s="116">
        <f t="shared" si="3"/>
        <v>0</v>
      </c>
      <c r="R57" s="115">
        <f t="shared" si="4"/>
        <v>0</v>
      </c>
      <c r="S57" s="113">
        <v>0</v>
      </c>
      <c r="T57" s="113">
        <v>0</v>
      </c>
      <c r="U57" s="113"/>
      <c r="V57" s="116">
        <f t="shared" si="5"/>
        <v>0</v>
      </c>
      <c r="W57" s="117">
        <f t="shared" si="6"/>
        <v>0</v>
      </c>
    </row>
    <row r="58" spans="1:23" x14ac:dyDescent="0.25">
      <c r="A58" s="111">
        <v>11</v>
      </c>
      <c r="B58" s="279" t="s">
        <v>237</v>
      </c>
      <c r="C58" s="280"/>
      <c r="D58" s="142" t="s">
        <v>204</v>
      </c>
      <c r="E58" s="120">
        <f>SUM(E59:E61)</f>
        <v>0</v>
      </c>
      <c r="F58" s="120">
        <f>SUM(F59:F61)</f>
        <v>0</v>
      </c>
      <c r="G58" s="120">
        <f>SUM(G59:G61)</f>
        <v>0</v>
      </c>
      <c r="H58" s="116">
        <f t="shared" si="0"/>
        <v>0</v>
      </c>
      <c r="I58" s="120">
        <f>SUM(I59:I61)</f>
        <v>0</v>
      </c>
      <c r="J58" s="120">
        <f>SUM(J59:J61)</f>
        <v>0</v>
      </c>
      <c r="K58" s="120">
        <f>SUM(K59:K61)</f>
        <v>0</v>
      </c>
      <c r="L58" s="116">
        <f t="shared" si="1"/>
        <v>0</v>
      </c>
      <c r="M58" s="115">
        <f t="shared" si="2"/>
        <v>0</v>
      </c>
      <c r="N58" s="120">
        <f>SUM(N59:N61)</f>
        <v>0</v>
      </c>
      <c r="O58" s="120">
        <v>0</v>
      </c>
      <c r="P58" s="120">
        <f>SUM(P59:P61)</f>
        <v>0</v>
      </c>
      <c r="Q58" s="116">
        <f t="shared" si="3"/>
        <v>0</v>
      </c>
      <c r="R58" s="115">
        <f t="shared" si="4"/>
        <v>0</v>
      </c>
      <c r="S58" s="120">
        <f>S59+S60+S61</f>
        <v>0</v>
      </c>
      <c r="T58" s="120">
        <f>T59+T60+T61</f>
        <v>0</v>
      </c>
      <c r="U58" s="120">
        <f>U59+U60+U61</f>
        <v>0</v>
      </c>
      <c r="V58" s="116">
        <f t="shared" si="5"/>
        <v>0</v>
      </c>
      <c r="W58" s="117">
        <f t="shared" si="6"/>
        <v>0</v>
      </c>
    </row>
    <row r="59" spans="1:23" x14ac:dyDescent="0.25">
      <c r="A59" s="122" t="s">
        <v>238</v>
      </c>
      <c r="B59" s="279" t="s">
        <v>239</v>
      </c>
      <c r="C59" s="280" t="s">
        <v>240</v>
      </c>
      <c r="D59" s="142" t="s">
        <v>204</v>
      </c>
      <c r="E59" s="113">
        <v>0</v>
      </c>
      <c r="F59" s="113">
        <v>0</v>
      </c>
      <c r="G59" s="113">
        <v>0</v>
      </c>
      <c r="H59" s="116">
        <f t="shared" si="0"/>
        <v>0</v>
      </c>
      <c r="I59" s="113">
        <v>0</v>
      </c>
      <c r="J59" s="113">
        <v>0</v>
      </c>
      <c r="K59" s="113">
        <v>0</v>
      </c>
      <c r="L59" s="116">
        <f t="shared" si="1"/>
        <v>0</v>
      </c>
      <c r="M59" s="115">
        <f t="shared" si="2"/>
        <v>0</v>
      </c>
      <c r="N59" s="113">
        <v>0</v>
      </c>
      <c r="O59" s="113">
        <v>0</v>
      </c>
      <c r="P59" s="113">
        <v>0</v>
      </c>
      <c r="Q59" s="116">
        <f t="shared" si="3"/>
        <v>0</v>
      </c>
      <c r="R59" s="115">
        <f t="shared" si="4"/>
        <v>0</v>
      </c>
      <c r="S59" s="113">
        <v>0</v>
      </c>
      <c r="T59" s="113">
        <v>0</v>
      </c>
      <c r="U59" s="113">
        <v>0</v>
      </c>
      <c r="V59" s="116">
        <f t="shared" si="5"/>
        <v>0</v>
      </c>
      <c r="W59" s="117">
        <f t="shared" si="6"/>
        <v>0</v>
      </c>
    </row>
    <row r="60" spans="1:23" x14ac:dyDescent="0.25">
      <c r="A60" s="122" t="s">
        <v>241</v>
      </c>
      <c r="B60" s="277" t="s">
        <v>242</v>
      </c>
      <c r="C60" s="278"/>
      <c r="D60" s="142" t="s">
        <v>204</v>
      </c>
      <c r="E60" s="113">
        <v>0</v>
      </c>
      <c r="F60" s="113">
        <v>0</v>
      </c>
      <c r="G60" s="113">
        <v>0</v>
      </c>
      <c r="H60" s="116">
        <f t="shared" si="0"/>
        <v>0</v>
      </c>
      <c r="I60" s="113">
        <v>0</v>
      </c>
      <c r="J60" s="113">
        <v>0</v>
      </c>
      <c r="K60" s="113">
        <v>0</v>
      </c>
      <c r="L60" s="116">
        <f t="shared" si="1"/>
        <v>0</v>
      </c>
      <c r="M60" s="115">
        <f t="shared" si="2"/>
        <v>0</v>
      </c>
      <c r="N60" s="113">
        <v>0</v>
      </c>
      <c r="O60" s="113">
        <v>0</v>
      </c>
      <c r="P60" s="113">
        <v>0</v>
      </c>
      <c r="Q60" s="116">
        <f t="shared" si="3"/>
        <v>0</v>
      </c>
      <c r="R60" s="115">
        <f t="shared" si="4"/>
        <v>0</v>
      </c>
      <c r="S60" s="113"/>
      <c r="T60" s="113">
        <v>0</v>
      </c>
      <c r="U60" s="113">
        <v>0</v>
      </c>
      <c r="V60" s="116">
        <f t="shared" si="5"/>
        <v>0</v>
      </c>
      <c r="W60" s="117">
        <f t="shared" si="6"/>
        <v>0</v>
      </c>
    </row>
    <row r="61" spans="1:23" x14ac:dyDescent="0.25">
      <c r="A61" s="122" t="s">
        <v>243</v>
      </c>
      <c r="B61" s="279" t="s">
        <v>244</v>
      </c>
      <c r="C61" s="280" t="s">
        <v>245</v>
      </c>
      <c r="D61" s="142" t="s">
        <v>204</v>
      </c>
      <c r="E61" s="113">
        <v>0</v>
      </c>
      <c r="F61" s="113">
        <v>0</v>
      </c>
      <c r="G61" s="113">
        <v>0</v>
      </c>
      <c r="H61" s="116">
        <f t="shared" si="0"/>
        <v>0</v>
      </c>
      <c r="I61" s="113">
        <v>0</v>
      </c>
      <c r="J61" s="113">
        <v>0</v>
      </c>
      <c r="K61" s="113">
        <v>0</v>
      </c>
      <c r="L61" s="116">
        <f t="shared" si="1"/>
        <v>0</v>
      </c>
      <c r="M61" s="115">
        <f t="shared" si="2"/>
        <v>0</v>
      </c>
      <c r="N61" s="113">
        <v>0</v>
      </c>
      <c r="O61" s="113">
        <v>0</v>
      </c>
      <c r="P61" s="113">
        <v>0</v>
      </c>
      <c r="Q61" s="116">
        <f t="shared" si="3"/>
        <v>0</v>
      </c>
      <c r="R61" s="115">
        <f t="shared" si="4"/>
        <v>0</v>
      </c>
      <c r="S61" s="113">
        <v>0</v>
      </c>
      <c r="T61" s="113">
        <v>0</v>
      </c>
      <c r="U61" s="113">
        <v>0</v>
      </c>
      <c r="V61" s="116">
        <f t="shared" si="5"/>
        <v>0</v>
      </c>
      <c r="W61" s="117">
        <f t="shared" si="6"/>
        <v>0</v>
      </c>
    </row>
    <row r="62" spans="1:23" x14ac:dyDescent="0.25">
      <c r="A62" s="111">
        <v>12</v>
      </c>
      <c r="B62" s="279" t="s">
        <v>246</v>
      </c>
      <c r="C62" s="280"/>
      <c r="D62" s="142" t="s">
        <v>204</v>
      </c>
      <c r="E62" s="120">
        <f>SUM(E63:E69,E70,E71:E73,E78,E72)</f>
        <v>6.718</v>
      </c>
      <c r="F62" s="120">
        <f>SUM(F63:F69,F70,F71:F73,F78,F72)</f>
        <v>6.718</v>
      </c>
      <c r="G62" s="120">
        <f>SUM(G63:G69,G70,G71:G73,G78,G72)</f>
        <v>8.1479999999999997</v>
      </c>
      <c r="H62" s="116">
        <f t="shared" si="0"/>
        <v>21.584</v>
      </c>
      <c r="I62" s="120">
        <f>SUM(I63:I69,I70,I71:I73,I78,I72)</f>
        <v>6.718</v>
      </c>
      <c r="J62" s="120">
        <f>SUM(J63:J69,J70,J71:J73,J78,J72)</f>
        <v>0</v>
      </c>
      <c r="K62" s="120">
        <f>SUM(K63:K69,K70,K71:K73,K78,K72)</f>
        <v>0</v>
      </c>
      <c r="L62" s="116">
        <f t="shared" si="1"/>
        <v>6.718</v>
      </c>
      <c r="M62" s="115">
        <f t="shared" si="2"/>
        <v>28.302</v>
      </c>
      <c r="N62" s="120">
        <f>SUM(N63:N69,N70,N71:N73,N78,N72)</f>
        <v>0</v>
      </c>
      <c r="O62" s="120">
        <f>SUM(O63:O69,O70,O71:O73,O78,O72)</f>
        <v>0</v>
      </c>
      <c r="P62" s="120">
        <f>SUM(P63:P69,P70,P71:P73,P78,P72)</f>
        <v>0</v>
      </c>
      <c r="Q62" s="116">
        <f t="shared" si="3"/>
        <v>0</v>
      </c>
      <c r="R62" s="115">
        <f t="shared" si="4"/>
        <v>28.302</v>
      </c>
      <c r="S62" s="120">
        <f>SUM(S63:S69,S70,S71:S73,S78,S72)</f>
        <v>3.3579999999999997</v>
      </c>
      <c r="T62" s="120">
        <f>SUM(T63:T69,T70,T71:T73,T78,T72)</f>
        <v>6.718</v>
      </c>
      <c r="U62" s="120">
        <f>SUM(U63:U69,U70,U71:U73,U78,U72)</f>
        <v>6.718</v>
      </c>
      <c r="V62" s="116">
        <f t="shared" si="5"/>
        <v>16.794</v>
      </c>
      <c r="W62" s="117">
        <f t="shared" si="6"/>
        <v>45.096000000000004</v>
      </c>
    </row>
    <row r="63" spans="1:23" x14ac:dyDescent="0.25">
      <c r="A63" s="122" t="s">
        <v>247</v>
      </c>
      <c r="B63" s="279" t="s">
        <v>248</v>
      </c>
      <c r="C63" s="280" t="s">
        <v>248</v>
      </c>
      <c r="D63" s="142" t="s">
        <v>204</v>
      </c>
      <c r="E63" s="113">
        <v>1.18</v>
      </c>
      <c r="F63" s="113">
        <v>1.18</v>
      </c>
      <c r="G63" s="113">
        <v>1.18</v>
      </c>
      <c r="H63" s="116">
        <f t="shared" si="0"/>
        <v>3.54</v>
      </c>
      <c r="I63" s="113">
        <v>1.18</v>
      </c>
      <c r="J63" s="113"/>
      <c r="K63" s="113"/>
      <c r="L63" s="116">
        <f t="shared" si="1"/>
        <v>1.18</v>
      </c>
      <c r="M63" s="115">
        <f t="shared" si="2"/>
        <v>4.72</v>
      </c>
      <c r="N63" s="113"/>
      <c r="O63" s="113"/>
      <c r="P63" s="113"/>
      <c r="Q63" s="116">
        <f t="shared" si="3"/>
        <v>0</v>
      </c>
      <c r="R63" s="115">
        <f t="shared" si="4"/>
        <v>4.72</v>
      </c>
      <c r="S63" s="113">
        <v>0.59</v>
      </c>
      <c r="T63" s="113">
        <v>1.18</v>
      </c>
      <c r="U63" s="113">
        <v>1.18</v>
      </c>
      <c r="V63" s="116">
        <f t="shared" si="5"/>
        <v>2.95</v>
      </c>
      <c r="W63" s="117">
        <f t="shared" si="6"/>
        <v>7.67</v>
      </c>
    </row>
    <row r="64" spans="1:23" x14ac:dyDescent="0.25">
      <c r="A64" s="122" t="s">
        <v>249</v>
      </c>
      <c r="B64" s="277" t="s">
        <v>250</v>
      </c>
      <c r="C64" s="278" t="s">
        <v>250</v>
      </c>
      <c r="D64" s="142" t="s">
        <v>204</v>
      </c>
      <c r="E64" s="113"/>
      <c r="F64" s="113"/>
      <c r="G64" s="113"/>
      <c r="H64" s="116">
        <f t="shared" si="0"/>
        <v>0</v>
      </c>
      <c r="I64" s="113"/>
      <c r="J64" s="113"/>
      <c r="K64" s="113"/>
      <c r="L64" s="116">
        <f t="shared" si="1"/>
        <v>0</v>
      </c>
      <c r="M64" s="115">
        <f t="shared" si="2"/>
        <v>0</v>
      </c>
      <c r="N64" s="113"/>
      <c r="O64" s="113"/>
      <c r="P64" s="113"/>
      <c r="Q64" s="116">
        <f t="shared" si="3"/>
        <v>0</v>
      </c>
      <c r="R64" s="115">
        <f t="shared" si="4"/>
        <v>0</v>
      </c>
      <c r="S64" s="113"/>
      <c r="T64" s="113"/>
      <c r="U64" s="113"/>
      <c r="V64" s="116">
        <f t="shared" si="5"/>
        <v>0</v>
      </c>
      <c r="W64" s="117">
        <f t="shared" si="6"/>
        <v>0</v>
      </c>
    </row>
    <row r="65" spans="1:23" x14ac:dyDescent="0.25">
      <c r="A65" s="122" t="s">
        <v>251</v>
      </c>
      <c r="B65" s="279" t="s">
        <v>58</v>
      </c>
      <c r="C65" s="280" t="s">
        <v>58</v>
      </c>
      <c r="D65" s="142" t="s">
        <v>204</v>
      </c>
      <c r="E65" s="113"/>
      <c r="F65" s="113"/>
      <c r="G65" s="113"/>
      <c r="H65" s="116">
        <f t="shared" si="0"/>
        <v>0</v>
      </c>
      <c r="I65" s="113"/>
      <c r="J65" s="113"/>
      <c r="K65" s="113"/>
      <c r="L65" s="116">
        <f t="shared" si="1"/>
        <v>0</v>
      </c>
      <c r="M65" s="115">
        <f t="shared" si="2"/>
        <v>0</v>
      </c>
      <c r="N65" s="113"/>
      <c r="O65" s="113"/>
      <c r="P65" s="113"/>
      <c r="Q65" s="116">
        <f t="shared" si="3"/>
        <v>0</v>
      </c>
      <c r="R65" s="115">
        <f t="shared" si="4"/>
        <v>0</v>
      </c>
      <c r="S65" s="113"/>
      <c r="T65" s="113"/>
      <c r="U65" s="113"/>
      <c r="V65" s="116">
        <f t="shared" si="5"/>
        <v>0</v>
      </c>
      <c r="W65" s="117">
        <f t="shared" si="6"/>
        <v>0</v>
      </c>
    </row>
    <row r="66" spans="1:23" x14ac:dyDescent="0.25">
      <c r="A66" s="122" t="s">
        <v>252</v>
      </c>
      <c r="B66" s="164" t="s">
        <v>253</v>
      </c>
      <c r="C66" s="165"/>
      <c r="D66" s="142" t="s">
        <v>132</v>
      </c>
      <c r="E66" s="113"/>
      <c r="F66" s="113"/>
      <c r="G66" s="113"/>
      <c r="H66" s="116">
        <f t="shared" si="0"/>
        <v>0</v>
      </c>
      <c r="I66" s="113"/>
      <c r="J66" s="168"/>
      <c r="K66" s="113"/>
      <c r="L66" s="116">
        <f t="shared" si="1"/>
        <v>0</v>
      </c>
      <c r="M66" s="115">
        <f t="shared" si="2"/>
        <v>0</v>
      </c>
      <c r="N66" s="113"/>
      <c r="O66" s="113"/>
      <c r="P66" s="113"/>
      <c r="Q66" s="116">
        <f t="shared" si="3"/>
        <v>0</v>
      </c>
      <c r="R66" s="115">
        <f t="shared" si="4"/>
        <v>0</v>
      </c>
      <c r="S66" s="113"/>
      <c r="T66" s="113"/>
      <c r="U66" s="113"/>
      <c r="V66" s="116">
        <f t="shared" si="5"/>
        <v>0</v>
      </c>
      <c r="W66" s="117">
        <f t="shared" si="6"/>
        <v>0</v>
      </c>
    </row>
    <row r="67" spans="1:23" x14ac:dyDescent="0.25">
      <c r="A67" s="122" t="s">
        <v>254</v>
      </c>
      <c r="B67" s="277" t="s">
        <v>255</v>
      </c>
      <c r="C67" s="278" t="s">
        <v>255</v>
      </c>
      <c r="D67" s="142" t="s">
        <v>204</v>
      </c>
      <c r="E67" s="113">
        <v>1.7110000000000001</v>
      </c>
      <c r="F67" s="113">
        <v>1.7110000000000001</v>
      </c>
      <c r="G67" s="113">
        <v>1.7110000000000001</v>
      </c>
      <c r="H67" s="116">
        <f t="shared" si="0"/>
        <v>5.133</v>
      </c>
      <c r="I67" s="113">
        <v>1.7110000000000001</v>
      </c>
      <c r="J67" s="113"/>
      <c r="K67" s="113"/>
      <c r="L67" s="116">
        <f t="shared" si="1"/>
        <v>1.7110000000000001</v>
      </c>
      <c r="M67" s="115">
        <f t="shared" si="2"/>
        <v>6.8440000000000003</v>
      </c>
      <c r="N67" s="113"/>
      <c r="O67" s="113"/>
      <c r="P67" s="113"/>
      <c r="Q67" s="116">
        <f t="shared" si="3"/>
        <v>0</v>
      </c>
      <c r="R67" s="115">
        <f t="shared" si="4"/>
        <v>6.8440000000000003</v>
      </c>
      <c r="S67" s="113">
        <v>0.85499999999999998</v>
      </c>
      <c r="T67" s="113">
        <v>1.7110000000000001</v>
      </c>
      <c r="U67" s="113">
        <v>1.7110000000000001</v>
      </c>
      <c r="V67" s="116">
        <f t="shared" si="5"/>
        <v>4.2770000000000001</v>
      </c>
      <c r="W67" s="117">
        <f t="shared" si="6"/>
        <v>11.121</v>
      </c>
    </row>
    <row r="68" spans="1:23" x14ac:dyDescent="0.25">
      <c r="A68" s="122" t="s">
        <v>256</v>
      </c>
      <c r="B68" s="277" t="s">
        <v>257</v>
      </c>
      <c r="C68" s="278" t="s">
        <v>257</v>
      </c>
      <c r="D68" s="142" t="s">
        <v>204</v>
      </c>
      <c r="E68" s="113">
        <v>1.085</v>
      </c>
      <c r="F68" s="113">
        <v>1.085</v>
      </c>
      <c r="G68" s="113">
        <v>1.085</v>
      </c>
      <c r="H68" s="116">
        <f t="shared" si="0"/>
        <v>3.2549999999999999</v>
      </c>
      <c r="I68" s="113">
        <v>1.085</v>
      </c>
      <c r="J68" s="113"/>
      <c r="K68" s="113"/>
      <c r="L68" s="116">
        <f t="shared" si="1"/>
        <v>1.085</v>
      </c>
      <c r="M68" s="115">
        <f t="shared" si="2"/>
        <v>4.34</v>
      </c>
      <c r="N68" s="113"/>
      <c r="O68" s="113"/>
      <c r="P68" s="113"/>
      <c r="Q68" s="116">
        <f t="shared" si="3"/>
        <v>0</v>
      </c>
      <c r="R68" s="115">
        <f t="shared" si="4"/>
        <v>4.34</v>
      </c>
      <c r="S68" s="113">
        <v>0.54200000000000004</v>
      </c>
      <c r="T68" s="113">
        <v>1.085</v>
      </c>
      <c r="U68" s="113">
        <v>1.085</v>
      </c>
      <c r="V68" s="116">
        <f t="shared" si="5"/>
        <v>2.7119999999999997</v>
      </c>
      <c r="W68" s="117">
        <f t="shared" si="6"/>
        <v>7.0519999999999996</v>
      </c>
    </row>
    <row r="69" spans="1:23" x14ac:dyDescent="0.25">
      <c r="A69" s="122" t="s">
        <v>258</v>
      </c>
      <c r="B69" s="279" t="s">
        <v>259</v>
      </c>
      <c r="C69" s="280" t="s">
        <v>260</v>
      </c>
      <c r="D69" s="142" t="s">
        <v>204</v>
      </c>
      <c r="E69" s="113"/>
      <c r="F69" s="113"/>
      <c r="G69" s="113"/>
      <c r="H69" s="116">
        <f t="shared" si="0"/>
        <v>0</v>
      </c>
      <c r="I69" s="113"/>
      <c r="J69" s="113"/>
      <c r="K69" s="113"/>
      <c r="L69" s="116">
        <f t="shared" si="1"/>
        <v>0</v>
      </c>
      <c r="M69" s="115">
        <f t="shared" si="2"/>
        <v>0</v>
      </c>
      <c r="N69" s="113"/>
      <c r="O69" s="113"/>
      <c r="P69" s="113"/>
      <c r="Q69" s="116">
        <f t="shared" si="3"/>
        <v>0</v>
      </c>
      <c r="R69" s="115">
        <f t="shared" si="4"/>
        <v>0</v>
      </c>
      <c r="S69" s="113"/>
      <c r="T69" s="113"/>
      <c r="U69" s="113"/>
      <c r="V69" s="116">
        <f t="shared" si="5"/>
        <v>0</v>
      </c>
      <c r="W69" s="117">
        <f t="shared" si="6"/>
        <v>0</v>
      </c>
    </row>
    <row r="70" spans="1:23" x14ac:dyDescent="0.25">
      <c r="A70" s="122" t="s">
        <v>261</v>
      </c>
      <c r="B70" s="277" t="s">
        <v>262</v>
      </c>
      <c r="C70" s="278" t="s">
        <v>263</v>
      </c>
      <c r="D70" s="142" t="s">
        <v>204</v>
      </c>
      <c r="E70" s="113"/>
      <c r="F70" s="113"/>
      <c r="G70" s="113"/>
      <c r="H70" s="116">
        <f t="shared" si="0"/>
        <v>0</v>
      </c>
      <c r="I70" s="113"/>
      <c r="J70" s="113"/>
      <c r="K70" s="113"/>
      <c r="L70" s="116">
        <f t="shared" si="1"/>
        <v>0</v>
      </c>
      <c r="M70" s="115">
        <f t="shared" si="2"/>
        <v>0</v>
      </c>
      <c r="N70" s="113"/>
      <c r="O70" s="113"/>
      <c r="P70" s="113"/>
      <c r="Q70" s="116">
        <f t="shared" si="3"/>
        <v>0</v>
      </c>
      <c r="R70" s="115">
        <f t="shared" si="4"/>
        <v>0</v>
      </c>
      <c r="S70" s="113"/>
      <c r="T70" s="113"/>
      <c r="U70" s="113"/>
      <c r="V70" s="116">
        <f t="shared" si="5"/>
        <v>0</v>
      </c>
      <c r="W70" s="117">
        <f t="shared" si="6"/>
        <v>0</v>
      </c>
    </row>
    <row r="71" spans="1:23" x14ac:dyDescent="0.25">
      <c r="A71" s="122" t="s">
        <v>264</v>
      </c>
      <c r="B71" s="277" t="s">
        <v>265</v>
      </c>
      <c r="C71" s="293"/>
      <c r="D71" s="142" t="s">
        <v>204</v>
      </c>
      <c r="E71" s="113"/>
      <c r="F71" s="113"/>
      <c r="G71" s="113"/>
      <c r="H71" s="116">
        <f t="shared" si="0"/>
        <v>0</v>
      </c>
      <c r="I71" s="113"/>
      <c r="J71" s="113"/>
      <c r="K71" s="113"/>
      <c r="L71" s="116">
        <f t="shared" si="1"/>
        <v>0</v>
      </c>
      <c r="M71" s="115">
        <f t="shared" si="2"/>
        <v>0</v>
      </c>
      <c r="N71" s="113"/>
      <c r="O71" s="113"/>
      <c r="P71" s="113"/>
      <c r="Q71" s="116">
        <f t="shared" si="3"/>
        <v>0</v>
      </c>
      <c r="R71" s="115">
        <f t="shared" si="4"/>
        <v>0</v>
      </c>
      <c r="S71" s="113"/>
      <c r="T71" s="113"/>
      <c r="U71" s="113"/>
      <c r="V71" s="116">
        <f t="shared" si="5"/>
        <v>0</v>
      </c>
      <c r="W71" s="117">
        <f t="shared" si="6"/>
        <v>0</v>
      </c>
    </row>
    <row r="72" spans="1:23" x14ac:dyDescent="0.25">
      <c r="A72" s="122" t="s">
        <v>266</v>
      </c>
      <c r="B72" s="279" t="s">
        <v>267</v>
      </c>
      <c r="C72" s="280" t="s">
        <v>268</v>
      </c>
      <c r="D72" s="142" t="s">
        <v>204</v>
      </c>
      <c r="E72" s="113"/>
      <c r="F72" s="113"/>
      <c r="G72" s="113"/>
      <c r="H72" s="116">
        <f t="shared" si="0"/>
        <v>0</v>
      </c>
      <c r="I72" s="113"/>
      <c r="J72" s="113"/>
      <c r="K72" s="113"/>
      <c r="L72" s="116">
        <f t="shared" si="1"/>
        <v>0</v>
      </c>
      <c r="M72" s="115">
        <f t="shared" si="2"/>
        <v>0</v>
      </c>
      <c r="N72" s="113"/>
      <c r="O72" s="113"/>
      <c r="P72" s="113"/>
      <c r="Q72" s="116">
        <f t="shared" si="3"/>
        <v>0</v>
      </c>
      <c r="R72" s="115">
        <f t="shared" si="4"/>
        <v>0</v>
      </c>
      <c r="S72" s="113"/>
      <c r="T72" s="113"/>
      <c r="U72" s="113"/>
      <c r="V72" s="116">
        <f t="shared" si="5"/>
        <v>0</v>
      </c>
      <c r="W72" s="117">
        <f t="shared" si="6"/>
        <v>0</v>
      </c>
    </row>
    <row r="73" spans="1:23" x14ac:dyDescent="0.25">
      <c r="A73" s="122" t="s">
        <v>269</v>
      </c>
      <c r="B73" s="279" t="s">
        <v>233</v>
      </c>
      <c r="C73" s="280" t="s">
        <v>233</v>
      </c>
      <c r="D73" s="142" t="s">
        <v>204</v>
      </c>
      <c r="E73" s="113">
        <f>SUM(E74:E77)</f>
        <v>0.12</v>
      </c>
      <c r="F73" s="113">
        <f>SUM(F74:F77)</f>
        <v>0.12</v>
      </c>
      <c r="G73" s="113">
        <f>SUM(G74:G77)</f>
        <v>0.12</v>
      </c>
      <c r="H73" s="116">
        <f t="shared" si="0"/>
        <v>0.36</v>
      </c>
      <c r="I73" s="113">
        <f>SUM(I74:I77)</f>
        <v>0.12</v>
      </c>
      <c r="J73" s="113">
        <v>0</v>
      </c>
      <c r="K73" s="113">
        <f>SUM(K74:K77)</f>
        <v>0</v>
      </c>
      <c r="L73" s="116">
        <f t="shared" si="1"/>
        <v>0.12</v>
      </c>
      <c r="M73" s="115">
        <f t="shared" si="2"/>
        <v>0.48</v>
      </c>
      <c r="N73" s="113">
        <f>SUM(N74:N77)</f>
        <v>0</v>
      </c>
      <c r="O73" s="113">
        <f>SUM(O74:O77)</f>
        <v>0</v>
      </c>
      <c r="P73" s="113">
        <f>SUM(P74:P77)</f>
        <v>0</v>
      </c>
      <c r="Q73" s="116">
        <f t="shared" si="3"/>
        <v>0</v>
      </c>
      <c r="R73" s="115">
        <f t="shared" si="4"/>
        <v>0.48</v>
      </c>
      <c r="S73" s="113">
        <f>SUM(S74:S77)</f>
        <v>0.06</v>
      </c>
      <c r="T73" s="113">
        <f>SUM(T74:T77)</f>
        <v>0.12</v>
      </c>
      <c r="U73" s="113">
        <f>SUM(U74:U77)</f>
        <v>0.12</v>
      </c>
      <c r="V73" s="116">
        <f t="shared" si="5"/>
        <v>0.3</v>
      </c>
      <c r="W73" s="117">
        <f t="shared" si="6"/>
        <v>0.78</v>
      </c>
    </row>
    <row r="74" spans="1:23" x14ac:dyDescent="0.25">
      <c r="A74" s="122"/>
      <c r="B74" s="279" t="s">
        <v>270</v>
      </c>
      <c r="C74" s="280" t="s">
        <v>270</v>
      </c>
      <c r="D74" s="142" t="s">
        <v>204</v>
      </c>
      <c r="E74" s="113">
        <v>0.12</v>
      </c>
      <c r="F74" s="113">
        <v>0.12</v>
      </c>
      <c r="G74" s="113">
        <v>0.12</v>
      </c>
      <c r="H74" s="116">
        <f t="shared" ref="H74:H89" si="9">SUM(E74:G74)</f>
        <v>0.36</v>
      </c>
      <c r="I74" s="113">
        <v>0.12</v>
      </c>
      <c r="J74" s="113"/>
      <c r="K74" s="113"/>
      <c r="L74" s="116">
        <f t="shared" ref="L74:L89" si="10">SUM(I74:K74)</f>
        <v>0.12</v>
      </c>
      <c r="M74" s="115">
        <f t="shared" ref="M74:M89" si="11">L74+H74</f>
        <v>0.48</v>
      </c>
      <c r="N74" s="113"/>
      <c r="O74" s="113"/>
      <c r="P74" s="113"/>
      <c r="Q74" s="116">
        <f t="shared" ref="Q74:Q89" si="12">SUM(N74:P74)</f>
        <v>0</v>
      </c>
      <c r="R74" s="115">
        <f t="shared" ref="R74:R89" si="13">Q74+M74</f>
        <v>0.48</v>
      </c>
      <c r="S74" s="113">
        <v>0.06</v>
      </c>
      <c r="T74" s="113">
        <v>0.12</v>
      </c>
      <c r="U74" s="113">
        <v>0.12</v>
      </c>
      <c r="V74" s="116">
        <f t="shared" ref="V74:V89" si="14">SUM(S74:U74)</f>
        <v>0.3</v>
      </c>
      <c r="W74" s="117">
        <f t="shared" ref="W74:W89" si="15">V74+R74</f>
        <v>0.78</v>
      </c>
    </row>
    <row r="75" spans="1:23" x14ac:dyDescent="0.25">
      <c r="A75" s="122"/>
      <c r="B75" s="279" t="s">
        <v>271</v>
      </c>
      <c r="C75" s="280" t="s">
        <v>271</v>
      </c>
      <c r="D75" s="142" t="s">
        <v>204</v>
      </c>
      <c r="E75" s="113"/>
      <c r="F75" s="113"/>
      <c r="G75" s="113"/>
      <c r="H75" s="116">
        <f t="shared" si="9"/>
        <v>0</v>
      </c>
      <c r="I75" s="113"/>
      <c r="J75" s="113"/>
      <c r="K75" s="113"/>
      <c r="L75" s="116">
        <f t="shared" si="10"/>
        <v>0</v>
      </c>
      <c r="M75" s="115">
        <f t="shared" si="11"/>
        <v>0</v>
      </c>
      <c r="N75" s="113"/>
      <c r="O75" s="113"/>
      <c r="P75" s="113"/>
      <c r="Q75" s="116">
        <f t="shared" si="12"/>
        <v>0</v>
      </c>
      <c r="R75" s="115">
        <f t="shared" si="13"/>
        <v>0</v>
      </c>
      <c r="S75" s="113"/>
      <c r="T75" s="113"/>
      <c r="U75" s="113"/>
      <c r="V75" s="116">
        <f t="shared" si="14"/>
        <v>0</v>
      </c>
      <c r="W75" s="117">
        <f t="shared" si="15"/>
        <v>0</v>
      </c>
    </row>
    <row r="76" spans="1:23" x14ac:dyDescent="0.25">
      <c r="A76" s="122"/>
      <c r="B76" s="279" t="s">
        <v>272</v>
      </c>
      <c r="C76" s="280" t="s">
        <v>273</v>
      </c>
      <c r="D76" s="142" t="s">
        <v>204</v>
      </c>
      <c r="E76" s="113"/>
      <c r="F76" s="113"/>
      <c r="G76" s="113"/>
      <c r="H76" s="116">
        <f t="shared" si="9"/>
        <v>0</v>
      </c>
      <c r="I76" s="113"/>
      <c r="J76" s="113"/>
      <c r="K76" s="113"/>
      <c r="L76" s="116">
        <f t="shared" si="10"/>
        <v>0</v>
      </c>
      <c r="M76" s="115">
        <f t="shared" si="11"/>
        <v>0</v>
      </c>
      <c r="N76" s="113"/>
      <c r="O76" s="113"/>
      <c r="P76" s="113"/>
      <c r="Q76" s="116">
        <f t="shared" si="12"/>
        <v>0</v>
      </c>
      <c r="R76" s="115">
        <f t="shared" si="13"/>
        <v>0</v>
      </c>
      <c r="S76" s="113"/>
      <c r="T76" s="113"/>
      <c r="U76" s="113"/>
      <c r="V76" s="116">
        <f t="shared" si="14"/>
        <v>0</v>
      </c>
      <c r="W76" s="117">
        <f t="shared" si="15"/>
        <v>0</v>
      </c>
    </row>
    <row r="77" spans="1:23" x14ac:dyDescent="0.25">
      <c r="A77" s="122"/>
      <c r="B77" s="164" t="s">
        <v>274</v>
      </c>
      <c r="C77" s="165"/>
      <c r="D77" s="142" t="s">
        <v>204</v>
      </c>
      <c r="E77" s="113"/>
      <c r="F77" s="113"/>
      <c r="G77" s="113"/>
      <c r="H77" s="116">
        <f t="shared" si="9"/>
        <v>0</v>
      </c>
      <c r="I77" s="113"/>
      <c r="J77" s="113"/>
      <c r="K77" s="113"/>
      <c r="L77" s="116">
        <f t="shared" si="10"/>
        <v>0</v>
      </c>
      <c r="M77" s="115">
        <f t="shared" si="11"/>
        <v>0</v>
      </c>
      <c r="N77" s="113"/>
      <c r="O77" s="113"/>
      <c r="P77" s="113"/>
      <c r="Q77" s="116">
        <f t="shared" si="12"/>
        <v>0</v>
      </c>
      <c r="R77" s="115">
        <f t="shared" si="13"/>
        <v>0</v>
      </c>
      <c r="S77" s="113"/>
      <c r="T77" s="113"/>
      <c r="U77" s="113"/>
      <c r="V77" s="116">
        <f t="shared" si="14"/>
        <v>0</v>
      </c>
      <c r="W77" s="117">
        <f t="shared" si="15"/>
        <v>0</v>
      </c>
    </row>
    <row r="78" spans="1:23" x14ac:dyDescent="0.25">
      <c r="A78" s="122" t="s">
        <v>275</v>
      </c>
      <c r="B78" s="279" t="s">
        <v>276</v>
      </c>
      <c r="C78" s="280" t="s">
        <v>276</v>
      </c>
      <c r="D78" s="142" t="s">
        <v>204</v>
      </c>
      <c r="E78" s="120">
        <f>SUM(E79:E81)</f>
        <v>2.6219999999999999</v>
      </c>
      <c r="F78" s="120">
        <f>SUM(F79:F81)</f>
        <v>2.6219999999999999</v>
      </c>
      <c r="G78" s="120">
        <f>SUM(G79:G81)</f>
        <v>4.0519999999999996</v>
      </c>
      <c r="H78" s="116">
        <f t="shared" si="9"/>
        <v>9.2959999999999994</v>
      </c>
      <c r="I78" s="120">
        <f>SUM(I79:I81)</f>
        <v>2.6219999999999999</v>
      </c>
      <c r="J78" s="120">
        <f>SUM(J79:J81)</f>
        <v>0</v>
      </c>
      <c r="K78" s="120">
        <f>SUM(K79:K81)</f>
        <v>0</v>
      </c>
      <c r="L78" s="116">
        <f t="shared" si="10"/>
        <v>2.6219999999999999</v>
      </c>
      <c r="M78" s="115">
        <f t="shared" si="11"/>
        <v>11.917999999999999</v>
      </c>
      <c r="N78" s="120">
        <f>SUM(N79:N81)</f>
        <v>0</v>
      </c>
      <c r="O78" s="120">
        <f>SUM(O79:O81)</f>
        <v>0</v>
      </c>
      <c r="P78" s="120">
        <f>SUM(P79:P81)</f>
        <v>0</v>
      </c>
      <c r="Q78" s="116">
        <f t="shared" si="12"/>
        <v>0</v>
      </c>
      <c r="R78" s="115">
        <f t="shared" si="13"/>
        <v>11.917999999999999</v>
      </c>
      <c r="S78" s="120">
        <f>SUM(S79:S81)</f>
        <v>1.3109999999999999</v>
      </c>
      <c r="T78" s="120">
        <f>SUM(T79:T81)</f>
        <v>2.6219999999999999</v>
      </c>
      <c r="U78" s="120">
        <f>SUM(U79:U81)</f>
        <v>2.6219999999999999</v>
      </c>
      <c r="V78" s="116">
        <f t="shared" si="14"/>
        <v>6.5549999999999997</v>
      </c>
      <c r="W78" s="117">
        <f t="shared" si="15"/>
        <v>18.472999999999999</v>
      </c>
    </row>
    <row r="79" spans="1:23" x14ac:dyDescent="0.25">
      <c r="A79" s="122" t="s">
        <v>277</v>
      </c>
      <c r="B79" s="279" t="s">
        <v>278</v>
      </c>
      <c r="C79" s="280" t="s">
        <v>278</v>
      </c>
      <c r="D79" s="142" t="s">
        <v>204</v>
      </c>
      <c r="E79" s="113"/>
      <c r="F79" s="113"/>
      <c r="G79" s="113"/>
      <c r="H79" s="116">
        <f t="shared" si="9"/>
        <v>0</v>
      </c>
      <c r="I79" s="113"/>
      <c r="J79" s="113"/>
      <c r="K79" s="113"/>
      <c r="L79" s="116">
        <f t="shared" si="10"/>
        <v>0</v>
      </c>
      <c r="M79" s="115">
        <f t="shared" si="11"/>
        <v>0</v>
      </c>
      <c r="N79" s="113"/>
      <c r="O79" s="113"/>
      <c r="P79" s="113"/>
      <c r="Q79" s="116">
        <f t="shared" si="12"/>
        <v>0</v>
      </c>
      <c r="R79" s="115">
        <f t="shared" si="13"/>
        <v>0</v>
      </c>
      <c r="S79" s="113"/>
      <c r="T79" s="113"/>
      <c r="U79" s="113"/>
      <c r="V79" s="116">
        <f t="shared" si="14"/>
        <v>0</v>
      </c>
      <c r="W79" s="117">
        <f t="shared" si="15"/>
        <v>0</v>
      </c>
    </row>
    <row r="80" spans="1:23" x14ac:dyDescent="0.25">
      <c r="A80" s="122" t="s">
        <v>279</v>
      </c>
      <c r="B80" s="279" t="s">
        <v>280</v>
      </c>
      <c r="C80" s="280" t="s">
        <v>281</v>
      </c>
      <c r="D80" s="142" t="s">
        <v>204</v>
      </c>
      <c r="E80" s="113"/>
      <c r="F80" s="113"/>
      <c r="G80" s="113">
        <v>1.43</v>
      </c>
      <c r="H80" s="116">
        <f t="shared" si="9"/>
        <v>1.43</v>
      </c>
      <c r="I80" s="113"/>
      <c r="J80" s="113"/>
      <c r="K80" s="113"/>
      <c r="L80" s="116">
        <f t="shared" si="10"/>
        <v>0</v>
      </c>
      <c r="M80" s="115">
        <f t="shared" si="11"/>
        <v>1.43</v>
      </c>
      <c r="N80" s="113"/>
      <c r="O80" s="113"/>
      <c r="P80" s="113"/>
      <c r="Q80" s="116">
        <f t="shared" si="12"/>
        <v>0</v>
      </c>
      <c r="R80" s="115">
        <f t="shared" si="13"/>
        <v>1.43</v>
      </c>
      <c r="S80" s="113"/>
      <c r="T80" s="113"/>
      <c r="U80" s="113"/>
      <c r="V80" s="116">
        <f t="shared" si="14"/>
        <v>0</v>
      </c>
      <c r="W80" s="117">
        <f t="shared" si="15"/>
        <v>1.43</v>
      </c>
    </row>
    <row r="81" spans="1:23" x14ac:dyDescent="0.25">
      <c r="A81" s="122" t="s">
        <v>282</v>
      </c>
      <c r="B81" s="164" t="s">
        <v>283</v>
      </c>
      <c r="C81" s="165"/>
      <c r="D81" s="142" t="s">
        <v>204</v>
      </c>
      <c r="E81" s="113">
        <v>2.6219999999999999</v>
      </c>
      <c r="F81" s="113">
        <v>2.6219999999999999</v>
      </c>
      <c r="G81" s="113">
        <v>2.6219999999999999</v>
      </c>
      <c r="H81" s="116">
        <f t="shared" si="9"/>
        <v>7.8659999999999997</v>
      </c>
      <c r="I81" s="113">
        <v>2.6219999999999999</v>
      </c>
      <c r="J81" s="113"/>
      <c r="K81" s="113"/>
      <c r="L81" s="116">
        <f t="shared" si="10"/>
        <v>2.6219999999999999</v>
      </c>
      <c r="M81" s="115">
        <f t="shared" si="11"/>
        <v>10.488</v>
      </c>
      <c r="N81" s="113"/>
      <c r="O81" s="113"/>
      <c r="P81" s="113"/>
      <c r="Q81" s="116">
        <f t="shared" si="12"/>
        <v>0</v>
      </c>
      <c r="R81" s="115">
        <f t="shared" si="13"/>
        <v>10.488</v>
      </c>
      <c r="S81" s="113">
        <v>1.3109999999999999</v>
      </c>
      <c r="T81" s="113">
        <v>2.6219999999999999</v>
      </c>
      <c r="U81" s="113">
        <v>2.6219999999999999</v>
      </c>
      <c r="V81" s="116">
        <f t="shared" si="14"/>
        <v>6.5549999999999997</v>
      </c>
      <c r="W81" s="117">
        <f t="shared" si="15"/>
        <v>17.042999999999999</v>
      </c>
    </row>
    <row r="82" spans="1:23" x14ac:dyDescent="0.25">
      <c r="A82" s="111" t="s">
        <v>284</v>
      </c>
      <c r="B82" s="277" t="s">
        <v>285</v>
      </c>
      <c r="C82" s="278"/>
      <c r="D82" s="142" t="s">
        <v>204</v>
      </c>
      <c r="E82" s="113">
        <v>0</v>
      </c>
      <c r="F82" s="113">
        <v>0</v>
      </c>
      <c r="G82" s="114">
        <v>0</v>
      </c>
      <c r="H82" s="116">
        <f t="shared" si="9"/>
        <v>0</v>
      </c>
      <c r="I82" s="113">
        <v>0</v>
      </c>
      <c r="J82" s="113">
        <v>0</v>
      </c>
      <c r="K82" s="113">
        <v>0</v>
      </c>
      <c r="L82" s="116">
        <f t="shared" si="10"/>
        <v>0</v>
      </c>
      <c r="M82" s="115">
        <f t="shared" si="11"/>
        <v>0</v>
      </c>
      <c r="N82" s="113"/>
      <c r="O82" s="113"/>
      <c r="P82" s="113"/>
      <c r="Q82" s="116">
        <f t="shared" si="12"/>
        <v>0</v>
      </c>
      <c r="R82" s="115">
        <f t="shared" si="13"/>
        <v>0</v>
      </c>
      <c r="S82" s="113"/>
      <c r="T82" s="113"/>
      <c r="U82" s="113"/>
      <c r="V82" s="116">
        <f t="shared" si="14"/>
        <v>0</v>
      </c>
      <c r="W82" s="117">
        <f t="shared" si="15"/>
        <v>0</v>
      </c>
    </row>
    <row r="83" spans="1:23" x14ac:dyDescent="0.25">
      <c r="A83" s="111"/>
      <c r="B83" s="164"/>
      <c r="C83" s="165"/>
      <c r="D83" s="142"/>
      <c r="E83" s="113"/>
      <c r="F83" s="113"/>
      <c r="G83" s="114"/>
      <c r="H83" s="116">
        <f t="shared" si="9"/>
        <v>0</v>
      </c>
      <c r="I83" s="113"/>
      <c r="J83" s="113"/>
      <c r="K83" s="113"/>
      <c r="L83" s="116">
        <f t="shared" si="10"/>
        <v>0</v>
      </c>
      <c r="M83" s="115">
        <f t="shared" si="11"/>
        <v>0</v>
      </c>
      <c r="N83" s="113"/>
      <c r="O83" s="113"/>
      <c r="P83" s="113"/>
      <c r="Q83" s="116">
        <f t="shared" si="12"/>
        <v>0</v>
      </c>
      <c r="R83" s="115">
        <f t="shared" si="13"/>
        <v>0</v>
      </c>
      <c r="S83" s="113"/>
      <c r="T83" s="113"/>
      <c r="U83" s="113"/>
      <c r="V83" s="116">
        <f t="shared" si="14"/>
        <v>0</v>
      </c>
      <c r="W83" s="117">
        <f t="shared" si="15"/>
        <v>0</v>
      </c>
    </row>
    <row r="84" spans="1:23" x14ac:dyDescent="0.25">
      <c r="A84" s="118">
        <v>16</v>
      </c>
      <c r="B84" s="275" t="s">
        <v>286</v>
      </c>
      <c r="C84" s="276"/>
      <c r="D84" s="169" t="s">
        <v>204</v>
      </c>
      <c r="E84" s="170">
        <f>E30+E32+E33+E34+E35+E38+E41+E42+E43+E58+E62+E82+E57</f>
        <v>444.8311089785617</v>
      </c>
      <c r="F84" s="170">
        <f>F30+F32+F33+F34+F35+F38+F41+F42+F43+F58+F62+F82+F57</f>
        <v>386.39312117582193</v>
      </c>
      <c r="G84" s="170">
        <f>G30+G32+G33+G34+G35+G38+G41+G42+G43++G58+G62+G82+G57</f>
        <v>361.8647170648631</v>
      </c>
      <c r="H84" s="170">
        <f t="shared" si="9"/>
        <v>1193.0889472192466</v>
      </c>
      <c r="I84" s="170">
        <f>I30+I32+I33+I34+I35+I38+I41+I42+I43+I58+I62+I82+I57</f>
        <v>395.58155606486304</v>
      </c>
      <c r="J84" s="170">
        <f>J30+J32+J33+J34+J35+J38+J41+J42+J43+J58+J62+J82+J57</f>
        <v>18.2782129</v>
      </c>
      <c r="K84" s="170">
        <f>K30+K32+K33+K34+K35+K38+K41+K42+K43+K58+K62+K82+K57</f>
        <v>18.2782129</v>
      </c>
      <c r="L84" s="170">
        <f t="shared" si="10"/>
        <v>432.13798186486304</v>
      </c>
      <c r="M84" s="170">
        <f t="shared" si="11"/>
        <v>1625.2269290841095</v>
      </c>
      <c r="N84" s="170">
        <f t="shared" ref="N84:U84" si="16">SUM(N30,N32:N35,N38,N42:N43,N58:N58,N62:N62,N82,N57)</f>
        <v>18.2782129</v>
      </c>
      <c r="O84" s="170">
        <f t="shared" si="16"/>
        <v>18.2782129</v>
      </c>
      <c r="P84" s="170">
        <f t="shared" si="16"/>
        <v>18.2782129</v>
      </c>
      <c r="Q84" s="170">
        <f t="shared" si="12"/>
        <v>54.834638699999999</v>
      </c>
      <c r="R84" s="170">
        <f t="shared" si="13"/>
        <v>1680.0615677841095</v>
      </c>
      <c r="S84" s="170">
        <f t="shared" si="16"/>
        <v>164.70780835020551</v>
      </c>
      <c r="T84" s="170">
        <f t="shared" si="16"/>
        <v>334.01336956390412</v>
      </c>
      <c r="U84" s="170">
        <f t="shared" si="16"/>
        <v>359.30836127486305</v>
      </c>
      <c r="V84" s="170">
        <f t="shared" si="14"/>
        <v>858.02953918897265</v>
      </c>
      <c r="W84" s="170">
        <f t="shared" si="15"/>
        <v>2538.0911069730819</v>
      </c>
    </row>
    <row r="85" spans="1:23" x14ac:dyDescent="0.25">
      <c r="A85" s="111">
        <v>17</v>
      </c>
      <c r="B85" s="277"/>
      <c r="C85" s="278"/>
      <c r="D85" s="142"/>
      <c r="E85" s="120"/>
      <c r="F85" s="120"/>
      <c r="G85" s="120"/>
      <c r="H85" s="171"/>
      <c r="I85" s="120"/>
      <c r="J85" s="120"/>
      <c r="K85" s="120"/>
      <c r="L85" s="171"/>
      <c r="M85" s="171"/>
      <c r="N85" s="120"/>
      <c r="O85" s="120"/>
      <c r="P85" s="120"/>
      <c r="Q85" s="171"/>
      <c r="R85" s="171"/>
      <c r="S85" s="120"/>
      <c r="T85" s="120"/>
      <c r="U85" s="120"/>
      <c r="V85" s="171"/>
      <c r="W85" s="171"/>
    </row>
    <row r="86" spans="1:23" x14ac:dyDescent="0.25">
      <c r="A86" s="118">
        <v>18</v>
      </c>
      <c r="B86" s="297" t="s">
        <v>287</v>
      </c>
      <c r="C86" s="297"/>
      <c r="D86" s="169" t="s">
        <v>204</v>
      </c>
      <c r="E86" s="172">
        <f>E14*E88</f>
        <v>505.49229000000003</v>
      </c>
      <c r="F86" s="173">
        <f>F14*F88</f>
        <v>420.11229000000003</v>
      </c>
      <c r="G86" s="173">
        <f>G14*G88</f>
        <v>377.42229000000003</v>
      </c>
      <c r="H86" s="173">
        <f>H88*H14</f>
        <v>1303.0268699999999</v>
      </c>
      <c r="I86" s="173">
        <f>I14*I88</f>
        <v>377.42229000000003</v>
      </c>
      <c r="J86" s="173">
        <f>J14*J88</f>
        <v>0</v>
      </c>
      <c r="K86" s="173">
        <f>K14*K88</f>
        <v>0</v>
      </c>
      <c r="L86" s="174">
        <f>L88*L14</f>
        <v>377.42229000000003</v>
      </c>
      <c r="M86" s="175">
        <f>M88*M14</f>
        <v>1680.4491599999999</v>
      </c>
      <c r="N86" s="173">
        <f>N14*N88</f>
        <v>0</v>
      </c>
      <c r="O86" s="173">
        <f>O14*O88</f>
        <v>0</v>
      </c>
      <c r="P86" s="173">
        <f>P14*P88</f>
        <v>0</v>
      </c>
      <c r="Q86" s="174">
        <f>Q88*Q14</f>
        <v>0</v>
      </c>
      <c r="R86" s="175">
        <f>R88*R14</f>
        <v>1680.4491599999999</v>
      </c>
      <c r="S86" s="173">
        <f>S14*S88</f>
        <v>145.48751999999999</v>
      </c>
      <c r="T86" s="173">
        <f>T14*T88</f>
        <v>334.73229000000003</v>
      </c>
      <c r="U86" s="173">
        <f>U14*U88</f>
        <v>377.42229000000003</v>
      </c>
      <c r="V86" s="174">
        <f>V88*V14</f>
        <v>857.64210000000014</v>
      </c>
      <c r="W86" s="176">
        <f>W88*W14</f>
        <v>2538.0912600000001</v>
      </c>
    </row>
    <row r="87" spans="1:23" x14ac:dyDescent="0.25">
      <c r="A87" s="111">
        <v>19</v>
      </c>
      <c r="B87" s="277" t="s">
        <v>288</v>
      </c>
      <c r="C87" s="278"/>
      <c r="D87" s="142" t="s">
        <v>204</v>
      </c>
      <c r="E87" s="177">
        <v>0</v>
      </c>
      <c r="F87" s="177">
        <v>0</v>
      </c>
      <c r="G87" s="177">
        <v>0</v>
      </c>
      <c r="H87" s="116">
        <f t="shared" si="9"/>
        <v>0</v>
      </c>
      <c r="I87" s="177">
        <v>0</v>
      </c>
      <c r="J87" s="177">
        <v>0</v>
      </c>
      <c r="K87" s="177">
        <v>0</v>
      </c>
      <c r="L87" s="116">
        <f t="shared" si="10"/>
        <v>0</v>
      </c>
      <c r="M87" s="115">
        <f t="shared" si="11"/>
        <v>0</v>
      </c>
      <c r="N87" s="177">
        <v>0</v>
      </c>
      <c r="O87" s="177">
        <v>0</v>
      </c>
      <c r="P87" s="177"/>
      <c r="Q87" s="116">
        <f t="shared" si="12"/>
        <v>0</v>
      </c>
      <c r="R87" s="115">
        <f t="shared" si="13"/>
        <v>0</v>
      </c>
      <c r="S87" s="177"/>
      <c r="T87" s="177"/>
      <c r="U87" s="177"/>
      <c r="V87" s="116">
        <f t="shared" si="14"/>
        <v>0</v>
      </c>
      <c r="W87" s="117">
        <f t="shared" si="15"/>
        <v>0</v>
      </c>
    </row>
    <row r="88" spans="1:23" x14ac:dyDescent="0.25">
      <c r="A88" s="111">
        <v>20</v>
      </c>
      <c r="B88" s="277" t="s">
        <v>289</v>
      </c>
      <c r="C88" s="278"/>
      <c r="D88" s="142" t="s">
        <v>290</v>
      </c>
      <c r="E88" s="178">
        <v>4269</v>
      </c>
      <c r="F88" s="178">
        <v>4269</v>
      </c>
      <c r="G88" s="178">
        <v>4269</v>
      </c>
      <c r="H88" s="179">
        <v>4269</v>
      </c>
      <c r="I88" s="178">
        <v>4269</v>
      </c>
      <c r="J88" s="178">
        <v>4269</v>
      </c>
      <c r="K88" s="178">
        <v>4269</v>
      </c>
      <c r="L88" s="179">
        <v>4269</v>
      </c>
      <c r="M88" s="179">
        <v>4269</v>
      </c>
      <c r="N88" s="178">
        <v>4269</v>
      </c>
      <c r="O88" s="178">
        <v>4269</v>
      </c>
      <c r="P88" s="178">
        <v>4269</v>
      </c>
      <c r="Q88" s="179">
        <v>4269</v>
      </c>
      <c r="R88" s="179">
        <v>4269</v>
      </c>
      <c r="S88" s="178">
        <v>4269</v>
      </c>
      <c r="T88" s="178">
        <v>4269</v>
      </c>
      <c r="U88" s="178">
        <v>4269</v>
      </c>
      <c r="V88" s="179">
        <v>4269</v>
      </c>
      <c r="W88" s="115">
        <v>4269</v>
      </c>
    </row>
    <row r="89" spans="1:23" x14ac:dyDescent="0.25">
      <c r="A89" s="118">
        <v>21</v>
      </c>
      <c r="B89" s="295" t="s">
        <v>291</v>
      </c>
      <c r="C89" s="296"/>
      <c r="D89" s="169" t="s">
        <v>204</v>
      </c>
      <c r="E89" s="180">
        <f>(E86+E87)-E84</f>
        <v>60.661181021438324</v>
      </c>
      <c r="F89" s="180">
        <f t="shared" ref="F89:U89" si="17">(F86+F87)-F84</f>
        <v>33.719168824178098</v>
      </c>
      <c r="G89" s="180">
        <f t="shared" si="17"/>
        <v>15.557572935136932</v>
      </c>
      <c r="H89" s="180">
        <f t="shared" si="9"/>
        <v>109.93792278075335</v>
      </c>
      <c r="I89" s="180">
        <f t="shared" si="17"/>
        <v>-18.159266064863004</v>
      </c>
      <c r="J89" s="180">
        <f t="shared" si="17"/>
        <v>-18.2782129</v>
      </c>
      <c r="K89" s="180">
        <f t="shared" si="17"/>
        <v>-18.2782129</v>
      </c>
      <c r="L89" s="180">
        <f t="shared" si="10"/>
        <v>-54.715691864863004</v>
      </c>
      <c r="M89" s="180">
        <f t="shared" si="11"/>
        <v>55.22223091589035</v>
      </c>
      <c r="N89" s="180">
        <f t="shared" si="17"/>
        <v>-18.2782129</v>
      </c>
      <c r="O89" s="180">
        <f t="shared" si="17"/>
        <v>-18.2782129</v>
      </c>
      <c r="P89" s="180">
        <f t="shared" si="17"/>
        <v>-18.2782129</v>
      </c>
      <c r="Q89" s="180">
        <f t="shared" si="12"/>
        <v>-54.834638699999999</v>
      </c>
      <c r="R89" s="180">
        <f t="shared" si="13"/>
        <v>0.38759221589035064</v>
      </c>
      <c r="S89" s="180">
        <f t="shared" si="17"/>
        <v>-19.220288350205522</v>
      </c>
      <c r="T89" s="180">
        <f t="shared" si="17"/>
        <v>0.71892043609591383</v>
      </c>
      <c r="U89" s="180">
        <f t="shared" si="17"/>
        <v>18.113928725136986</v>
      </c>
      <c r="V89" s="180">
        <f t="shared" si="14"/>
        <v>-0.3874391889726212</v>
      </c>
      <c r="W89" s="180">
        <f t="shared" si="15"/>
        <v>1.5302691772944854E-4</v>
      </c>
    </row>
    <row r="90" spans="1:23" x14ac:dyDescent="0.25">
      <c r="A90" s="181"/>
      <c r="B90" s="181"/>
      <c r="C90" s="181"/>
      <c r="D90" s="181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3"/>
      <c r="Q90" s="182"/>
      <c r="R90" s="184"/>
      <c r="S90" s="182"/>
      <c r="T90" s="182"/>
      <c r="U90" s="182"/>
      <c r="V90" s="182"/>
      <c r="W90" s="182"/>
    </row>
  </sheetData>
  <mergeCells count="89">
    <mergeCell ref="B89:C89"/>
    <mergeCell ref="B82:C82"/>
    <mergeCell ref="B84:C84"/>
    <mergeCell ref="B85:C85"/>
    <mergeCell ref="B86:C86"/>
    <mergeCell ref="B87:C87"/>
    <mergeCell ref="B88:C88"/>
    <mergeCell ref="B80:C80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8:C78"/>
    <mergeCell ref="B79:C79"/>
    <mergeCell ref="B67:C67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3:C53"/>
    <mergeCell ref="B40:C4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8:C38"/>
    <mergeCell ref="B21:B22"/>
    <mergeCell ref="B23:B25"/>
    <mergeCell ref="B26:B28"/>
    <mergeCell ref="B30:C30"/>
    <mergeCell ref="B31:C31"/>
    <mergeCell ref="B32:C32"/>
    <mergeCell ref="B33:C33"/>
    <mergeCell ref="B34:C34"/>
    <mergeCell ref="B35:C35"/>
    <mergeCell ref="B36:C36"/>
    <mergeCell ref="B37:C3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U6:U7"/>
    <mergeCell ref="M5:M7"/>
    <mergeCell ref="R5:R7"/>
    <mergeCell ref="V5:V7"/>
    <mergeCell ref="W5:W7"/>
    <mergeCell ref="N6:N7"/>
    <mergeCell ref="O6:O7"/>
    <mergeCell ref="P6:P7"/>
    <mergeCell ref="S6:S7"/>
    <mergeCell ref="T6:T7"/>
    <mergeCell ref="L5:L7"/>
    <mergeCell ref="K6:K7"/>
    <mergeCell ref="A3:E3"/>
    <mergeCell ref="A5:A7"/>
    <mergeCell ref="B5:C7"/>
    <mergeCell ref="D5:D7"/>
    <mergeCell ref="H5:H7"/>
    <mergeCell ref="E6:E7"/>
    <mergeCell ref="F6:F7"/>
    <mergeCell ref="G6:G7"/>
    <mergeCell ref="I6:I7"/>
    <mergeCell ref="J6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A28" workbookViewId="0">
      <selection activeCell="H20" sqref="H20"/>
    </sheetView>
  </sheetViews>
  <sheetFormatPr defaultRowHeight="15" x14ac:dyDescent="0.25"/>
  <sheetData>
    <row r="1" spans="1:23" x14ac:dyDescent="0.25">
      <c r="A1" s="85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7"/>
      <c r="Q1" s="85"/>
      <c r="R1" s="85"/>
      <c r="S1" s="85"/>
      <c r="T1" s="85"/>
      <c r="U1" s="85"/>
      <c r="V1" s="85"/>
      <c r="W1" s="88"/>
    </row>
    <row r="2" spans="1:23" x14ac:dyDescent="0.25">
      <c r="A2" s="89" t="s">
        <v>141</v>
      </c>
      <c r="B2" s="90"/>
      <c r="C2" s="90"/>
      <c r="D2" s="90"/>
      <c r="E2" s="90"/>
      <c r="F2" s="90"/>
      <c r="G2" s="90"/>
      <c r="H2" s="90"/>
      <c r="I2" s="90"/>
      <c r="J2" s="90"/>
      <c r="K2" s="85"/>
      <c r="L2" s="85"/>
      <c r="M2" s="85"/>
      <c r="N2" s="85"/>
      <c r="O2" s="85"/>
      <c r="P2" s="87"/>
      <c r="Q2" s="85"/>
      <c r="R2" s="85"/>
      <c r="S2" s="85"/>
      <c r="T2" s="85"/>
      <c r="U2" s="85"/>
      <c r="V2" s="85"/>
      <c r="W2" s="88"/>
    </row>
    <row r="3" spans="1:23" x14ac:dyDescent="0.25">
      <c r="A3" s="252" t="s">
        <v>142</v>
      </c>
      <c r="B3" s="253"/>
      <c r="C3" s="253"/>
      <c r="D3" s="253"/>
      <c r="E3" s="253"/>
      <c r="F3" s="90"/>
      <c r="G3" s="90"/>
      <c r="H3" s="90"/>
      <c r="I3" s="90"/>
      <c r="J3" s="90"/>
      <c r="K3" s="85"/>
      <c r="L3" s="85"/>
      <c r="M3" s="85"/>
      <c r="N3" s="85"/>
      <c r="O3" s="85"/>
      <c r="P3" s="87"/>
      <c r="Q3" s="85"/>
      <c r="R3" s="85"/>
      <c r="S3" s="85"/>
      <c r="T3" s="85"/>
      <c r="U3" s="85"/>
      <c r="V3" s="85"/>
      <c r="W3" s="88"/>
    </row>
    <row r="4" spans="1:23" ht="57.75" x14ac:dyDescent="0.25">
      <c r="A4" s="91"/>
      <c r="B4" s="92"/>
      <c r="C4" s="92" t="s">
        <v>292</v>
      </c>
      <c r="D4" s="92"/>
      <c r="E4" s="90"/>
      <c r="F4" s="90"/>
      <c r="G4" s="90"/>
      <c r="H4" s="85"/>
      <c r="I4" s="85"/>
      <c r="J4" s="85"/>
      <c r="K4" s="85"/>
      <c r="L4" s="85"/>
      <c r="M4" s="85"/>
      <c r="N4" s="85"/>
      <c r="O4" s="85"/>
      <c r="P4" s="87"/>
      <c r="Q4" s="85"/>
      <c r="R4" s="85"/>
      <c r="S4" s="85"/>
      <c r="T4" s="85"/>
      <c r="U4" s="85"/>
      <c r="V4" s="85"/>
      <c r="W4" s="88"/>
    </row>
    <row r="5" spans="1:23" ht="42.75" x14ac:dyDescent="0.25">
      <c r="A5" s="254" t="s">
        <v>144</v>
      </c>
      <c r="B5" s="250" t="s">
        <v>22</v>
      </c>
      <c r="C5" s="257"/>
      <c r="D5" s="254" t="s">
        <v>145</v>
      </c>
      <c r="E5" s="93"/>
      <c r="F5" s="94"/>
      <c r="G5" s="94"/>
      <c r="H5" s="247" t="s">
        <v>146</v>
      </c>
      <c r="I5" s="94"/>
      <c r="J5" s="94"/>
      <c r="K5" s="94"/>
      <c r="L5" s="247" t="s">
        <v>147</v>
      </c>
      <c r="M5" s="247" t="s">
        <v>148</v>
      </c>
      <c r="N5" s="94"/>
      <c r="O5" s="94"/>
      <c r="P5" s="95"/>
      <c r="Q5" s="96" t="s">
        <v>149</v>
      </c>
      <c r="R5" s="247" t="s">
        <v>150</v>
      </c>
      <c r="S5" s="94"/>
      <c r="T5" s="94"/>
      <c r="U5" s="94"/>
      <c r="V5" s="247" t="s">
        <v>151</v>
      </c>
      <c r="W5" s="268" t="s">
        <v>152</v>
      </c>
    </row>
    <row r="6" spans="1:23" x14ac:dyDescent="0.25">
      <c r="A6" s="255"/>
      <c r="B6" s="258"/>
      <c r="C6" s="259"/>
      <c r="D6" s="262"/>
      <c r="E6" s="254" t="s">
        <v>2</v>
      </c>
      <c r="F6" s="254" t="s">
        <v>3</v>
      </c>
      <c r="G6" s="254" t="s">
        <v>4</v>
      </c>
      <c r="H6" s="248"/>
      <c r="I6" s="264" t="s">
        <v>11</v>
      </c>
      <c r="J6" s="254" t="s">
        <v>12</v>
      </c>
      <c r="K6" s="250" t="s">
        <v>13</v>
      </c>
      <c r="L6" s="248"/>
      <c r="M6" s="266"/>
      <c r="N6" s="264" t="s">
        <v>14</v>
      </c>
      <c r="O6" s="254" t="s">
        <v>15</v>
      </c>
      <c r="P6" s="270" t="s">
        <v>16</v>
      </c>
      <c r="Q6" s="97"/>
      <c r="R6" s="266"/>
      <c r="S6" s="264" t="s">
        <v>17</v>
      </c>
      <c r="T6" s="254" t="s">
        <v>18</v>
      </c>
      <c r="U6" s="250" t="s">
        <v>19</v>
      </c>
      <c r="V6" s="248"/>
      <c r="W6" s="269"/>
    </row>
    <row r="7" spans="1:23" x14ac:dyDescent="0.25">
      <c r="A7" s="256"/>
      <c r="B7" s="260"/>
      <c r="C7" s="261"/>
      <c r="D7" s="263"/>
      <c r="E7" s="256"/>
      <c r="F7" s="256"/>
      <c r="G7" s="256"/>
      <c r="H7" s="249"/>
      <c r="I7" s="265"/>
      <c r="J7" s="256"/>
      <c r="K7" s="251"/>
      <c r="L7" s="249"/>
      <c r="M7" s="267"/>
      <c r="N7" s="265"/>
      <c r="O7" s="256"/>
      <c r="P7" s="271"/>
      <c r="Q7" s="98"/>
      <c r="R7" s="267"/>
      <c r="S7" s="265"/>
      <c r="T7" s="256"/>
      <c r="U7" s="251"/>
      <c r="V7" s="249"/>
      <c r="W7" s="269"/>
    </row>
    <row r="8" spans="1:23" x14ac:dyDescent="0.25">
      <c r="A8" s="99" t="s">
        <v>153</v>
      </c>
      <c r="B8" s="100"/>
      <c r="C8" s="100"/>
      <c r="D8" s="100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2"/>
      <c r="R8" s="102"/>
      <c r="S8" s="102"/>
      <c r="T8" s="102"/>
      <c r="U8" s="102"/>
      <c r="V8" s="102"/>
      <c r="W8" s="104"/>
    </row>
    <row r="9" spans="1:23" x14ac:dyDescent="0.25">
      <c r="A9" s="105" t="s">
        <v>154</v>
      </c>
      <c r="B9" s="273" t="s">
        <v>155</v>
      </c>
      <c r="C9" s="273"/>
      <c r="D9" s="106" t="s">
        <v>156</v>
      </c>
      <c r="E9" s="107">
        <f>0.087+0.01077</f>
        <v>9.7769999999999996E-2</v>
      </c>
      <c r="F9" s="107">
        <f>0.069+0.01077</f>
        <v>7.9770000000000008E-2</v>
      </c>
      <c r="G9" s="107">
        <f>0.063+0.01077</f>
        <v>7.3770000000000002E-2</v>
      </c>
      <c r="H9" s="108">
        <f>H11+H10</f>
        <v>0.25131000000000003</v>
      </c>
      <c r="I9" s="108">
        <f>0.067+0.01077</f>
        <v>7.7770000000000006E-2</v>
      </c>
      <c r="J9" s="108">
        <f>J11+J10</f>
        <v>0</v>
      </c>
      <c r="K9" s="108">
        <f>K11+K10</f>
        <v>0</v>
      </c>
      <c r="L9" s="109">
        <f>SUM(I9:K9)</f>
        <v>7.7770000000000006E-2</v>
      </c>
      <c r="M9" s="109">
        <f>L9+H9</f>
        <v>0.32908000000000004</v>
      </c>
      <c r="N9" s="108">
        <f>N11+N10</f>
        <v>0</v>
      </c>
      <c r="O9" s="108">
        <f>O11+O10</f>
        <v>0</v>
      </c>
      <c r="P9" s="108">
        <f>P11+P10</f>
        <v>0</v>
      </c>
      <c r="Q9" s="109">
        <f>P9+O9+N9</f>
        <v>0</v>
      </c>
      <c r="R9" s="109">
        <f>Q9+M9</f>
        <v>0.32908000000000004</v>
      </c>
      <c r="S9" s="108">
        <f>0.02+0.01077-0.005</f>
        <v>2.5769999999999998E-2</v>
      </c>
      <c r="T9" s="108">
        <f>0.046+0.01077</f>
        <v>5.6770000000000001E-2</v>
      </c>
      <c r="U9" s="108">
        <f>0.057+0.01077</f>
        <v>6.7769999999999997E-2</v>
      </c>
      <c r="V9" s="109">
        <f>U9+T9+S9</f>
        <v>0.15031</v>
      </c>
      <c r="W9" s="110">
        <f>V9+R9</f>
        <v>0.47939000000000004</v>
      </c>
    </row>
    <row r="10" spans="1:23" x14ac:dyDescent="0.25">
      <c r="A10" s="111" t="s">
        <v>157</v>
      </c>
      <c r="B10" s="274" t="s">
        <v>158</v>
      </c>
      <c r="C10" s="274"/>
      <c r="D10" s="112" t="s">
        <v>156</v>
      </c>
      <c r="E10" s="113">
        <f>E9*4.36%</f>
        <v>4.2627719999999997E-3</v>
      </c>
      <c r="F10" s="113">
        <f>F9*4.36%</f>
        <v>3.4779720000000002E-3</v>
      </c>
      <c r="G10" s="114">
        <f>G9*4.36%</f>
        <v>3.2163719999999999E-3</v>
      </c>
      <c r="H10" s="115">
        <f t="shared" ref="H10:H73" si="0">SUM(E10:G10)</f>
        <v>1.0957115999999999E-2</v>
      </c>
      <c r="I10" s="113">
        <f>I9*4.36%</f>
        <v>3.3907720000000002E-3</v>
      </c>
      <c r="J10" s="113">
        <v>0</v>
      </c>
      <c r="K10" s="114">
        <v>0</v>
      </c>
      <c r="L10" s="115">
        <f t="shared" ref="L10:L73" si="1">SUM(I10:K10)</f>
        <v>3.3907720000000002E-3</v>
      </c>
      <c r="M10" s="115">
        <f t="shared" ref="M10:M73" si="2">L10+H10</f>
        <v>1.4347888E-2</v>
      </c>
      <c r="N10" s="113">
        <v>0</v>
      </c>
      <c r="O10" s="113">
        <v>0</v>
      </c>
      <c r="P10" s="114">
        <v>0</v>
      </c>
      <c r="Q10" s="115">
        <f t="shared" ref="Q10:Q73" si="3">SUM(N10:P10)</f>
        <v>0</v>
      </c>
      <c r="R10" s="116">
        <f t="shared" ref="R10:R73" si="4">Q10+M10</f>
        <v>1.4347888E-2</v>
      </c>
      <c r="S10" s="113">
        <f>S9*4.36%</f>
        <v>1.123572E-3</v>
      </c>
      <c r="T10" s="113">
        <f>T9*4.36%</f>
        <v>2.4751719999999999E-3</v>
      </c>
      <c r="U10" s="114">
        <f>U9*4.36%</f>
        <v>2.954772E-3</v>
      </c>
      <c r="V10" s="115">
        <f t="shared" ref="V10:V73" si="5">SUM(S10:U10)</f>
        <v>6.5535160000000005E-3</v>
      </c>
      <c r="W10" s="117">
        <f t="shared" ref="W10:W73" si="6">V10+R10</f>
        <v>2.0901403999999998E-2</v>
      </c>
    </row>
    <row r="11" spans="1:23" x14ac:dyDescent="0.25">
      <c r="A11" s="118" t="s">
        <v>159</v>
      </c>
      <c r="B11" s="275" t="s">
        <v>160</v>
      </c>
      <c r="C11" s="276"/>
      <c r="D11" s="112" t="s">
        <v>156</v>
      </c>
      <c r="E11" s="116">
        <f>E9-E10</f>
        <v>9.3507227999999998E-2</v>
      </c>
      <c r="F11" s="116">
        <f>F9-F10</f>
        <v>7.6292028000000012E-2</v>
      </c>
      <c r="G11" s="116">
        <f>G9-G10</f>
        <v>7.0553628000000007E-2</v>
      </c>
      <c r="H11" s="116">
        <f t="shared" si="0"/>
        <v>0.24035288400000002</v>
      </c>
      <c r="I11" s="116">
        <f>I9-I10</f>
        <v>7.4379228000000006E-2</v>
      </c>
      <c r="J11" s="116">
        <f>J14+J12</f>
        <v>0</v>
      </c>
      <c r="K11" s="116">
        <f>K14+K12</f>
        <v>0</v>
      </c>
      <c r="L11" s="116">
        <f t="shared" si="1"/>
        <v>7.4379228000000006E-2</v>
      </c>
      <c r="M11" s="116">
        <f t="shared" si="2"/>
        <v>0.31473211200000001</v>
      </c>
      <c r="N11" s="116">
        <v>0</v>
      </c>
      <c r="O11" s="116">
        <v>0</v>
      </c>
      <c r="P11" s="116">
        <v>0</v>
      </c>
      <c r="Q11" s="116">
        <f t="shared" si="3"/>
        <v>0</v>
      </c>
      <c r="R11" s="116">
        <f t="shared" si="4"/>
        <v>0.31473211200000001</v>
      </c>
      <c r="S11" s="116">
        <f>S9-S10</f>
        <v>2.4646427999999998E-2</v>
      </c>
      <c r="T11" s="116">
        <f>T9-T10</f>
        <v>5.4294828000000003E-2</v>
      </c>
      <c r="U11" s="116">
        <f>U9-U10</f>
        <v>6.4815228000000003E-2</v>
      </c>
      <c r="V11" s="116">
        <f t="shared" si="5"/>
        <v>0.14375648400000002</v>
      </c>
      <c r="W11" s="119">
        <f t="shared" si="6"/>
        <v>0.45848859600000003</v>
      </c>
    </row>
    <row r="12" spans="1:23" x14ac:dyDescent="0.25">
      <c r="A12" s="111" t="s">
        <v>161</v>
      </c>
      <c r="B12" s="277" t="s">
        <v>162</v>
      </c>
      <c r="C12" s="278"/>
      <c r="D12" s="112" t="s">
        <v>156</v>
      </c>
      <c r="E12" s="120">
        <f>E11*6%</f>
        <v>5.6104336799999996E-3</v>
      </c>
      <c r="F12" s="120">
        <f>F11*5%</f>
        <v>3.8146014000000009E-3</v>
      </c>
      <c r="G12" s="120">
        <f>G11*5%</f>
        <v>3.5276814000000005E-3</v>
      </c>
      <c r="H12" s="121">
        <f t="shared" si="0"/>
        <v>1.2952716480000001E-2</v>
      </c>
      <c r="I12" s="120">
        <f>I11*5%</f>
        <v>3.7189614000000004E-3</v>
      </c>
      <c r="J12" s="120">
        <v>0</v>
      </c>
      <c r="K12" s="120">
        <v>0</v>
      </c>
      <c r="L12" s="115">
        <f t="shared" si="1"/>
        <v>3.7189614000000004E-3</v>
      </c>
      <c r="M12" s="115">
        <f t="shared" si="2"/>
        <v>1.6671677880000003E-2</v>
      </c>
      <c r="N12" s="120">
        <v>0</v>
      </c>
      <c r="O12" s="120">
        <v>0</v>
      </c>
      <c r="P12" s="120">
        <v>0</v>
      </c>
      <c r="Q12" s="115">
        <f t="shared" si="3"/>
        <v>0</v>
      </c>
      <c r="R12" s="116">
        <f t="shared" si="4"/>
        <v>1.6671677880000003E-2</v>
      </c>
      <c r="S12" s="120">
        <f>S11*6%</f>
        <v>1.4787856799999999E-3</v>
      </c>
      <c r="T12" s="120">
        <f>T11*6%</f>
        <v>3.2576896800000001E-3</v>
      </c>
      <c r="U12" s="120">
        <f>U11*5%</f>
        <v>3.2407614000000001E-3</v>
      </c>
      <c r="V12" s="115">
        <f t="shared" si="5"/>
        <v>7.9772367599999991E-3</v>
      </c>
      <c r="W12" s="117">
        <f t="shared" si="6"/>
        <v>2.4648914640000002E-2</v>
      </c>
    </row>
    <row r="13" spans="1:23" x14ac:dyDescent="0.25">
      <c r="A13" s="111" t="s">
        <v>163</v>
      </c>
      <c r="B13" s="277" t="s">
        <v>164</v>
      </c>
      <c r="C13" s="278"/>
      <c r="D13" s="112" t="s">
        <v>156</v>
      </c>
      <c r="E13" s="116">
        <f>E11-E12</f>
        <v>8.7896794319999999E-2</v>
      </c>
      <c r="F13" s="116">
        <f>F11-F12</f>
        <v>7.2477426600000006E-2</v>
      </c>
      <c r="G13" s="116">
        <f>G11-G12</f>
        <v>6.7025946600000011E-2</v>
      </c>
      <c r="H13" s="116">
        <f t="shared" si="0"/>
        <v>0.22740016752000003</v>
      </c>
      <c r="I13" s="116">
        <f>I11-I12</f>
        <v>7.0660266600000007E-2</v>
      </c>
      <c r="J13" s="116"/>
      <c r="K13" s="116"/>
      <c r="L13" s="121">
        <f t="shared" si="1"/>
        <v>7.0660266600000007E-2</v>
      </c>
      <c r="M13" s="121">
        <f t="shared" si="2"/>
        <v>0.29806043412000005</v>
      </c>
      <c r="N13" s="116"/>
      <c r="O13" s="116"/>
      <c r="P13" s="116"/>
      <c r="Q13" s="121">
        <f t="shared" si="3"/>
        <v>0</v>
      </c>
      <c r="R13" s="121">
        <f t="shared" si="4"/>
        <v>0.29806043412000005</v>
      </c>
      <c r="S13" s="116">
        <f>S11-S12</f>
        <v>2.3167642319999997E-2</v>
      </c>
      <c r="T13" s="116">
        <f>T11-T12</f>
        <v>5.1037138320000001E-2</v>
      </c>
      <c r="U13" s="116">
        <f>U11-U12</f>
        <v>6.1574466600000002E-2</v>
      </c>
      <c r="V13" s="116">
        <f>SUM(S13:U13)</f>
        <v>0.13577924724000001</v>
      </c>
      <c r="W13" s="119">
        <f>V13+R13</f>
        <v>0.43383968136000006</v>
      </c>
    </row>
    <row r="14" spans="1:23" x14ac:dyDescent="0.25">
      <c r="A14" s="118" t="s">
        <v>165</v>
      </c>
      <c r="B14" s="275" t="s">
        <v>166</v>
      </c>
      <c r="C14" s="276"/>
      <c r="D14" s="112" t="s">
        <v>156</v>
      </c>
      <c r="E14" s="116">
        <f>E15+E16</f>
        <v>8.7999999999999995E-2</v>
      </c>
      <c r="F14" s="116">
        <f>F15+F16</f>
        <v>7.1999999999999995E-2</v>
      </c>
      <c r="G14" s="116">
        <f>G15+G16</f>
        <v>6.7000000000000004E-2</v>
      </c>
      <c r="H14" s="116">
        <f t="shared" si="0"/>
        <v>0.22699999999999998</v>
      </c>
      <c r="I14" s="116">
        <f>I15+I16</f>
        <v>7.0999999999999994E-2</v>
      </c>
      <c r="J14" s="116">
        <v>0</v>
      </c>
      <c r="K14" s="116">
        <v>0</v>
      </c>
      <c r="L14" s="116">
        <f t="shared" si="1"/>
        <v>7.0999999999999994E-2</v>
      </c>
      <c r="M14" s="116">
        <f t="shared" si="2"/>
        <v>0.29799999999999999</v>
      </c>
      <c r="N14" s="116">
        <v>0</v>
      </c>
      <c r="O14" s="116">
        <v>0</v>
      </c>
      <c r="P14" s="116">
        <v>0</v>
      </c>
      <c r="Q14" s="116">
        <f t="shared" si="3"/>
        <v>0</v>
      </c>
      <c r="R14" s="116">
        <f t="shared" si="4"/>
        <v>0.29799999999999999</v>
      </c>
      <c r="S14" s="116">
        <f>S15+S16</f>
        <v>2.3E-2</v>
      </c>
      <c r="T14" s="116">
        <f>T15+T16</f>
        <v>5.0999999999999997E-2</v>
      </c>
      <c r="U14" s="116">
        <f>U15+U16</f>
        <v>6.2E-2</v>
      </c>
      <c r="V14" s="116">
        <f t="shared" si="5"/>
        <v>0.13600000000000001</v>
      </c>
      <c r="W14" s="116">
        <f t="shared" si="6"/>
        <v>0.434</v>
      </c>
    </row>
    <row r="15" spans="1:23" x14ac:dyDescent="0.25">
      <c r="A15" s="122" t="s">
        <v>167</v>
      </c>
      <c r="B15" s="274" t="s">
        <v>168</v>
      </c>
      <c r="C15" s="274"/>
      <c r="D15" s="112" t="s">
        <v>156</v>
      </c>
      <c r="E15" s="113">
        <v>0</v>
      </c>
      <c r="F15" s="113">
        <v>0</v>
      </c>
      <c r="G15" s="114">
        <v>0</v>
      </c>
      <c r="H15" s="115">
        <f t="shared" si="0"/>
        <v>0</v>
      </c>
      <c r="I15" s="113">
        <v>0</v>
      </c>
      <c r="J15" s="113">
        <v>0</v>
      </c>
      <c r="K15" s="114">
        <v>0</v>
      </c>
      <c r="L15" s="115">
        <f t="shared" si="1"/>
        <v>0</v>
      </c>
      <c r="M15" s="115">
        <f t="shared" si="2"/>
        <v>0</v>
      </c>
      <c r="N15" s="113">
        <v>0</v>
      </c>
      <c r="O15" s="113">
        <v>0</v>
      </c>
      <c r="P15" s="113">
        <v>0</v>
      </c>
      <c r="Q15" s="115">
        <f t="shared" si="3"/>
        <v>0</v>
      </c>
      <c r="R15" s="115">
        <f t="shared" si="4"/>
        <v>0</v>
      </c>
      <c r="S15" s="113">
        <v>0</v>
      </c>
      <c r="T15" s="113">
        <v>0</v>
      </c>
      <c r="U15" s="114">
        <v>0</v>
      </c>
      <c r="V15" s="115">
        <f t="shared" si="5"/>
        <v>0</v>
      </c>
      <c r="W15" s="117">
        <f t="shared" si="6"/>
        <v>0</v>
      </c>
    </row>
    <row r="16" spans="1:23" x14ac:dyDescent="0.25">
      <c r="A16" s="122" t="s">
        <v>169</v>
      </c>
      <c r="B16" s="274" t="s">
        <v>170</v>
      </c>
      <c r="C16" s="274"/>
      <c r="D16" s="112" t="s">
        <v>156</v>
      </c>
      <c r="E16" s="120">
        <v>8.7999999999999995E-2</v>
      </c>
      <c r="F16" s="120">
        <f t="shared" ref="F16:U16" si="7">F17+F18+F19</f>
        <v>7.1999999999999995E-2</v>
      </c>
      <c r="G16" s="120">
        <f t="shared" si="7"/>
        <v>6.7000000000000004E-2</v>
      </c>
      <c r="H16" s="120">
        <f t="shared" si="0"/>
        <v>0.22699999999999998</v>
      </c>
      <c r="I16" s="120">
        <f t="shared" si="7"/>
        <v>7.0999999999999994E-2</v>
      </c>
      <c r="J16" s="120">
        <f t="shared" si="7"/>
        <v>0</v>
      </c>
      <c r="K16" s="120">
        <v>0</v>
      </c>
      <c r="L16" s="120">
        <f t="shared" si="1"/>
        <v>7.0999999999999994E-2</v>
      </c>
      <c r="M16" s="120">
        <f t="shared" si="2"/>
        <v>0.29799999999999999</v>
      </c>
      <c r="N16" s="120">
        <v>0</v>
      </c>
      <c r="O16" s="120">
        <v>0</v>
      </c>
      <c r="P16" s="120">
        <f t="shared" si="7"/>
        <v>0</v>
      </c>
      <c r="Q16" s="120">
        <f t="shared" si="3"/>
        <v>0</v>
      </c>
      <c r="R16" s="120">
        <f t="shared" si="4"/>
        <v>0.29799999999999999</v>
      </c>
      <c r="S16" s="120">
        <f t="shared" si="7"/>
        <v>2.3E-2</v>
      </c>
      <c r="T16" s="120">
        <f t="shared" si="7"/>
        <v>5.0999999999999997E-2</v>
      </c>
      <c r="U16" s="120">
        <f t="shared" si="7"/>
        <v>6.2E-2</v>
      </c>
      <c r="V16" s="120">
        <f t="shared" si="5"/>
        <v>0.13600000000000001</v>
      </c>
      <c r="W16" s="120">
        <f t="shared" si="6"/>
        <v>0.434</v>
      </c>
    </row>
    <row r="17" spans="1:23" x14ac:dyDescent="0.25">
      <c r="A17" s="122" t="s">
        <v>171</v>
      </c>
      <c r="B17" s="277" t="s">
        <v>172</v>
      </c>
      <c r="C17" s="278"/>
      <c r="D17" s="112" t="s">
        <v>156</v>
      </c>
      <c r="E17" s="113">
        <v>8.7999999999999995E-2</v>
      </c>
      <c r="F17" s="113">
        <v>7.1999999999999995E-2</v>
      </c>
      <c r="G17" s="114">
        <v>6.7000000000000004E-2</v>
      </c>
      <c r="H17" s="115">
        <f t="shared" si="0"/>
        <v>0.22699999999999998</v>
      </c>
      <c r="I17" s="113">
        <v>7.0999999999999994E-2</v>
      </c>
      <c r="J17" s="113">
        <v>0</v>
      </c>
      <c r="K17" s="114">
        <v>0</v>
      </c>
      <c r="L17" s="115">
        <f t="shared" si="1"/>
        <v>7.0999999999999994E-2</v>
      </c>
      <c r="M17" s="115">
        <f t="shared" si="2"/>
        <v>0.29799999999999999</v>
      </c>
      <c r="N17" s="113">
        <v>0</v>
      </c>
      <c r="O17" s="113">
        <v>0</v>
      </c>
      <c r="P17" s="113">
        <v>0</v>
      </c>
      <c r="Q17" s="115">
        <f t="shared" si="3"/>
        <v>0</v>
      </c>
      <c r="R17" s="115">
        <f t="shared" si="4"/>
        <v>0.29799999999999999</v>
      </c>
      <c r="S17" s="113">
        <v>2.3E-2</v>
      </c>
      <c r="T17" s="113">
        <v>5.0999999999999997E-2</v>
      </c>
      <c r="U17" s="114">
        <v>6.2E-2</v>
      </c>
      <c r="V17" s="115">
        <f t="shared" si="5"/>
        <v>0.13600000000000001</v>
      </c>
      <c r="W17" s="117">
        <f t="shared" si="6"/>
        <v>0.434</v>
      </c>
    </row>
    <row r="18" spans="1:23" x14ac:dyDescent="0.25">
      <c r="A18" s="122" t="s">
        <v>173</v>
      </c>
      <c r="B18" s="277" t="s">
        <v>174</v>
      </c>
      <c r="C18" s="278"/>
      <c r="D18" s="112" t="s">
        <v>156</v>
      </c>
      <c r="E18" s="113">
        <v>0</v>
      </c>
      <c r="F18" s="113">
        <v>0</v>
      </c>
      <c r="G18" s="114">
        <v>0</v>
      </c>
      <c r="H18" s="115">
        <f t="shared" si="0"/>
        <v>0</v>
      </c>
      <c r="I18" s="113">
        <v>0</v>
      </c>
      <c r="J18" s="113">
        <v>0</v>
      </c>
      <c r="K18" s="114">
        <v>0</v>
      </c>
      <c r="L18" s="115">
        <f t="shared" si="1"/>
        <v>0</v>
      </c>
      <c r="M18" s="115">
        <f t="shared" si="2"/>
        <v>0</v>
      </c>
      <c r="N18" s="113">
        <v>0</v>
      </c>
      <c r="O18" s="113">
        <v>0</v>
      </c>
      <c r="P18" s="113">
        <v>0</v>
      </c>
      <c r="Q18" s="115">
        <f t="shared" si="3"/>
        <v>0</v>
      </c>
      <c r="R18" s="115">
        <f t="shared" si="4"/>
        <v>0</v>
      </c>
      <c r="S18" s="113">
        <v>0</v>
      </c>
      <c r="T18" s="113">
        <v>0</v>
      </c>
      <c r="U18" s="114">
        <v>0</v>
      </c>
      <c r="V18" s="115">
        <f t="shared" si="5"/>
        <v>0</v>
      </c>
      <c r="W18" s="117">
        <f t="shared" si="6"/>
        <v>0</v>
      </c>
    </row>
    <row r="19" spans="1:23" x14ac:dyDescent="0.25">
      <c r="A19" s="122" t="s">
        <v>175</v>
      </c>
      <c r="B19" s="277" t="s">
        <v>176</v>
      </c>
      <c r="C19" s="278"/>
      <c r="D19" s="112" t="s">
        <v>156</v>
      </c>
      <c r="E19" s="113">
        <v>0</v>
      </c>
      <c r="F19" s="113">
        <v>0</v>
      </c>
      <c r="G19" s="114">
        <v>0</v>
      </c>
      <c r="H19" s="115">
        <f t="shared" si="0"/>
        <v>0</v>
      </c>
      <c r="I19" s="113">
        <v>0</v>
      </c>
      <c r="J19" s="113">
        <v>0</v>
      </c>
      <c r="K19" s="114">
        <v>0</v>
      </c>
      <c r="L19" s="115">
        <f t="shared" si="1"/>
        <v>0</v>
      </c>
      <c r="M19" s="115">
        <f t="shared" si="2"/>
        <v>0</v>
      </c>
      <c r="N19" s="113">
        <v>0</v>
      </c>
      <c r="O19" s="113">
        <v>0</v>
      </c>
      <c r="P19" s="113">
        <v>0</v>
      </c>
      <c r="Q19" s="115">
        <f t="shared" si="3"/>
        <v>0</v>
      </c>
      <c r="R19" s="115">
        <f t="shared" si="4"/>
        <v>0</v>
      </c>
      <c r="S19" s="113">
        <v>0</v>
      </c>
      <c r="T19" s="113">
        <v>0</v>
      </c>
      <c r="U19" s="114">
        <v>0</v>
      </c>
      <c r="V19" s="115">
        <f t="shared" si="5"/>
        <v>0</v>
      </c>
      <c r="W19" s="117">
        <f t="shared" si="6"/>
        <v>0</v>
      </c>
    </row>
    <row r="20" spans="1:23" ht="15.75" thickBot="1" x14ac:dyDescent="0.3">
      <c r="A20" s="123" t="s">
        <v>177</v>
      </c>
      <c r="B20" s="272" t="s">
        <v>178</v>
      </c>
      <c r="C20" s="272"/>
      <c r="D20" s="112" t="s">
        <v>156</v>
      </c>
      <c r="E20" s="124">
        <v>0</v>
      </c>
      <c r="F20" s="124">
        <v>0</v>
      </c>
      <c r="G20" s="124">
        <v>0</v>
      </c>
      <c r="H20" s="125">
        <f t="shared" si="0"/>
        <v>0</v>
      </c>
      <c r="I20" s="124">
        <v>0</v>
      </c>
      <c r="J20" s="124">
        <v>0</v>
      </c>
      <c r="K20" s="124">
        <f>K14-K15-K16</f>
        <v>0</v>
      </c>
      <c r="L20" s="125">
        <f t="shared" si="1"/>
        <v>0</v>
      </c>
      <c r="M20" s="125">
        <f t="shared" si="2"/>
        <v>0</v>
      </c>
      <c r="N20" s="124">
        <f>N14-N15-N16</f>
        <v>0</v>
      </c>
      <c r="O20" s="124">
        <f>O14-O15-O16</f>
        <v>0</v>
      </c>
      <c r="P20" s="124">
        <f>P14-P15-P16</f>
        <v>0</v>
      </c>
      <c r="Q20" s="125">
        <f t="shared" si="3"/>
        <v>0</v>
      </c>
      <c r="R20" s="125">
        <f t="shared" si="4"/>
        <v>0</v>
      </c>
      <c r="S20" s="124">
        <v>0</v>
      </c>
      <c r="T20" s="124">
        <v>0</v>
      </c>
      <c r="U20" s="124">
        <v>0</v>
      </c>
      <c r="V20" s="125">
        <f t="shared" si="5"/>
        <v>0</v>
      </c>
      <c r="W20" s="126">
        <f t="shared" si="6"/>
        <v>0</v>
      </c>
    </row>
    <row r="21" spans="1:23" ht="15.75" thickBot="1" x14ac:dyDescent="0.3">
      <c r="A21" s="127" t="s">
        <v>179</v>
      </c>
      <c r="B21" s="281" t="s">
        <v>34</v>
      </c>
      <c r="C21" s="128" t="s">
        <v>180</v>
      </c>
      <c r="D21" s="129" t="s">
        <v>181</v>
      </c>
      <c r="E21" s="130">
        <f>E9*39.69</f>
        <v>3.8804912999999996</v>
      </c>
      <c r="F21" s="130">
        <f>F9*39.69</f>
        <v>3.1660713</v>
      </c>
      <c r="G21" s="114">
        <f>G9*39.69</f>
        <v>2.9279313</v>
      </c>
      <c r="H21" s="125">
        <f t="shared" si="0"/>
        <v>9.9744938999999988</v>
      </c>
      <c r="I21" s="130">
        <f>I9*39.69</f>
        <v>3.0866913</v>
      </c>
      <c r="J21" s="130">
        <v>0</v>
      </c>
      <c r="K21" s="114">
        <v>0</v>
      </c>
      <c r="L21" s="125">
        <f t="shared" si="1"/>
        <v>3.0866913</v>
      </c>
      <c r="M21" s="131">
        <f t="shared" si="2"/>
        <v>13.061185199999999</v>
      </c>
      <c r="N21" s="130">
        <v>0</v>
      </c>
      <c r="O21" s="130">
        <v>0</v>
      </c>
      <c r="P21" s="130">
        <v>0</v>
      </c>
      <c r="Q21" s="125">
        <f t="shared" si="3"/>
        <v>0</v>
      </c>
      <c r="R21" s="131">
        <f t="shared" si="4"/>
        <v>13.061185199999999</v>
      </c>
      <c r="S21" s="130">
        <f>S9*39.69-0.027</f>
        <v>0.99581129999999984</v>
      </c>
      <c r="T21" s="130">
        <f>T9*39.69</f>
        <v>2.2532012999999997</v>
      </c>
      <c r="U21" s="114">
        <f>U9*39.69</f>
        <v>2.6897912999999996</v>
      </c>
      <c r="V21" s="125">
        <f t="shared" si="5"/>
        <v>5.938803899999999</v>
      </c>
      <c r="W21" s="131">
        <f t="shared" si="6"/>
        <v>18.999989099999997</v>
      </c>
    </row>
    <row r="22" spans="1:23" ht="15.75" thickBot="1" x14ac:dyDescent="0.3">
      <c r="A22" s="132" t="s">
        <v>182</v>
      </c>
      <c r="B22" s="282"/>
      <c r="C22" s="133" t="s">
        <v>183</v>
      </c>
      <c r="D22" s="134" t="s">
        <v>184</v>
      </c>
      <c r="E22" s="135">
        <v>5.93</v>
      </c>
      <c r="F22" s="135">
        <v>5.93</v>
      </c>
      <c r="G22" s="135">
        <v>5.93</v>
      </c>
      <c r="H22" s="135">
        <v>5.93</v>
      </c>
      <c r="I22" s="135">
        <v>5.93</v>
      </c>
      <c r="J22" s="135">
        <v>5.93</v>
      </c>
      <c r="K22" s="135">
        <v>5.93</v>
      </c>
      <c r="L22" s="135">
        <v>5.93</v>
      </c>
      <c r="M22" s="135">
        <v>5.93</v>
      </c>
      <c r="N22" s="135">
        <v>5.93</v>
      </c>
      <c r="O22" s="135">
        <v>5.93</v>
      </c>
      <c r="P22" s="135">
        <v>5.93</v>
      </c>
      <c r="Q22" s="135">
        <v>5.93</v>
      </c>
      <c r="R22" s="136">
        <v>5.93</v>
      </c>
      <c r="S22" s="135">
        <v>5.93</v>
      </c>
      <c r="T22" s="135">
        <v>5.93</v>
      </c>
      <c r="U22" s="135">
        <v>5.93</v>
      </c>
      <c r="V22" s="136">
        <v>5.93</v>
      </c>
      <c r="W22" s="136">
        <v>5.93</v>
      </c>
    </row>
    <row r="23" spans="1:23" ht="45" x14ac:dyDescent="0.25">
      <c r="A23" s="127" t="s">
        <v>185</v>
      </c>
      <c r="B23" s="283" t="s">
        <v>186</v>
      </c>
      <c r="C23" s="128" t="s">
        <v>187</v>
      </c>
      <c r="D23" s="129" t="s">
        <v>188</v>
      </c>
      <c r="E23" s="137">
        <f>((E9*238.1*0.001)/0.365)*1000</f>
        <v>63.778183561643829</v>
      </c>
      <c r="F23" s="137">
        <f>((F9*238.1*0.001)/0.365)*1000</f>
        <v>52.036265753424658</v>
      </c>
      <c r="G23" s="138">
        <f>((G9*238.1*0.001)/0.365)*1000</f>
        <v>48.122293150684932</v>
      </c>
      <c r="H23" s="139">
        <f t="shared" si="0"/>
        <v>163.93674246575341</v>
      </c>
      <c r="I23" s="130">
        <f>((I9*238.1*0.001)/0.365)*1000</f>
        <v>50.731608219178092</v>
      </c>
      <c r="J23" s="130">
        <f>((J9*238.1*0.001)/0.365)*1000</f>
        <v>0</v>
      </c>
      <c r="K23" s="140">
        <f>((K9*238.1*0.001)/0.365)*1000</f>
        <v>0</v>
      </c>
      <c r="L23" s="139">
        <f t="shared" si="1"/>
        <v>50.731608219178092</v>
      </c>
      <c r="M23" s="131">
        <f t="shared" si="2"/>
        <v>214.66835068493151</v>
      </c>
      <c r="N23" s="130">
        <f>((N9*238.1*0.001)/0.365)*1000</f>
        <v>0</v>
      </c>
      <c r="O23" s="130">
        <f>((O9*238.1*0.001)/0.365)*1000</f>
        <v>0</v>
      </c>
      <c r="P23" s="130">
        <f>((P9*238.1*0.001)/0.365)*1000</f>
        <v>0</v>
      </c>
      <c r="Q23" s="139">
        <f t="shared" si="3"/>
        <v>0</v>
      </c>
      <c r="R23" s="131">
        <f t="shared" si="4"/>
        <v>214.66835068493151</v>
      </c>
      <c r="S23" s="130">
        <f>((S9*238.1*0.001)/0.365)*1000-0.31</f>
        <v>16.500512328767126</v>
      </c>
      <c r="T23" s="130">
        <f>((T9*238.1*0.001)/0.365)*1000</f>
        <v>37.032704109589048</v>
      </c>
      <c r="U23" s="140">
        <f>((U9*238.1*0.001)/0.365)*1000-0.26</f>
        <v>43.948320547945208</v>
      </c>
      <c r="V23" s="131">
        <f t="shared" si="5"/>
        <v>97.481536986301393</v>
      </c>
      <c r="W23" s="131">
        <f t="shared" si="6"/>
        <v>312.14988767123293</v>
      </c>
    </row>
    <row r="24" spans="1:23" ht="15.75" thickBot="1" x14ac:dyDescent="0.3">
      <c r="A24" s="111" t="s">
        <v>189</v>
      </c>
      <c r="B24" s="284"/>
      <c r="C24" s="141" t="s">
        <v>183</v>
      </c>
      <c r="D24" s="142" t="s">
        <v>190</v>
      </c>
      <c r="E24" s="143">
        <v>2461.25</v>
      </c>
      <c r="F24" s="143">
        <v>2461.25</v>
      </c>
      <c r="G24" s="143">
        <v>2461.25</v>
      </c>
      <c r="H24" s="143">
        <v>2461.25</v>
      </c>
      <c r="I24" s="143">
        <v>2461.25</v>
      </c>
      <c r="J24" s="143">
        <v>2461.25</v>
      </c>
      <c r="K24" s="143">
        <v>2461.25</v>
      </c>
      <c r="L24" s="143">
        <v>2461.25</v>
      </c>
      <c r="M24" s="143">
        <v>2461.25</v>
      </c>
      <c r="N24" s="143">
        <v>2461.25</v>
      </c>
      <c r="O24" s="143">
        <v>2461.25</v>
      </c>
      <c r="P24" s="143">
        <v>2461.25</v>
      </c>
      <c r="Q24" s="143">
        <v>2461.25</v>
      </c>
      <c r="R24" s="143">
        <v>2461.25</v>
      </c>
      <c r="S24" s="143">
        <v>2461.25</v>
      </c>
      <c r="T24" s="143">
        <v>2461.25</v>
      </c>
      <c r="U24" s="143">
        <v>2461.25</v>
      </c>
      <c r="V24" s="143">
        <v>2461.25</v>
      </c>
      <c r="W24" s="143">
        <v>2461.25</v>
      </c>
    </row>
    <row r="25" spans="1:23" ht="45.75" thickBot="1" x14ac:dyDescent="0.3">
      <c r="A25" s="144" t="s">
        <v>191</v>
      </c>
      <c r="B25" s="285"/>
      <c r="C25" s="145" t="s">
        <v>192</v>
      </c>
      <c r="D25" s="146" t="s">
        <v>193</v>
      </c>
      <c r="E25" s="147"/>
      <c r="F25" s="147"/>
      <c r="G25" s="148"/>
      <c r="H25" s="131">
        <f t="shared" si="0"/>
        <v>0</v>
      </c>
      <c r="I25" s="147"/>
      <c r="J25" s="147"/>
      <c r="K25" s="148"/>
      <c r="L25" s="149">
        <f t="shared" si="1"/>
        <v>0</v>
      </c>
      <c r="M25" s="131">
        <f t="shared" si="2"/>
        <v>0</v>
      </c>
      <c r="N25" s="147"/>
      <c r="O25" s="147"/>
      <c r="P25" s="147">
        <v>0</v>
      </c>
      <c r="Q25" s="149">
        <f t="shared" si="3"/>
        <v>0</v>
      </c>
      <c r="R25" s="131">
        <f t="shared" si="4"/>
        <v>0</v>
      </c>
      <c r="S25" s="147"/>
      <c r="T25" s="147"/>
      <c r="U25" s="148"/>
      <c r="V25" s="149">
        <f t="shared" si="5"/>
        <v>0</v>
      </c>
      <c r="W25" s="131">
        <f t="shared" si="6"/>
        <v>0</v>
      </c>
    </row>
    <row r="26" spans="1:23" ht="60" x14ac:dyDescent="0.25">
      <c r="A26" s="150" t="s">
        <v>194</v>
      </c>
      <c r="B26" s="286" t="s">
        <v>195</v>
      </c>
      <c r="C26" s="151" t="s">
        <v>196</v>
      </c>
      <c r="D26" s="112" t="s">
        <v>197</v>
      </c>
      <c r="E26" s="152">
        <f>1.59*E9</f>
        <v>0.15545429999999999</v>
      </c>
      <c r="F26" s="152">
        <f>1.59*F9</f>
        <v>0.12683430000000001</v>
      </c>
      <c r="G26" s="114">
        <f>1.59*G9</f>
        <v>0.1172943</v>
      </c>
      <c r="H26" s="153">
        <f t="shared" si="0"/>
        <v>0.39958290000000002</v>
      </c>
      <c r="I26" s="152">
        <f>1.59*I9</f>
        <v>0.12365430000000001</v>
      </c>
      <c r="J26" s="152">
        <f>0.26*J9</f>
        <v>0</v>
      </c>
      <c r="K26" s="114">
        <f>0.26*K9</f>
        <v>0</v>
      </c>
      <c r="L26" s="153">
        <f t="shared" si="1"/>
        <v>0.12365430000000001</v>
      </c>
      <c r="M26" s="131">
        <f t="shared" si="2"/>
        <v>0.52323720000000007</v>
      </c>
      <c r="N26" s="152">
        <f>0.26*N9</f>
        <v>0</v>
      </c>
      <c r="O26" s="152">
        <f>0.26*O9</f>
        <v>0</v>
      </c>
      <c r="P26" s="152">
        <f>0.26*P9</f>
        <v>0</v>
      </c>
      <c r="Q26" s="153">
        <f t="shared" si="3"/>
        <v>0</v>
      </c>
      <c r="R26" s="153">
        <f t="shared" si="4"/>
        <v>0.52323720000000007</v>
      </c>
      <c r="S26" s="152">
        <f>1.59*S9</f>
        <v>4.0974299999999998E-2</v>
      </c>
      <c r="T26" s="152">
        <f>1.59*T9</f>
        <v>9.0264300000000006E-2</v>
      </c>
      <c r="U26" s="114">
        <f>1.59*U9</f>
        <v>0.1077543</v>
      </c>
      <c r="V26" s="153">
        <f t="shared" si="5"/>
        <v>0.23899290000000001</v>
      </c>
      <c r="W26" s="131">
        <f t="shared" si="6"/>
        <v>0.76223010000000002</v>
      </c>
    </row>
    <row r="27" spans="1:23" ht="30" x14ac:dyDescent="0.25">
      <c r="A27" s="150" t="s">
        <v>198</v>
      </c>
      <c r="B27" s="286"/>
      <c r="C27" s="151" t="s">
        <v>199</v>
      </c>
      <c r="D27" s="112" t="s">
        <v>197</v>
      </c>
      <c r="E27" s="152"/>
      <c r="F27" s="152"/>
      <c r="G27" s="114"/>
      <c r="H27" s="153">
        <f t="shared" si="0"/>
        <v>0</v>
      </c>
      <c r="I27" s="152">
        <v>0</v>
      </c>
      <c r="J27" s="152">
        <v>0</v>
      </c>
      <c r="K27" s="114">
        <v>0</v>
      </c>
      <c r="L27" s="153">
        <f t="shared" si="1"/>
        <v>0</v>
      </c>
      <c r="M27" s="153">
        <f t="shared" si="2"/>
        <v>0</v>
      </c>
      <c r="N27" s="152"/>
      <c r="O27" s="152"/>
      <c r="P27" s="152">
        <v>0</v>
      </c>
      <c r="Q27" s="153">
        <f t="shared" si="3"/>
        <v>0</v>
      </c>
      <c r="R27" s="153">
        <f t="shared" si="4"/>
        <v>0</v>
      </c>
      <c r="S27" s="152">
        <v>0</v>
      </c>
      <c r="T27" s="152">
        <v>0</v>
      </c>
      <c r="U27" s="114">
        <f>W27-R27-S27-T27</f>
        <v>0</v>
      </c>
      <c r="V27" s="153">
        <f t="shared" si="5"/>
        <v>0</v>
      </c>
      <c r="W27" s="154"/>
    </row>
    <row r="28" spans="1:23" ht="18" x14ac:dyDescent="0.25">
      <c r="A28" s="150" t="s">
        <v>200</v>
      </c>
      <c r="B28" s="287"/>
      <c r="C28" s="141" t="s">
        <v>183</v>
      </c>
      <c r="D28" s="142" t="s">
        <v>201</v>
      </c>
      <c r="E28" s="113">
        <v>28.67</v>
      </c>
      <c r="F28" s="113">
        <v>28.67</v>
      </c>
      <c r="G28" s="113">
        <v>28.67</v>
      </c>
      <c r="H28" s="113">
        <v>28.67</v>
      </c>
      <c r="I28" s="113">
        <v>28.67</v>
      </c>
      <c r="J28" s="113">
        <v>28.67</v>
      </c>
      <c r="K28" s="113">
        <v>28.67</v>
      </c>
      <c r="L28" s="113">
        <v>28.67</v>
      </c>
      <c r="M28" s="113">
        <v>28.67</v>
      </c>
      <c r="N28" s="113">
        <v>28.67</v>
      </c>
      <c r="O28" s="113">
        <v>28.67</v>
      </c>
      <c r="P28" s="113">
        <v>28.67</v>
      </c>
      <c r="Q28" s="113">
        <v>28.67</v>
      </c>
      <c r="R28" s="113">
        <v>28.67</v>
      </c>
      <c r="S28" s="113">
        <v>28.67</v>
      </c>
      <c r="T28" s="113">
        <v>28.67</v>
      </c>
      <c r="U28" s="113">
        <v>28.67</v>
      </c>
      <c r="V28" s="113">
        <v>28.67</v>
      </c>
      <c r="W28" s="113">
        <v>28.67</v>
      </c>
    </row>
    <row r="29" spans="1:23" x14ac:dyDescent="0.25">
      <c r="A29" s="155" t="s">
        <v>202</v>
      </c>
      <c r="B29" s="156"/>
      <c r="C29" s="157"/>
      <c r="D29" s="158"/>
      <c r="E29" s="159"/>
      <c r="F29" s="159"/>
      <c r="G29" s="159"/>
      <c r="H29" s="160">
        <f t="shared" si="0"/>
        <v>0</v>
      </c>
      <c r="I29" s="159"/>
      <c r="J29" s="159"/>
      <c r="K29" s="159"/>
      <c r="L29" s="160">
        <f t="shared" si="1"/>
        <v>0</v>
      </c>
      <c r="M29" s="160">
        <f t="shared" si="2"/>
        <v>0</v>
      </c>
      <c r="N29" s="161"/>
      <c r="O29" s="159"/>
      <c r="P29" s="159"/>
      <c r="Q29" s="160">
        <f t="shared" si="3"/>
        <v>0</v>
      </c>
      <c r="R29" s="161">
        <f t="shared" si="4"/>
        <v>0</v>
      </c>
      <c r="S29" s="161"/>
      <c r="T29" s="159"/>
      <c r="U29" s="159"/>
      <c r="V29" s="160">
        <f t="shared" si="5"/>
        <v>0</v>
      </c>
      <c r="W29" s="162">
        <f t="shared" si="6"/>
        <v>0</v>
      </c>
    </row>
    <row r="30" spans="1:23" x14ac:dyDescent="0.25">
      <c r="A30" s="111">
        <v>1</v>
      </c>
      <c r="B30" s="288" t="s">
        <v>203</v>
      </c>
      <c r="C30" s="288"/>
      <c r="D30" s="142" t="s">
        <v>204</v>
      </c>
      <c r="E30" s="120">
        <f>E23*E24/1000</f>
        <v>156.97405429109588</v>
      </c>
      <c r="F30" s="120">
        <f>F23*F24/1000</f>
        <v>128.07425908561643</v>
      </c>
      <c r="G30" s="120">
        <f>G23*G24/1000</f>
        <v>118.44099401712329</v>
      </c>
      <c r="H30" s="116">
        <f t="shared" si="0"/>
        <v>403.48930739383559</v>
      </c>
      <c r="I30" s="120">
        <f>I23*I24/1000</f>
        <v>124.86317072945208</v>
      </c>
      <c r="J30" s="120">
        <f>J23*J24/1000</f>
        <v>0</v>
      </c>
      <c r="K30" s="120">
        <f>K23*K24/1000</f>
        <v>0</v>
      </c>
      <c r="L30" s="115">
        <f t="shared" si="1"/>
        <v>124.86317072945208</v>
      </c>
      <c r="M30" s="115">
        <f t="shared" si="2"/>
        <v>528.35247812328771</v>
      </c>
      <c r="N30" s="120">
        <f>N23*N24/1000</f>
        <v>0</v>
      </c>
      <c r="O30" s="120">
        <f>O23*O24/1000</f>
        <v>0</v>
      </c>
      <c r="P30" s="120">
        <f>P23*P24/1000</f>
        <v>0</v>
      </c>
      <c r="Q30" s="115">
        <f t="shared" si="3"/>
        <v>0</v>
      </c>
      <c r="R30" s="115">
        <f t="shared" si="4"/>
        <v>528.35247812328771</v>
      </c>
      <c r="S30" s="120">
        <f>S23*S24/1000</f>
        <v>40.61188596917809</v>
      </c>
      <c r="T30" s="120">
        <f>T23*T24/1000</f>
        <v>91.14674298972605</v>
      </c>
      <c r="U30" s="120">
        <f>U23*U24/1000</f>
        <v>108.16780394863014</v>
      </c>
      <c r="V30" s="116">
        <f t="shared" si="5"/>
        <v>239.92643290753426</v>
      </c>
      <c r="W30" s="117">
        <f t="shared" si="6"/>
        <v>768.27891103082197</v>
      </c>
    </row>
    <row r="31" spans="1:23" x14ac:dyDescent="0.25">
      <c r="A31" s="122" t="s">
        <v>205</v>
      </c>
      <c r="B31" s="289" t="s">
        <v>186</v>
      </c>
      <c r="C31" s="290"/>
      <c r="D31" s="142" t="s">
        <v>204</v>
      </c>
      <c r="E31" s="113">
        <f>E30</f>
        <v>156.97405429109588</v>
      </c>
      <c r="F31" s="113">
        <f>F30</f>
        <v>128.07425908561643</v>
      </c>
      <c r="G31" s="113">
        <f>G30</f>
        <v>118.44099401712329</v>
      </c>
      <c r="H31" s="116">
        <v>351.61417500000005</v>
      </c>
      <c r="I31" s="113">
        <f>I30</f>
        <v>124.86317072945208</v>
      </c>
      <c r="J31" s="113">
        <v>0</v>
      </c>
      <c r="K31" s="113">
        <v>0</v>
      </c>
      <c r="L31" s="115">
        <f t="shared" si="1"/>
        <v>124.86317072945208</v>
      </c>
      <c r="M31" s="115">
        <f t="shared" si="2"/>
        <v>476.47734572945211</v>
      </c>
      <c r="N31" s="113">
        <v>0</v>
      </c>
      <c r="O31" s="113">
        <v>0</v>
      </c>
      <c r="P31" s="113">
        <v>0</v>
      </c>
      <c r="Q31" s="115">
        <f t="shared" si="3"/>
        <v>0</v>
      </c>
      <c r="R31" s="115">
        <f t="shared" si="4"/>
        <v>476.47734572945211</v>
      </c>
      <c r="S31" s="113">
        <f>S30</f>
        <v>40.61188596917809</v>
      </c>
      <c r="T31" s="113">
        <f>T30</f>
        <v>91.14674298972605</v>
      </c>
      <c r="U31" s="113">
        <f>U30</f>
        <v>108.16780394863014</v>
      </c>
      <c r="V31" s="116">
        <f t="shared" si="5"/>
        <v>239.92643290753426</v>
      </c>
      <c r="W31" s="117">
        <f t="shared" si="6"/>
        <v>716.40377863698632</v>
      </c>
    </row>
    <row r="32" spans="1:23" x14ac:dyDescent="0.25">
      <c r="A32" s="111">
        <v>2</v>
      </c>
      <c r="B32" s="288" t="s">
        <v>34</v>
      </c>
      <c r="C32" s="288"/>
      <c r="D32" s="142" t="s">
        <v>204</v>
      </c>
      <c r="E32" s="113">
        <f>E21*E22</f>
        <v>23.011313408999996</v>
      </c>
      <c r="F32" s="113">
        <f>F21*F22</f>
        <v>18.774802809000001</v>
      </c>
      <c r="G32" s="114">
        <f>G21*G22</f>
        <v>17.362632608999998</v>
      </c>
      <c r="H32" s="116">
        <f t="shared" si="0"/>
        <v>59.148748826999991</v>
      </c>
      <c r="I32" s="113">
        <f>I21*I22</f>
        <v>18.304079409</v>
      </c>
      <c r="J32" s="113">
        <v>0</v>
      </c>
      <c r="K32" s="113">
        <v>0</v>
      </c>
      <c r="L32" s="116">
        <f t="shared" si="1"/>
        <v>18.304079409</v>
      </c>
      <c r="M32" s="115">
        <f t="shared" si="2"/>
        <v>77.452828235999988</v>
      </c>
      <c r="N32" s="113">
        <v>0</v>
      </c>
      <c r="O32" s="113">
        <v>0</v>
      </c>
      <c r="P32" s="113">
        <v>0</v>
      </c>
      <c r="Q32" s="116">
        <f t="shared" si="3"/>
        <v>0</v>
      </c>
      <c r="R32" s="115">
        <f t="shared" si="4"/>
        <v>77.452828235999988</v>
      </c>
      <c r="S32" s="113">
        <f>S21*S22</f>
        <v>5.9051610089999986</v>
      </c>
      <c r="T32" s="113">
        <f>T21*T22</f>
        <v>13.361483708999998</v>
      </c>
      <c r="U32" s="113">
        <f>U21*U22</f>
        <v>15.950462408999996</v>
      </c>
      <c r="V32" s="116">
        <f t="shared" si="5"/>
        <v>35.217107126999991</v>
      </c>
      <c r="W32" s="117">
        <f t="shared" si="6"/>
        <v>112.66993536299998</v>
      </c>
    </row>
    <row r="33" spans="1:23" x14ac:dyDescent="0.25">
      <c r="A33" s="111">
        <v>3</v>
      </c>
      <c r="B33" s="279" t="s">
        <v>206</v>
      </c>
      <c r="C33" s="280"/>
      <c r="D33" s="142" t="s">
        <v>204</v>
      </c>
      <c r="E33" s="113">
        <v>4.4539999999999997</v>
      </c>
      <c r="F33" s="113">
        <v>4.4539999999999997</v>
      </c>
      <c r="G33" s="114">
        <v>4.4539999999999997</v>
      </c>
      <c r="H33" s="116">
        <f t="shared" si="0"/>
        <v>13.361999999999998</v>
      </c>
      <c r="I33" s="113">
        <v>4.4539999999999997</v>
      </c>
      <c r="J33" s="113">
        <v>4.4539999999999997</v>
      </c>
      <c r="K33" s="113">
        <v>4.4539999999999997</v>
      </c>
      <c r="L33" s="116">
        <f t="shared" si="1"/>
        <v>13.361999999999998</v>
      </c>
      <c r="M33" s="115">
        <f t="shared" si="2"/>
        <v>26.723999999999997</v>
      </c>
      <c r="N33" s="113">
        <v>4.4539999999999997</v>
      </c>
      <c r="O33" s="113">
        <v>4.4539999999999997</v>
      </c>
      <c r="P33" s="113">
        <v>4.4539999999999997</v>
      </c>
      <c r="Q33" s="116">
        <f t="shared" si="3"/>
        <v>13.361999999999998</v>
      </c>
      <c r="R33" s="115">
        <f t="shared" si="4"/>
        <v>40.085999999999999</v>
      </c>
      <c r="S33" s="113">
        <v>4.4539999999999997</v>
      </c>
      <c r="T33" s="113">
        <v>4.4539999999999997</v>
      </c>
      <c r="U33" s="113">
        <v>4.4539999999999997</v>
      </c>
      <c r="V33" s="116">
        <f t="shared" si="5"/>
        <v>13.361999999999998</v>
      </c>
      <c r="W33" s="117">
        <f t="shared" si="6"/>
        <v>53.447999999999993</v>
      </c>
    </row>
    <row r="34" spans="1:23" x14ac:dyDescent="0.25">
      <c r="A34" s="111">
        <v>4</v>
      </c>
      <c r="B34" s="288" t="s">
        <v>207</v>
      </c>
      <c r="C34" s="288"/>
      <c r="D34" s="142" t="s">
        <v>204</v>
      </c>
      <c r="E34" s="113"/>
      <c r="F34" s="113"/>
      <c r="G34" s="114"/>
      <c r="H34" s="116">
        <f t="shared" si="0"/>
        <v>0</v>
      </c>
      <c r="I34" s="113"/>
      <c r="J34" s="113"/>
      <c r="K34" s="113"/>
      <c r="L34" s="116">
        <f t="shared" si="1"/>
        <v>0</v>
      </c>
      <c r="M34" s="115">
        <f t="shared" si="2"/>
        <v>0</v>
      </c>
      <c r="N34" s="113"/>
      <c r="O34" s="113"/>
      <c r="P34" s="113"/>
      <c r="Q34" s="116">
        <f t="shared" si="3"/>
        <v>0</v>
      </c>
      <c r="R34" s="115">
        <f t="shared" si="4"/>
        <v>0</v>
      </c>
      <c r="S34" s="113"/>
      <c r="T34" s="113"/>
      <c r="U34" s="113"/>
      <c r="V34" s="116">
        <f t="shared" si="5"/>
        <v>0</v>
      </c>
      <c r="W34" s="117">
        <f t="shared" si="6"/>
        <v>0</v>
      </c>
    </row>
    <row r="35" spans="1:23" x14ac:dyDescent="0.25">
      <c r="A35" s="111">
        <v>5</v>
      </c>
      <c r="B35" s="288" t="s">
        <v>208</v>
      </c>
      <c r="C35" s="288"/>
      <c r="D35" s="142" t="s">
        <v>204</v>
      </c>
      <c r="E35" s="113">
        <f>E36+E37</f>
        <v>103.26249799999999</v>
      </c>
      <c r="F35" s="113">
        <f>F36+F37</f>
        <v>96.430930000000004</v>
      </c>
      <c r="G35" s="114">
        <f>G36+G37</f>
        <v>96.430930000000004</v>
      </c>
      <c r="H35" s="116">
        <f>H36+H37</f>
        <v>296.12435800000003</v>
      </c>
      <c r="I35" s="113">
        <f t="shared" ref="I35:W35" si="8">I36+I37</f>
        <v>123.42543000000001</v>
      </c>
      <c r="J35" s="113">
        <f t="shared" si="8"/>
        <v>13.37093</v>
      </c>
      <c r="K35" s="113">
        <f t="shared" si="8"/>
        <v>13.37093</v>
      </c>
      <c r="L35" s="116">
        <f t="shared" si="8"/>
        <v>150.16729000000001</v>
      </c>
      <c r="M35" s="115">
        <f t="shared" si="8"/>
        <v>446.29164800000001</v>
      </c>
      <c r="N35" s="113">
        <f t="shared" si="8"/>
        <v>13.37093</v>
      </c>
      <c r="O35" s="113">
        <f t="shared" si="8"/>
        <v>13.37093</v>
      </c>
      <c r="P35" s="113">
        <f t="shared" si="8"/>
        <v>13.37093</v>
      </c>
      <c r="Q35" s="116">
        <f t="shared" si="8"/>
        <v>40.112789999999997</v>
      </c>
      <c r="R35" s="115">
        <f t="shared" si="8"/>
        <v>486.40443800000003</v>
      </c>
      <c r="S35" s="113">
        <f t="shared" si="8"/>
        <v>54.900930000000002</v>
      </c>
      <c r="T35" s="113">
        <f t="shared" si="8"/>
        <v>96.430930000000004</v>
      </c>
      <c r="U35" s="113">
        <f t="shared" si="8"/>
        <v>96.430930000000004</v>
      </c>
      <c r="V35" s="116">
        <f t="shared" si="8"/>
        <v>247.76279</v>
      </c>
      <c r="W35" s="117">
        <f t="shared" si="8"/>
        <v>734.16722800000002</v>
      </c>
    </row>
    <row r="36" spans="1:23" x14ac:dyDescent="0.25">
      <c r="A36" s="111"/>
      <c r="B36" s="279" t="s">
        <v>209</v>
      </c>
      <c r="C36" s="280"/>
      <c r="D36" s="142" t="s">
        <v>204</v>
      </c>
      <c r="E36" s="113">
        <v>83.06</v>
      </c>
      <c r="F36" s="113">
        <v>83.06</v>
      </c>
      <c r="G36" s="114">
        <v>83.06</v>
      </c>
      <c r="H36" s="116">
        <f t="shared" si="0"/>
        <v>249.18</v>
      </c>
      <c r="I36" s="113">
        <f>83.06+26.9945</f>
        <v>110.0545</v>
      </c>
      <c r="J36" s="113"/>
      <c r="K36" s="113"/>
      <c r="L36" s="116">
        <f t="shared" si="1"/>
        <v>110.0545</v>
      </c>
      <c r="M36" s="115">
        <f>L36+H36</f>
        <v>359.23450000000003</v>
      </c>
      <c r="N36" s="113"/>
      <c r="O36" s="113"/>
      <c r="P36" s="113"/>
      <c r="Q36" s="116">
        <f>SUM(N36:P36)</f>
        <v>0</v>
      </c>
      <c r="R36" s="115">
        <f>Q36+M36</f>
        <v>359.23450000000003</v>
      </c>
      <c r="S36" s="113">
        <v>41.53</v>
      </c>
      <c r="T36" s="113">
        <v>83.06</v>
      </c>
      <c r="U36" s="113">
        <v>83.06</v>
      </c>
      <c r="V36" s="116">
        <f>SUM(S36:U36)</f>
        <v>207.65</v>
      </c>
      <c r="W36" s="117">
        <f>V36+R36</f>
        <v>566.8845</v>
      </c>
    </row>
    <row r="37" spans="1:23" x14ac:dyDescent="0.25">
      <c r="A37" s="163"/>
      <c r="B37" s="279" t="s">
        <v>210</v>
      </c>
      <c r="C37" s="280" t="s">
        <v>211</v>
      </c>
      <c r="D37" s="142" t="s">
        <v>204</v>
      </c>
      <c r="E37" s="113">
        <v>20.202497999999999</v>
      </c>
      <c r="F37" s="113">
        <v>13.37093</v>
      </c>
      <c r="G37" s="114">
        <v>13.37093</v>
      </c>
      <c r="H37" s="116">
        <f t="shared" si="0"/>
        <v>46.944358000000001</v>
      </c>
      <c r="I37" s="113">
        <v>13.37093</v>
      </c>
      <c r="J37" s="113">
        <v>13.37093</v>
      </c>
      <c r="K37" s="113">
        <v>13.37093</v>
      </c>
      <c r="L37" s="116">
        <f t="shared" si="1"/>
        <v>40.112789999999997</v>
      </c>
      <c r="M37" s="115">
        <f>L37+H37</f>
        <v>87.057147999999998</v>
      </c>
      <c r="N37" s="113">
        <v>13.37093</v>
      </c>
      <c r="O37" s="113">
        <v>13.37093</v>
      </c>
      <c r="P37" s="113">
        <v>13.37093</v>
      </c>
      <c r="Q37" s="116">
        <f t="shared" si="3"/>
        <v>40.112789999999997</v>
      </c>
      <c r="R37" s="115">
        <f t="shared" si="4"/>
        <v>127.169938</v>
      </c>
      <c r="S37" s="113">
        <v>13.37093</v>
      </c>
      <c r="T37" s="113">
        <v>13.37093</v>
      </c>
      <c r="U37" s="113">
        <v>13.37093</v>
      </c>
      <c r="V37" s="116">
        <f t="shared" si="5"/>
        <v>40.112789999999997</v>
      </c>
      <c r="W37" s="117">
        <f t="shared" si="6"/>
        <v>167.28272799999999</v>
      </c>
    </row>
    <row r="38" spans="1:23" x14ac:dyDescent="0.25">
      <c r="A38" s="163" t="s">
        <v>163</v>
      </c>
      <c r="B38" s="279" t="s">
        <v>212</v>
      </c>
      <c r="C38" s="280"/>
      <c r="D38" s="142" t="s">
        <v>204</v>
      </c>
      <c r="E38" s="113">
        <f>E39+E40</f>
        <v>31.144869399999997</v>
      </c>
      <c r="F38" s="113">
        <f>F39+F40</f>
        <v>29.095399</v>
      </c>
      <c r="G38" s="114">
        <f>G39+G40</f>
        <v>29.095399</v>
      </c>
      <c r="H38" s="116">
        <f t="shared" si="0"/>
        <v>89.335667400000006</v>
      </c>
      <c r="I38" s="113">
        <f>I39+I40</f>
        <v>37.247738000000005</v>
      </c>
      <c r="J38" s="113">
        <f>J39+J40</f>
        <v>4.011279</v>
      </c>
      <c r="K38" s="113">
        <f>K39+K40</f>
        <v>4.011279</v>
      </c>
      <c r="L38" s="116">
        <f t="shared" si="1"/>
        <v>45.270296000000009</v>
      </c>
      <c r="M38" s="115">
        <f t="shared" si="2"/>
        <v>134.60596340000001</v>
      </c>
      <c r="N38" s="113">
        <f>N39+N40</f>
        <v>4.011279</v>
      </c>
      <c r="O38" s="113">
        <f>O39+O40</f>
        <v>4.011279</v>
      </c>
      <c r="P38" s="113">
        <f>P39+P40</f>
        <v>4.011279</v>
      </c>
      <c r="Q38" s="116">
        <f t="shared" si="3"/>
        <v>12.033837</v>
      </c>
      <c r="R38" s="115">
        <f t="shared" si="4"/>
        <v>146.63980040000001</v>
      </c>
      <c r="S38" s="113">
        <f>S39+S40</f>
        <v>16.553339000000001</v>
      </c>
      <c r="T38" s="113">
        <f>T39+T40</f>
        <v>29.095399</v>
      </c>
      <c r="U38" s="113">
        <f>U39+U40</f>
        <v>29.095399</v>
      </c>
      <c r="V38" s="116">
        <f t="shared" si="5"/>
        <v>74.744136999999995</v>
      </c>
      <c r="W38" s="117">
        <f t="shared" si="6"/>
        <v>221.38393740000001</v>
      </c>
    </row>
    <row r="39" spans="1:23" x14ac:dyDescent="0.25">
      <c r="A39" s="163"/>
      <c r="B39" s="164" t="s">
        <v>209</v>
      </c>
      <c r="C39" s="165"/>
      <c r="D39" s="142" t="s">
        <v>204</v>
      </c>
      <c r="E39" s="113">
        <f>E36*30.2%</f>
        <v>25.084119999999999</v>
      </c>
      <c r="F39" s="113">
        <f>F36*30.2%</f>
        <v>25.084119999999999</v>
      </c>
      <c r="G39" s="114">
        <f>G36*30.2%</f>
        <v>25.084119999999999</v>
      </c>
      <c r="H39" s="116">
        <f t="shared" si="0"/>
        <v>75.252359999999996</v>
      </c>
      <c r="I39" s="113">
        <f>I36*30.2%</f>
        <v>33.236459000000004</v>
      </c>
      <c r="J39" s="113">
        <f>J36*30.2%</f>
        <v>0</v>
      </c>
      <c r="K39" s="113">
        <f>K36*30.2%</f>
        <v>0</v>
      </c>
      <c r="L39" s="116">
        <f t="shared" si="1"/>
        <v>33.236459000000004</v>
      </c>
      <c r="M39" s="115">
        <f t="shared" si="2"/>
        <v>108.48881900000001</v>
      </c>
      <c r="N39" s="113">
        <f>N36*30.2%</f>
        <v>0</v>
      </c>
      <c r="O39" s="113">
        <f>O36*30.2%</f>
        <v>0</v>
      </c>
      <c r="P39" s="113">
        <f>P36*30.2%</f>
        <v>0</v>
      </c>
      <c r="Q39" s="116">
        <f t="shared" si="3"/>
        <v>0</v>
      </c>
      <c r="R39" s="115">
        <f t="shared" si="4"/>
        <v>108.48881900000001</v>
      </c>
      <c r="S39" s="113">
        <f>S36*30.2%</f>
        <v>12.542059999999999</v>
      </c>
      <c r="T39" s="113">
        <f>T36*30.2%</f>
        <v>25.084119999999999</v>
      </c>
      <c r="U39" s="113">
        <f>U36*30.2%</f>
        <v>25.084119999999999</v>
      </c>
      <c r="V39" s="116">
        <f t="shared" si="5"/>
        <v>62.710299999999997</v>
      </c>
      <c r="W39" s="117">
        <f t="shared" si="6"/>
        <v>171.199119</v>
      </c>
    </row>
    <row r="40" spans="1:23" x14ac:dyDescent="0.25">
      <c r="A40" s="111"/>
      <c r="B40" s="279" t="s">
        <v>213</v>
      </c>
      <c r="C40" s="280" t="s">
        <v>211</v>
      </c>
      <c r="D40" s="142" t="s">
        <v>204</v>
      </c>
      <c r="E40" s="113">
        <f>E37*30%</f>
        <v>6.0607493999999997</v>
      </c>
      <c r="F40" s="113">
        <f>F37*30%</f>
        <v>4.011279</v>
      </c>
      <c r="G40" s="114">
        <f>G37*30%</f>
        <v>4.011279</v>
      </c>
      <c r="H40" s="116">
        <f t="shared" si="0"/>
        <v>14.083307400000001</v>
      </c>
      <c r="I40" s="113">
        <f>I37*30%</f>
        <v>4.011279</v>
      </c>
      <c r="J40" s="113">
        <f>J37*30%</f>
        <v>4.011279</v>
      </c>
      <c r="K40" s="113">
        <f>K37*30%</f>
        <v>4.011279</v>
      </c>
      <c r="L40" s="116">
        <f t="shared" si="1"/>
        <v>12.033837</v>
      </c>
      <c r="M40" s="115">
        <f t="shared" si="2"/>
        <v>26.117144400000001</v>
      </c>
      <c r="N40" s="113">
        <f>N37*30%</f>
        <v>4.011279</v>
      </c>
      <c r="O40" s="113">
        <f>O37*30%</f>
        <v>4.011279</v>
      </c>
      <c r="P40" s="113">
        <f>P37*30%</f>
        <v>4.011279</v>
      </c>
      <c r="Q40" s="116">
        <f t="shared" si="3"/>
        <v>12.033837</v>
      </c>
      <c r="R40" s="115">
        <f t="shared" si="4"/>
        <v>38.150981399999999</v>
      </c>
      <c r="S40" s="113">
        <f>S37*30%</f>
        <v>4.011279</v>
      </c>
      <c r="T40" s="113">
        <f>T37*30%</f>
        <v>4.011279</v>
      </c>
      <c r="U40" s="113">
        <f>U37*30%</f>
        <v>4.011279</v>
      </c>
      <c r="V40" s="116">
        <f t="shared" si="5"/>
        <v>12.033837</v>
      </c>
      <c r="W40" s="117">
        <f t="shared" si="6"/>
        <v>50.184818399999997</v>
      </c>
    </row>
    <row r="41" spans="1:23" x14ac:dyDescent="0.25">
      <c r="A41" s="111">
        <v>7</v>
      </c>
      <c r="B41" s="164" t="s">
        <v>103</v>
      </c>
      <c r="C41" s="165"/>
      <c r="D41" s="142" t="s">
        <v>132</v>
      </c>
      <c r="E41" s="113">
        <f>0.17*E9*18.62</f>
        <v>0.30948115800000003</v>
      </c>
      <c r="F41" s="113">
        <f>0.17*F9*18.62</f>
        <v>0.25250395800000008</v>
      </c>
      <c r="G41" s="114">
        <f>0.17*G9*18.62</f>
        <v>0.23351155800000004</v>
      </c>
      <c r="H41" s="116">
        <f t="shared" si="0"/>
        <v>0.79549667400000013</v>
      </c>
      <c r="I41" s="113">
        <f>0.17*I9*18.62</f>
        <v>0.24617315800000006</v>
      </c>
      <c r="J41" s="113">
        <f>0.17*J9*18.62</f>
        <v>0</v>
      </c>
      <c r="K41" s="113">
        <f>0.17*K9*18.62</f>
        <v>0</v>
      </c>
      <c r="L41" s="116">
        <f t="shared" si="1"/>
        <v>0.24617315800000006</v>
      </c>
      <c r="M41" s="115">
        <f t="shared" si="2"/>
        <v>1.0416698320000002</v>
      </c>
      <c r="N41" s="113"/>
      <c r="O41" s="113"/>
      <c r="P41" s="113"/>
      <c r="Q41" s="116">
        <f t="shared" si="3"/>
        <v>0</v>
      </c>
      <c r="R41" s="115">
        <f t="shared" si="4"/>
        <v>1.0416698320000002</v>
      </c>
      <c r="S41" s="113">
        <f>0.17*S9*18.62</f>
        <v>8.1572358000000011E-2</v>
      </c>
      <c r="T41" s="113">
        <f>0.17*T9*18.62</f>
        <v>0.17969975800000001</v>
      </c>
      <c r="U41" s="113">
        <f>0.17*U9*18.62</f>
        <v>0.21451915800000002</v>
      </c>
      <c r="V41" s="116">
        <f t="shared" si="5"/>
        <v>0.47579127399999999</v>
      </c>
      <c r="W41" s="117">
        <f t="shared" si="6"/>
        <v>1.5174611060000003</v>
      </c>
    </row>
    <row r="42" spans="1:23" x14ac:dyDescent="0.25">
      <c r="A42" s="111">
        <v>8</v>
      </c>
      <c r="B42" s="164" t="s">
        <v>195</v>
      </c>
      <c r="C42" s="165"/>
      <c r="D42" s="142" t="s">
        <v>132</v>
      </c>
      <c r="E42" s="113">
        <f>E26*E28</f>
        <v>4.4568747809999998</v>
      </c>
      <c r="F42" s="113">
        <f>F26*F28</f>
        <v>3.6363393810000004</v>
      </c>
      <c r="G42" s="114">
        <f>G26*G28</f>
        <v>3.3628275810000003</v>
      </c>
      <c r="H42" s="116">
        <f t="shared" si="0"/>
        <v>11.456041743</v>
      </c>
      <c r="I42" s="113">
        <f>I26*I28</f>
        <v>3.5451687810000005</v>
      </c>
      <c r="J42" s="113">
        <f>J26*J28</f>
        <v>0</v>
      </c>
      <c r="K42" s="113">
        <f>K26*K28</f>
        <v>0</v>
      </c>
      <c r="L42" s="116">
        <f t="shared" si="1"/>
        <v>3.5451687810000005</v>
      </c>
      <c r="M42" s="115">
        <f t="shared" si="2"/>
        <v>15.001210524000001</v>
      </c>
      <c r="N42" s="113">
        <f>N26*N28</f>
        <v>0</v>
      </c>
      <c r="O42" s="113">
        <f>O26*O28</f>
        <v>0</v>
      </c>
      <c r="P42" s="113">
        <f>P26*P28</f>
        <v>0</v>
      </c>
      <c r="Q42" s="116">
        <f t="shared" si="3"/>
        <v>0</v>
      </c>
      <c r="R42" s="115">
        <f t="shared" si="4"/>
        <v>15.001210524000001</v>
      </c>
      <c r="S42" s="113">
        <f>S26*S28</f>
        <v>1.1747331810000001</v>
      </c>
      <c r="T42" s="113">
        <f>T26*T28</f>
        <v>2.5878774810000005</v>
      </c>
      <c r="U42" s="113">
        <f>U26*U28</f>
        <v>3.0893157810000003</v>
      </c>
      <c r="V42" s="116">
        <f t="shared" si="5"/>
        <v>6.8519264430000009</v>
      </c>
      <c r="W42" s="117">
        <f t="shared" si="6"/>
        <v>21.853136967000001</v>
      </c>
    </row>
    <row r="43" spans="1:23" x14ac:dyDescent="0.25">
      <c r="A43" s="111">
        <v>9</v>
      </c>
      <c r="B43" s="288" t="s">
        <v>214</v>
      </c>
      <c r="C43" s="288"/>
      <c r="D43" s="142" t="s">
        <v>204</v>
      </c>
      <c r="E43" s="120">
        <f>SUM(E44:E47,E49:E50,E55)</f>
        <v>66.875616238356159</v>
      </c>
      <c r="F43" s="120">
        <f>SUM(F44:F47,F49:F50,F55)</f>
        <v>55.474214046575341</v>
      </c>
      <c r="G43" s="120">
        <f>SUM(G44:G47,G49:G50,G55)</f>
        <v>51.673746649315078</v>
      </c>
      <c r="H43" s="116">
        <f t="shared" si="0"/>
        <v>174.02357693424659</v>
      </c>
      <c r="I43" s="120">
        <f>SUM(I44:I47,I49:I50,I55)</f>
        <v>54.207391580821927</v>
      </c>
      <c r="J43" s="120">
        <f>SUM(J44:J47,J49:J50,J55)</f>
        <v>0</v>
      </c>
      <c r="K43" s="120">
        <f>SUM(K44:K47,K49:K50,K55)</f>
        <v>0</v>
      </c>
      <c r="L43" s="116">
        <f t="shared" si="1"/>
        <v>54.207391580821927</v>
      </c>
      <c r="M43" s="115">
        <f t="shared" si="2"/>
        <v>228.23096851506853</v>
      </c>
      <c r="N43" s="120">
        <f>SUM(N44,N47,N49,N50,N55)</f>
        <v>0</v>
      </c>
      <c r="O43" s="120">
        <f>O44+O45+O46+O47+O50+O55</f>
        <v>0</v>
      </c>
      <c r="P43" s="120">
        <f>P44+P45+P46+P47+P50+P55</f>
        <v>0</v>
      </c>
      <c r="Q43" s="116">
        <f t="shared" si="3"/>
        <v>0</v>
      </c>
      <c r="R43" s="115">
        <f t="shared" si="4"/>
        <v>228.23096851506853</v>
      </c>
      <c r="S43" s="120">
        <f>S44+S45+S46+S47+S50+S55+S49</f>
        <v>21.61599747123288</v>
      </c>
      <c r="T43" s="120">
        <f>T44+T45+T46+T47+T50+T55+T49</f>
        <v>40.90575569041097</v>
      </c>
      <c r="U43" s="120">
        <f>U44+U45+U46+U47+U50+U55+U49</f>
        <v>47.620819252054801</v>
      </c>
      <c r="V43" s="116">
        <f t="shared" si="5"/>
        <v>110.14257241369864</v>
      </c>
      <c r="W43" s="117">
        <f t="shared" si="6"/>
        <v>338.37354092876717</v>
      </c>
    </row>
    <row r="44" spans="1:23" x14ac:dyDescent="0.25">
      <c r="A44" s="122" t="s">
        <v>215</v>
      </c>
      <c r="B44" s="277" t="s">
        <v>216</v>
      </c>
      <c r="C44" s="278"/>
      <c r="D44" s="142" t="s">
        <v>204</v>
      </c>
      <c r="E44" s="113">
        <v>0</v>
      </c>
      <c r="F44" s="113">
        <v>0</v>
      </c>
      <c r="G44" s="113">
        <v>0</v>
      </c>
      <c r="H44" s="116">
        <f t="shared" si="0"/>
        <v>0</v>
      </c>
      <c r="I44" s="113">
        <v>0</v>
      </c>
      <c r="J44" s="113">
        <v>0</v>
      </c>
      <c r="K44" s="113">
        <v>0</v>
      </c>
      <c r="L44" s="116">
        <f t="shared" si="1"/>
        <v>0</v>
      </c>
      <c r="M44" s="115">
        <f t="shared" si="2"/>
        <v>0</v>
      </c>
      <c r="N44" s="113">
        <v>0</v>
      </c>
      <c r="O44" s="113">
        <v>0</v>
      </c>
      <c r="P44" s="113">
        <v>0</v>
      </c>
      <c r="Q44" s="116">
        <f t="shared" si="3"/>
        <v>0</v>
      </c>
      <c r="R44" s="115">
        <f t="shared" si="4"/>
        <v>0</v>
      </c>
      <c r="S44" s="113"/>
      <c r="T44" s="113"/>
      <c r="U44" s="113"/>
      <c r="V44" s="116">
        <f t="shared" si="5"/>
        <v>0</v>
      </c>
      <c r="W44" s="117">
        <f t="shared" si="6"/>
        <v>0</v>
      </c>
    </row>
    <row r="45" spans="1:23" x14ac:dyDescent="0.25">
      <c r="A45" s="122" t="s">
        <v>217</v>
      </c>
      <c r="B45" s="277" t="s">
        <v>218</v>
      </c>
      <c r="C45" s="293"/>
      <c r="D45" s="142" t="s">
        <v>204</v>
      </c>
      <c r="E45" s="113">
        <v>0</v>
      </c>
      <c r="F45" s="113">
        <v>0</v>
      </c>
      <c r="G45" s="113">
        <v>0</v>
      </c>
      <c r="H45" s="116">
        <f t="shared" si="0"/>
        <v>0</v>
      </c>
      <c r="I45" s="113">
        <v>0</v>
      </c>
      <c r="J45" s="113">
        <v>0</v>
      </c>
      <c r="K45" s="113">
        <v>0</v>
      </c>
      <c r="L45" s="116">
        <f t="shared" si="1"/>
        <v>0</v>
      </c>
      <c r="M45" s="115">
        <f t="shared" si="2"/>
        <v>0</v>
      </c>
      <c r="N45" s="113">
        <v>0</v>
      </c>
      <c r="O45" s="113">
        <v>0</v>
      </c>
      <c r="P45" s="113">
        <v>0</v>
      </c>
      <c r="Q45" s="116">
        <f t="shared" si="3"/>
        <v>0</v>
      </c>
      <c r="R45" s="115">
        <f t="shared" si="4"/>
        <v>0</v>
      </c>
      <c r="S45" s="113">
        <v>0</v>
      </c>
      <c r="T45" s="113">
        <v>0</v>
      </c>
      <c r="U45" s="113">
        <v>0</v>
      </c>
      <c r="V45" s="116">
        <f t="shared" si="5"/>
        <v>0</v>
      </c>
      <c r="W45" s="117">
        <f t="shared" si="6"/>
        <v>0</v>
      </c>
    </row>
    <row r="46" spans="1:23" x14ac:dyDescent="0.25">
      <c r="A46" s="122" t="s">
        <v>219</v>
      </c>
      <c r="B46" s="277" t="s">
        <v>220</v>
      </c>
      <c r="C46" s="293"/>
      <c r="D46" s="142" t="s">
        <v>204</v>
      </c>
      <c r="E46" s="113">
        <v>0</v>
      </c>
      <c r="F46" s="113">
        <v>0</v>
      </c>
      <c r="G46" s="113">
        <v>0</v>
      </c>
      <c r="H46" s="116">
        <f t="shared" si="0"/>
        <v>0</v>
      </c>
      <c r="I46" s="113">
        <v>0</v>
      </c>
      <c r="J46" s="113">
        <v>0</v>
      </c>
      <c r="K46" s="113">
        <v>0</v>
      </c>
      <c r="L46" s="116">
        <f t="shared" si="1"/>
        <v>0</v>
      </c>
      <c r="M46" s="115">
        <f t="shared" si="2"/>
        <v>0</v>
      </c>
      <c r="N46" s="113">
        <v>0</v>
      </c>
      <c r="O46" s="113">
        <v>0</v>
      </c>
      <c r="P46" s="113">
        <v>0</v>
      </c>
      <c r="Q46" s="116">
        <f t="shared" si="3"/>
        <v>0</v>
      </c>
      <c r="R46" s="115">
        <f t="shared" si="4"/>
        <v>0</v>
      </c>
      <c r="S46" s="113">
        <v>0</v>
      </c>
      <c r="T46" s="113">
        <v>0</v>
      </c>
      <c r="U46" s="113">
        <v>0</v>
      </c>
      <c r="V46" s="116">
        <f t="shared" si="5"/>
        <v>0</v>
      </c>
      <c r="W46" s="117">
        <f t="shared" si="6"/>
        <v>0</v>
      </c>
    </row>
    <row r="47" spans="1:23" x14ac:dyDescent="0.25">
      <c r="A47" s="122" t="s">
        <v>221</v>
      </c>
      <c r="B47" s="288" t="s">
        <v>222</v>
      </c>
      <c r="C47" s="288"/>
      <c r="D47" s="142" t="s">
        <v>204</v>
      </c>
      <c r="E47" s="113"/>
      <c r="F47" s="113"/>
      <c r="G47" s="113"/>
      <c r="H47" s="116">
        <f t="shared" si="0"/>
        <v>0</v>
      </c>
      <c r="I47" s="113"/>
      <c r="J47" s="113">
        <v>0</v>
      </c>
      <c r="K47" s="113">
        <v>0</v>
      </c>
      <c r="L47" s="116">
        <f t="shared" si="1"/>
        <v>0</v>
      </c>
      <c r="M47" s="115">
        <f t="shared" si="2"/>
        <v>0</v>
      </c>
      <c r="N47" s="113">
        <v>0</v>
      </c>
      <c r="O47" s="113">
        <v>0</v>
      </c>
      <c r="P47" s="113">
        <v>0</v>
      </c>
      <c r="Q47" s="116">
        <f t="shared" si="3"/>
        <v>0</v>
      </c>
      <c r="R47" s="115">
        <f t="shared" si="4"/>
        <v>0</v>
      </c>
      <c r="S47" s="113">
        <v>0</v>
      </c>
      <c r="T47" s="113">
        <v>0</v>
      </c>
      <c r="U47" s="113">
        <v>0</v>
      </c>
      <c r="V47" s="116">
        <f t="shared" si="5"/>
        <v>0</v>
      </c>
      <c r="W47" s="117">
        <f t="shared" si="6"/>
        <v>0</v>
      </c>
    </row>
    <row r="48" spans="1:23" x14ac:dyDescent="0.25">
      <c r="A48" s="122"/>
      <c r="B48" s="294" t="s">
        <v>223</v>
      </c>
      <c r="C48" s="294"/>
      <c r="D48" s="142" t="s">
        <v>204</v>
      </c>
      <c r="E48" s="113"/>
      <c r="F48" s="113"/>
      <c r="G48" s="113"/>
      <c r="H48" s="116">
        <f t="shared" si="0"/>
        <v>0</v>
      </c>
      <c r="I48" s="113"/>
      <c r="J48" s="113">
        <v>0</v>
      </c>
      <c r="K48" s="113">
        <v>0</v>
      </c>
      <c r="L48" s="116">
        <f t="shared" si="1"/>
        <v>0</v>
      </c>
      <c r="M48" s="115">
        <f t="shared" si="2"/>
        <v>0</v>
      </c>
      <c r="N48" s="113">
        <v>0</v>
      </c>
      <c r="O48" s="113">
        <v>0</v>
      </c>
      <c r="P48" s="113">
        <v>0</v>
      </c>
      <c r="Q48" s="116">
        <f t="shared" si="3"/>
        <v>0</v>
      </c>
      <c r="R48" s="115">
        <f t="shared" si="4"/>
        <v>0</v>
      </c>
      <c r="S48" s="113">
        <v>0</v>
      </c>
      <c r="T48" s="113">
        <v>0</v>
      </c>
      <c r="U48" s="113">
        <v>0</v>
      </c>
      <c r="V48" s="116">
        <f t="shared" si="5"/>
        <v>0</v>
      </c>
      <c r="W48" s="117">
        <f t="shared" si="6"/>
        <v>0</v>
      </c>
    </row>
    <row r="49" spans="1:23" x14ac:dyDescent="0.25">
      <c r="A49" s="122" t="s">
        <v>224</v>
      </c>
      <c r="B49" s="277" t="s">
        <v>225</v>
      </c>
      <c r="C49" s="278"/>
      <c r="D49" s="142" t="s">
        <v>204</v>
      </c>
      <c r="E49" s="113">
        <f>971*E23/1000</f>
        <v>61.928616238356163</v>
      </c>
      <c r="F49" s="113">
        <f>971*F23/1000</f>
        <v>50.527214046575338</v>
      </c>
      <c r="G49" s="113">
        <f>971*G23/1000</f>
        <v>46.726746649315075</v>
      </c>
      <c r="H49" s="116">
        <f t="shared" si="0"/>
        <v>159.18257693424658</v>
      </c>
      <c r="I49" s="113">
        <f>971*I23/1000</f>
        <v>49.260391580821924</v>
      </c>
      <c r="J49" s="113">
        <f>485.5*J23/1000</f>
        <v>0</v>
      </c>
      <c r="K49" s="113">
        <f>485.5*K23/1000</f>
        <v>0</v>
      </c>
      <c r="L49" s="116">
        <f t="shared" si="1"/>
        <v>49.260391580821924</v>
      </c>
      <c r="M49" s="115">
        <f t="shared" si="2"/>
        <v>208.44296851506851</v>
      </c>
      <c r="N49" s="113">
        <f>485.5*N23/1000</f>
        <v>0</v>
      </c>
      <c r="O49" s="113">
        <f>485.5*O23/1000</f>
        <v>0</v>
      </c>
      <c r="P49" s="113">
        <f>485.5*P23/1000</f>
        <v>0</v>
      </c>
      <c r="Q49" s="116">
        <f t="shared" si="3"/>
        <v>0</v>
      </c>
      <c r="R49" s="115">
        <f t="shared" si="4"/>
        <v>208.44296851506851</v>
      </c>
      <c r="S49" s="113">
        <f>971*S23/1000</f>
        <v>16.021997471232879</v>
      </c>
      <c r="T49" s="113">
        <f>971*T23/1000</f>
        <v>35.958755690410968</v>
      </c>
      <c r="U49" s="113">
        <f>971*U23/1000</f>
        <v>42.673819252054798</v>
      </c>
      <c r="V49" s="116">
        <f t="shared" si="5"/>
        <v>94.654572413698645</v>
      </c>
      <c r="W49" s="117">
        <f t="shared" si="6"/>
        <v>303.09754092876716</v>
      </c>
    </row>
    <row r="50" spans="1:23" x14ac:dyDescent="0.25">
      <c r="A50" s="122" t="s">
        <v>226</v>
      </c>
      <c r="B50" s="288" t="s">
        <v>227</v>
      </c>
      <c r="C50" s="288"/>
      <c r="D50" s="142" t="s">
        <v>204</v>
      </c>
      <c r="E50" s="113">
        <f>SUM(E51:E54)</f>
        <v>4.9470000000000001</v>
      </c>
      <c r="F50" s="113">
        <f>SUM(F51:F54)</f>
        <v>4.9470000000000001</v>
      </c>
      <c r="G50" s="113">
        <f>SUM(G51:G54)</f>
        <v>4.9470000000000001</v>
      </c>
      <c r="H50" s="116">
        <f t="shared" si="0"/>
        <v>14.841000000000001</v>
      </c>
      <c r="I50" s="113">
        <f>SUM(I51:I54)</f>
        <v>4.9470000000000001</v>
      </c>
      <c r="J50" s="113">
        <f>SUM(J51:J54)</f>
        <v>0</v>
      </c>
      <c r="K50" s="113">
        <f>SUM(K51:K54)</f>
        <v>0</v>
      </c>
      <c r="L50" s="116">
        <f t="shared" si="1"/>
        <v>4.9470000000000001</v>
      </c>
      <c r="M50" s="115">
        <f t="shared" si="2"/>
        <v>19.788</v>
      </c>
      <c r="N50" s="113">
        <f>SUM(N51:N54)</f>
        <v>0</v>
      </c>
      <c r="O50" s="113">
        <f>SUM(O51:O54)</f>
        <v>0</v>
      </c>
      <c r="P50" s="113">
        <v>0</v>
      </c>
      <c r="Q50" s="116">
        <f t="shared" si="3"/>
        <v>0</v>
      </c>
      <c r="R50" s="115">
        <f t="shared" si="4"/>
        <v>19.788</v>
      </c>
      <c r="S50" s="113">
        <f>SUM(S51:S54)</f>
        <v>5.5939999999999994</v>
      </c>
      <c r="T50" s="113">
        <f>SUM(T51:T54)</f>
        <v>4.9470000000000001</v>
      </c>
      <c r="U50" s="113">
        <f>SUM(U51:U54)</f>
        <v>4.9470000000000001</v>
      </c>
      <c r="V50" s="116">
        <f t="shared" si="5"/>
        <v>15.488</v>
      </c>
      <c r="W50" s="117">
        <f t="shared" si="6"/>
        <v>35.275999999999996</v>
      </c>
    </row>
    <row r="51" spans="1:23" x14ac:dyDescent="0.25">
      <c r="A51" s="111"/>
      <c r="B51" s="294" t="s">
        <v>228</v>
      </c>
      <c r="C51" s="294"/>
      <c r="D51" s="142" t="s">
        <v>204</v>
      </c>
      <c r="E51" s="113">
        <v>0</v>
      </c>
      <c r="F51" s="113">
        <v>0</v>
      </c>
      <c r="G51" s="113">
        <v>0</v>
      </c>
      <c r="H51" s="116">
        <f t="shared" si="0"/>
        <v>0</v>
      </c>
      <c r="I51" s="113">
        <v>0</v>
      </c>
      <c r="J51" s="113">
        <v>0</v>
      </c>
      <c r="K51" s="113">
        <v>0</v>
      </c>
      <c r="L51" s="116">
        <f t="shared" si="1"/>
        <v>0</v>
      </c>
      <c r="M51" s="115">
        <f t="shared" si="2"/>
        <v>0</v>
      </c>
      <c r="N51" s="113">
        <v>0</v>
      </c>
      <c r="O51" s="113">
        <v>0</v>
      </c>
      <c r="P51" s="113">
        <v>0</v>
      </c>
      <c r="Q51" s="116">
        <f t="shared" si="3"/>
        <v>0</v>
      </c>
      <c r="R51" s="115">
        <f t="shared" si="4"/>
        <v>0</v>
      </c>
      <c r="S51" s="113"/>
      <c r="T51" s="113"/>
      <c r="U51" s="113"/>
      <c r="V51" s="116">
        <f t="shared" si="5"/>
        <v>0</v>
      </c>
      <c r="W51" s="117">
        <f t="shared" si="6"/>
        <v>0</v>
      </c>
    </row>
    <row r="52" spans="1:23" x14ac:dyDescent="0.25">
      <c r="A52" s="111"/>
      <c r="B52" s="291" t="s">
        <v>229</v>
      </c>
      <c r="C52" s="292"/>
      <c r="D52" s="142" t="s">
        <v>204</v>
      </c>
      <c r="E52" s="113">
        <v>0</v>
      </c>
      <c r="F52" s="113">
        <v>0</v>
      </c>
      <c r="G52" s="113">
        <v>0</v>
      </c>
      <c r="H52" s="116">
        <f t="shared" si="0"/>
        <v>0</v>
      </c>
      <c r="I52" s="113">
        <v>0</v>
      </c>
      <c r="J52" s="113">
        <v>0</v>
      </c>
      <c r="K52" s="113">
        <v>0</v>
      </c>
      <c r="L52" s="116">
        <f t="shared" si="1"/>
        <v>0</v>
      </c>
      <c r="M52" s="115">
        <f t="shared" si="2"/>
        <v>0</v>
      </c>
      <c r="N52" s="113">
        <v>0</v>
      </c>
      <c r="O52" s="113">
        <v>0</v>
      </c>
      <c r="P52" s="113">
        <v>0</v>
      </c>
      <c r="Q52" s="116">
        <f t="shared" si="3"/>
        <v>0</v>
      </c>
      <c r="R52" s="115">
        <f t="shared" si="4"/>
        <v>0</v>
      </c>
      <c r="S52" s="113"/>
      <c r="T52" s="113">
        <v>0</v>
      </c>
      <c r="U52" s="113">
        <v>0</v>
      </c>
      <c r="V52" s="116">
        <f t="shared" si="5"/>
        <v>0</v>
      </c>
      <c r="W52" s="117">
        <f t="shared" si="6"/>
        <v>0</v>
      </c>
    </row>
    <row r="53" spans="1:23" x14ac:dyDescent="0.25">
      <c r="A53" s="111"/>
      <c r="B53" s="291" t="s">
        <v>230</v>
      </c>
      <c r="C53" s="292"/>
      <c r="D53" s="142" t="s">
        <v>204</v>
      </c>
      <c r="E53" s="113">
        <v>0</v>
      </c>
      <c r="F53" s="113">
        <v>0</v>
      </c>
      <c r="G53" s="113">
        <v>0</v>
      </c>
      <c r="H53" s="116">
        <f t="shared" si="0"/>
        <v>0</v>
      </c>
      <c r="I53" s="113">
        <v>0</v>
      </c>
      <c r="J53" s="113">
        <v>0</v>
      </c>
      <c r="K53" s="113">
        <v>0</v>
      </c>
      <c r="L53" s="116">
        <f t="shared" si="1"/>
        <v>0</v>
      </c>
      <c r="M53" s="115">
        <f t="shared" si="2"/>
        <v>0</v>
      </c>
      <c r="N53" s="113">
        <v>0</v>
      </c>
      <c r="O53" s="113">
        <v>0</v>
      </c>
      <c r="P53" s="113">
        <v>0</v>
      </c>
      <c r="Q53" s="116">
        <f t="shared" si="3"/>
        <v>0</v>
      </c>
      <c r="R53" s="115">
        <f t="shared" si="4"/>
        <v>0</v>
      </c>
      <c r="S53" s="113">
        <v>0</v>
      </c>
      <c r="T53" s="113"/>
      <c r="U53" s="113"/>
      <c r="V53" s="116">
        <f t="shared" si="5"/>
        <v>0</v>
      </c>
      <c r="W53" s="117">
        <f t="shared" si="6"/>
        <v>0</v>
      </c>
    </row>
    <row r="54" spans="1:23" x14ac:dyDescent="0.25">
      <c r="A54" s="111"/>
      <c r="B54" s="166" t="s">
        <v>231</v>
      </c>
      <c r="C54" s="167"/>
      <c r="D54" s="142" t="s">
        <v>204</v>
      </c>
      <c r="E54" s="113">
        <f>5.595-0.648</f>
        <v>4.9470000000000001</v>
      </c>
      <c r="F54" s="113">
        <f>5.595-0.648</f>
        <v>4.9470000000000001</v>
      </c>
      <c r="G54" s="113">
        <f>5.595-0.648</f>
        <v>4.9470000000000001</v>
      </c>
      <c r="H54" s="116">
        <f t="shared" si="0"/>
        <v>14.841000000000001</v>
      </c>
      <c r="I54" s="113">
        <f>5.595-0.648</f>
        <v>4.9470000000000001</v>
      </c>
      <c r="J54" s="113">
        <v>0</v>
      </c>
      <c r="K54" s="113">
        <v>0</v>
      </c>
      <c r="L54" s="116">
        <f t="shared" si="1"/>
        <v>4.9470000000000001</v>
      </c>
      <c r="M54" s="115">
        <f t="shared" si="2"/>
        <v>19.788</v>
      </c>
      <c r="N54" s="113">
        <v>0</v>
      </c>
      <c r="O54" s="113">
        <v>0</v>
      </c>
      <c r="P54" s="113">
        <v>0</v>
      </c>
      <c r="Q54" s="116">
        <f t="shared" si="3"/>
        <v>0</v>
      </c>
      <c r="R54" s="115">
        <f t="shared" si="4"/>
        <v>19.788</v>
      </c>
      <c r="S54" s="113">
        <f>5.595-0.001</f>
        <v>5.5939999999999994</v>
      </c>
      <c r="T54" s="113">
        <f>5.595-0.648</f>
        <v>4.9470000000000001</v>
      </c>
      <c r="U54" s="113">
        <f>5.595-0.648</f>
        <v>4.9470000000000001</v>
      </c>
      <c r="V54" s="116">
        <f t="shared" si="5"/>
        <v>15.488</v>
      </c>
      <c r="W54" s="117">
        <f t="shared" si="6"/>
        <v>35.275999999999996</v>
      </c>
    </row>
    <row r="55" spans="1:23" x14ac:dyDescent="0.25">
      <c r="A55" s="122" t="s">
        <v>232</v>
      </c>
      <c r="B55" s="288" t="s">
        <v>233</v>
      </c>
      <c r="C55" s="288"/>
      <c r="D55" s="142" t="s">
        <v>204</v>
      </c>
      <c r="E55" s="113">
        <f>SUM(E56)</f>
        <v>0</v>
      </c>
      <c r="F55" s="113">
        <f>SUM(F56)</f>
        <v>0</v>
      </c>
      <c r="G55" s="113">
        <f>SUM(G56)</f>
        <v>0</v>
      </c>
      <c r="H55" s="116">
        <f t="shared" si="0"/>
        <v>0</v>
      </c>
      <c r="I55" s="113">
        <f>SUM(I56)</f>
        <v>0</v>
      </c>
      <c r="J55" s="113">
        <f>SUM(J56)</f>
        <v>0</v>
      </c>
      <c r="K55" s="113">
        <f>SUM(K56)</f>
        <v>0</v>
      </c>
      <c r="L55" s="116">
        <f t="shared" si="1"/>
        <v>0</v>
      </c>
      <c r="M55" s="115">
        <f t="shared" si="2"/>
        <v>0</v>
      </c>
      <c r="N55" s="113">
        <f>SUM(N56)</f>
        <v>0</v>
      </c>
      <c r="O55" s="113">
        <f>SUM(O56)</f>
        <v>0</v>
      </c>
      <c r="P55" s="113">
        <f>SUM(P56)</f>
        <v>0</v>
      </c>
      <c r="Q55" s="116">
        <f t="shared" si="3"/>
        <v>0</v>
      </c>
      <c r="R55" s="115">
        <f t="shared" si="4"/>
        <v>0</v>
      </c>
      <c r="S55" s="113">
        <f>SUM(S56)</f>
        <v>0</v>
      </c>
      <c r="T55" s="113">
        <f>SUM(T56)</f>
        <v>0</v>
      </c>
      <c r="U55" s="113">
        <f>SUM(U56)</f>
        <v>0</v>
      </c>
      <c r="V55" s="116">
        <f t="shared" si="5"/>
        <v>0</v>
      </c>
      <c r="W55" s="117">
        <f t="shared" si="6"/>
        <v>0</v>
      </c>
    </row>
    <row r="56" spans="1:23" x14ac:dyDescent="0.25">
      <c r="A56" s="111"/>
      <c r="B56" s="288" t="s">
        <v>234</v>
      </c>
      <c r="C56" s="288"/>
      <c r="D56" s="142" t="s">
        <v>204</v>
      </c>
      <c r="E56" s="113">
        <v>0</v>
      </c>
      <c r="F56" s="113">
        <v>0</v>
      </c>
      <c r="G56" s="113">
        <v>0</v>
      </c>
      <c r="H56" s="116">
        <f t="shared" si="0"/>
        <v>0</v>
      </c>
      <c r="I56" s="113">
        <v>0</v>
      </c>
      <c r="J56" s="113">
        <v>0</v>
      </c>
      <c r="K56" s="113">
        <v>0</v>
      </c>
      <c r="L56" s="116">
        <f t="shared" si="1"/>
        <v>0</v>
      </c>
      <c r="M56" s="115">
        <f t="shared" si="2"/>
        <v>0</v>
      </c>
      <c r="N56" s="113">
        <v>0</v>
      </c>
      <c r="O56" s="113">
        <v>0</v>
      </c>
      <c r="P56" s="113">
        <v>0</v>
      </c>
      <c r="Q56" s="116">
        <f t="shared" si="3"/>
        <v>0</v>
      </c>
      <c r="R56" s="115">
        <f t="shared" si="4"/>
        <v>0</v>
      </c>
      <c r="S56" s="113">
        <v>0</v>
      </c>
      <c r="T56" s="113"/>
      <c r="U56" s="113">
        <v>0</v>
      </c>
      <c r="V56" s="116">
        <f t="shared" si="5"/>
        <v>0</v>
      </c>
      <c r="W56" s="117">
        <f t="shared" si="6"/>
        <v>0</v>
      </c>
    </row>
    <row r="57" spans="1:23" x14ac:dyDescent="0.25">
      <c r="A57" s="111" t="s">
        <v>235</v>
      </c>
      <c r="B57" s="288" t="s">
        <v>236</v>
      </c>
      <c r="C57" s="288"/>
      <c r="D57" s="142" t="s">
        <v>204</v>
      </c>
      <c r="E57" s="113">
        <v>0</v>
      </c>
      <c r="F57" s="113">
        <v>0</v>
      </c>
      <c r="G57" s="113">
        <v>0</v>
      </c>
      <c r="H57" s="116">
        <f t="shared" si="0"/>
        <v>0</v>
      </c>
      <c r="I57" s="113">
        <v>0</v>
      </c>
      <c r="J57" s="113">
        <v>0</v>
      </c>
      <c r="K57" s="113">
        <v>0</v>
      </c>
      <c r="L57" s="116">
        <f t="shared" si="1"/>
        <v>0</v>
      </c>
      <c r="M57" s="115">
        <f t="shared" si="2"/>
        <v>0</v>
      </c>
      <c r="N57" s="113">
        <v>0</v>
      </c>
      <c r="O57" s="113">
        <v>0</v>
      </c>
      <c r="P57" s="113">
        <v>0</v>
      </c>
      <c r="Q57" s="116">
        <f t="shared" si="3"/>
        <v>0</v>
      </c>
      <c r="R57" s="115">
        <f t="shared" si="4"/>
        <v>0</v>
      </c>
      <c r="S57" s="113">
        <v>0</v>
      </c>
      <c r="T57" s="113">
        <v>0</v>
      </c>
      <c r="U57" s="113"/>
      <c r="V57" s="116">
        <f t="shared" si="5"/>
        <v>0</v>
      </c>
      <c r="W57" s="117">
        <f t="shared" si="6"/>
        <v>0</v>
      </c>
    </row>
    <row r="58" spans="1:23" x14ac:dyDescent="0.25">
      <c r="A58" s="111">
        <v>11</v>
      </c>
      <c r="B58" s="279" t="s">
        <v>237</v>
      </c>
      <c r="C58" s="280"/>
      <c r="D58" s="142" t="s">
        <v>204</v>
      </c>
      <c r="E58" s="120">
        <f>SUM(E59:E61)</f>
        <v>0</v>
      </c>
      <c r="F58" s="120">
        <f>SUM(F59:F61)</f>
        <v>0</v>
      </c>
      <c r="G58" s="120">
        <f>SUM(G59:G61)</f>
        <v>0</v>
      </c>
      <c r="H58" s="116">
        <f t="shared" si="0"/>
        <v>0</v>
      </c>
      <c r="I58" s="120">
        <f>SUM(I59:I61)</f>
        <v>0</v>
      </c>
      <c r="J58" s="120">
        <f>SUM(J59:J61)</f>
        <v>0</v>
      </c>
      <c r="K58" s="120">
        <f>SUM(K59:K61)</f>
        <v>0</v>
      </c>
      <c r="L58" s="116">
        <f t="shared" si="1"/>
        <v>0</v>
      </c>
      <c r="M58" s="115">
        <f t="shared" si="2"/>
        <v>0</v>
      </c>
      <c r="N58" s="120">
        <f>SUM(N59:N61)</f>
        <v>0</v>
      </c>
      <c r="O58" s="120">
        <v>0</v>
      </c>
      <c r="P58" s="120">
        <f>SUM(P59:P61)</f>
        <v>0</v>
      </c>
      <c r="Q58" s="116">
        <f t="shared" si="3"/>
        <v>0</v>
      </c>
      <c r="R58" s="115">
        <f t="shared" si="4"/>
        <v>0</v>
      </c>
      <c r="S58" s="120">
        <f>S59+S60+S61</f>
        <v>0</v>
      </c>
      <c r="T58" s="120">
        <f>T59+T60+T61</f>
        <v>0</v>
      </c>
      <c r="U58" s="120">
        <f>U59+U60+U61</f>
        <v>0</v>
      </c>
      <c r="V58" s="116">
        <f t="shared" si="5"/>
        <v>0</v>
      </c>
      <c r="W58" s="117">
        <f t="shared" si="6"/>
        <v>0</v>
      </c>
    </row>
    <row r="59" spans="1:23" x14ac:dyDescent="0.25">
      <c r="A59" s="122" t="s">
        <v>238</v>
      </c>
      <c r="B59" s="279" t="s">
        <v>239</v>
      </c>
      <c r="C59" s="280" t="s">
        <v>240</v>
      </c>
      <c r="D59" s="142" t="s">
        <v>204</v>
      </c>
      <c r="E59" s="113">
        <v>0</v>
      </c>
      <c r="F59" s="113">
        <v>0</v>
      </c>
      <c r="G59" s="113">
        <v>0</v>
      </c>
      <c r="H59" s="116">
        <f t="shared" si="0"/>
        <v>0</v>
      </c>
      <c r="I59" s="113">
        <v>0</v>
      </c>
      <c r="J59" s="113">
        <v>0</v>
      </c>
      <c r="K59" s="113">
        <v>0</v>
      </c>
      <c r="L59" s="116">
        <f t="shared" si="1"/>
        <v>0</v>
      </c>
      <c r="M59" s="115">
        <f t="shared" si="2"/>
        <v>0</v>
      </c>
      <c r="N59" s="113">
        <v>0</v>
      </c>
      <c r="O59" s="113">
        <v>0</v>
      </c>
      <c r="P59" s="113">
        <v>0</v>
      </c>
      <c r="Q59" s="116">
        <f t="shared" si="3"/>
        <v>0</v>
      </c>
      <c r="R59" s="115">
        <f t="shared" si="4"/>
        <v>0</v>
      </c>
      <c r="S59" s="113">
        <v>0</v>
      </c>
      <c r="T59" s="113">
        <v>0</v>
      </c>
      <c r="U59" s="113">
        <v>0</v>
      </c>
      <c r="V59" s="116">
        <f t="shared" si="5"/>
        <v>0</v>
      </c>
      <c r="W59" s="117">
        <f t="shared" si="6"/>
        <v>0</v>
      </c>
    </row>
    <row r="60" spans="1:23" x14ac:dyDescent="0.25">
      <c r="A60" s="122" t="s">
        <v>241</v>
      </c>
      <c r="B60" s="277" t="s">
        <v>242</v>
      </c>
      <c r="C60" s="278"/>
      <c r="D60" s="142" t="s">
        <v>204</v>
      </c>
      <c r="E60" s="113">
        <v>0</v>
      </c>
      <c r="F60" s="113">
        <v>0</v>
      </c>
      <c r="G60" s="113">
        <v>0</v>
      </c>
      <c r="H60" s="116">
        <f t="shared" si="0"/>
        <v>0</v>
      </c>
      <c r="I60" s="113">
        <v>0</v>
      </c>
      <c r="J60" s="113">
        <v>0</v>
      </c>
      <c r="K60" s="113">
        <v>0</v>
      </c>
      <c r="L60" s="116">
        <f t="shared" si="1"/>
        <v>0</v>
      </c>
      <c r="M60" s="115">
        <f t="shared" si="2"/>
        <v>0</v>
      </c>
      <c r="N60" s="113">
        <v>0</v>
      </c>
      <c r="O60" s="113">
        <v>0</v>
      </c>
      <c r="P60" s="113">
        <v>0</v>
      </c>
      <c r="Q60" s="116">
        <f t="shared" si="3"/>
        <v>0</v>
      </c>
      <c r="R60" s="115">
        <f t="shared" si="4"/>
        <v>0</v>
      </c>
      <c r="S60" s="113"/>
      <c r="T60" s="113">
        <v>0</v>
      </c>
      <c r="U60" s="113">
        <v>0</v>
      </c>
      <c r="V60" s="116">
        <f t="shared" si="5"/>
        <v>0</v>
      </c>
      <c r="W60" s="117">
        <f t="shared" si="6"/>
        <v>0</v>
      </c>
    </row>
    <row r="61" spans="1:23" x14ac:dyDescent="0.25">
      <c r="A61" s="122" t="s">
        <v>243</v>
      </c>
      <c r="B61" s="279" t="s">
        <v>244</v>
      </c>
      <c r="C61" s="280" t="s">
        <v>245</v>
      </c>
      <c r="D61" s="142" t="s">
        <v>204</v>
      </c>
      <c r="E61" s="113">
        <v>0</v>
      </c>
      <c r="F61" s="113">
        <v>0</v>
      </c>
      <c r="G61" s="113">
        <v>0</v>
      </c>
      <c r="H61" s="116">
        <f t="shared" si="0"/>
        <v>0</v>
      </c>
      <c r="I61" s="113">
        <v>0</v>
      </c>
      <c r="J61" s="113">
        <v>0</v>
      </c>
      <c r="K61" s="113">
        <v>0</v>
      </c>
      <c r="L61" s="116">
        <f t="shared" si="1"/>
        <v>0</v>
      </c>
      <c r="M61" s="115">
        <f t="shared" si="2"/>
        <v>0</v>
      </c>
      <c r="N61" s="113">
        <v>0</v>
      </c>
      <c r="O61" s="113">
        <v>0</v>
      </c>
      <c r="P61" s="113">
        <v>0</v>
      </c>
      <c r="Q61" s="116">
        <f t="shared" si="3"/>
        <v>0</v>
      </c>
      <c r="R61" s="115">
        <f t="shared" si="4"/>
        <v>0</v>
      </c>
      <c r="S61" s="113">
        <v>0</v>
      </c>
      <c r="T61" s="113">
        <v>0</v>
      </c>
      <c r="U61" s="113">
        <v>0</v>
      </c>
      <c r="V61" s="116">
        <f t="shared" si="5"/>
        <v>0</v>
      </c>
      <c r="W61" s="117">
        <f t="shared" si="6"/>
        <v>0</v>
      </c>
    </row>
    <row r="62" spans="1:23" x14ac:dyDescent="0.25">
      <c r="A62" s="111">
        <v>12</v>
      </c>
      <c r="B62" s="279" t="s">
        <v>246</v>
      </c>
      <c r="C62" s="280"/>
      <c r="D62" s="142" t="s">
        <v>204</v>
      </c>
      <c r="E62" s="120">
        <f>SUM(E63:E69,E70,E71:E73,E78,E72)</f>
        <v>5.6530000000000005</v>
      </c>
      <c r="F62" s="120">
        <f>SUM(F63:F69,F70,F71:F73,F78,F72)</f>
        <v>5.6530000000000005</v>
      </c>
      <c r="G62" s="120">
        <f>SUM(G63:G69,G70,G71:G73,G78,G72)</f>
        <v>6.9130000000000003</v>
      </c>
      <c r="H62" s="116">
        <f t="shared" si="0"/>
        <v>18.219000000000001</v>
      </c>
      <c r="I62" s="120">
        <f>SUM(I63:I69,I70,I71:I73,I78,I72)</f>
        <v>5.6530000000000005</v>
      </c>
      <c r="J62" s="120">
        <f>SUM(J63:J69,J70,J71:J73,J78,J72)</f>
        <v>0</v>
      </c>
      <c r="K62" s="120">
        <f>SUM(K63:K69,K70,K71:K73,K78,K72)</f>
        <v>0</v>
      </c>
      <c r="L62" s="116">
        <f t="shared" si="1"/>
        <v>5.6530000000000005</v>
      </c>
      <c r="M62" s="115">
        <f t="shared" si="2"/>
        <v>23.872</v>
      </c>
      <c r="N62" s="120">
        <f>SUM(N63:N69,N70,N71:N73,N78,N72)</f>
        <v>0</v>
      </c>
      <c r="O62" s="120">
        <f>SUM(O63:O69,O70,O71:O73,O78,O72)</f>
        <v>0</v>
      </c>
      <c r="P62" s="120">
        <f>SUM(P63:P69,P70,P71:P73,P78,P72)</f>
        <v>0</v>
      </c>
      <c r="Q62" s="116">
        <f t="shared" si="3"/>
        <v>0</v>
      </c>
      <c r="R62" s="115">
        <f t="shared" si="4"/>
        <v>23.872</v>
      </c>
      <c r="S62" s="120">
        <f>SUM(S63:S69,S70,S71:S73,S78,S72)</f>
        <v>2.8254000000000001</v>
      </c>
      <c r="T62" s="120">
        <f>SUM(T63:T69,T70,T71:T73,T78,T72)</f>
        <v>5.6530000000000005</v>
      </c>
      <c r="U62" s="120">
        <f>SUM(U63:U69,U70,U71:U73,U78,U72)</f>
        <v>5.6530000000000005</v>
      </c>
      <c r="V62" s="116">
        <f t="shared" si="5"/>
        <v>14.131400000000001</v>
      </c>
      <c r="W62" s="117">
        <f t="shared" si="6"/>
        <v>38.003399999999999</v>
      </c>
    </row>
    <row r="63" spans="1:23" x14ac:dyDescent="0.25">
      <c r="A63" s="122" t="s">
        <v>247</v>
      </c>
      <c r="B63" s="279" t="s">
        <v>248</v>
      </c>
      <c r="C63" s="280" t="s">
        <v>248</v>
      </c>
      <c r="D63" s="142" t="s">
        <v>204</v>
      </c>
      <c r="E63" s="113">
        <v>1.0449999999999999</v>
      </c>
      <c r="F63" s="113">
        <v>1.0449999999999999</v>
      </c>
      <c r="G63" s="113">
        <v>1.0449999999999999</v>
      </c>
      <c r="H63" s="116">
        <f t="shared" si="0"/>
        <v>3.1349999999999998</v>
      </c>
      <c r="I63" s="113">
        <v>1.0449999999999999</v>
      </c>
      <c r="J63" s="113"/>
      <c r="K63" s="113"/>
      <c r="L63" s="116">
        <f t="shared" si="1"/>
        <v>1.0449999999999999</v>
      </c>
      <c r="M63" s="115">
        <f t="shared" si="2"/>
        <v>4.18</v>
      </c>
      <c r="N63" s="113"/>
      <c r="O63" s="113"/>
      <c r="P63" s="113"/>
      <c r="Q63" s="116">
        <f t="shared" si="3"/>
        <v>0</v>
      </c>
      <c r="R63" s="115">
        <f t="shared" si="4"/>
        <v>4.18</v>
      </c>
      <c r="S63" s="113">
        <v>0.52200000000000002</v>
      </c>
      <c r="T63" s="113">
        <v>1.0449999999999999</v>
      </c>
      <c r="U63" s="113">
        <v>1.0449999999999999</v>
      </c>
      <c r="V63" s="116">
        <f t="shared" si="5"/>
        <v>2.6120000000000001</v>
      </c>
      <c r="W63" s="117">
        <f t="shared" si="6"/>
        <v>6.7919999999999998</v>
      </c>
    </row>
    <row r="64" spans="1:23" x14ac:dyDescent="0.25">
      <c r="A64" s="122" t="s">
        <v>249</v>
      </c>
      <c r="B64" s="277" t="s">
        <v>250</v>
      </c>
      <c r="C64" s="278" t="s">
        <v>250</v>
      </c>
      <c r="D64" s="142" t="s">
        <v>204</v>
      </c>
      <c r="E64" s="113"/>
      <c r="F64" s="113"/>
      <c r="G64" s="113"/>
      <c r="H64" s="116">
        <f t="shared" si="0"/>
        <v>0</v>
      </c>
      <c r="I64" s="113"/>
      <c r="J64" s="113"/>
      <c r="K64" s="113"/>
      <c r="L64" s="116">
        <f t="shared" si="1"/>
        <v>0</v>
      </c>
      <c r="M64" s="115">
        <f t="shared" si="2"/>
        <v>0</v>
      </c>
      <c r="N64" s="113"/>
      <c r="O64" s="113"/>
      <c r="P64" s="113"/>
      <c r="Q64" s="116">
        <f t="shared" si="3"/>
        <v>0</v>
      </c>
      <c r="R64" s="115">
        <f t="shared" si="4"/>
        <v>0</v>
      </c>
      <c r="S64" s="113"/>
      <c r="T64" s="113"/>
      <c r="U64" s="113"/>
      <c r="V64" s="116">
        <f t="shared" si="5"/>
        <v>0</v>
      </c>
      <c r="W64" s="117">
        <f t="shared" si="6"/>
        <v>0</v>
      </c>
    </row>
    <row r="65" spans="1:23" x14ac:dyDescent="0.25">
      <c r="A65" s="122" t="s">
        <v>251</v>
      </c>
      <c r="B65" s="279" t="s">
        <v>58</v>
      </c>
      <c r="C65" s="280" t="s">
        <v>58</v>
      </c>
      <c r="D65" s="142" t="s">
        <v>204</v>
      </c>
      <c r="E65" s="113"/>
      <c r="F65" s="113"/>
      <c r="G65" s="113"/>
      <c r="H65" s="116">
        <f t="shared" si="0"/>
        <v>0</v>
      </c>
      <c r="I65" s="113"/>
      <c r="J65" s="113"/>
      <c r="K65" s="113"/>
      <c r="L65" s="116">
        <f t="shared" si="1"/>
        <v>0</v>
      </c>
      <c r="M65" s="115">
        <f t="shared" si="2"/>
        <v>0</v>
      </c>
      <c r="N65" s="113"/>
      <c r="O65" s="113"/>
      <c r="P65" s="113"/>
      <c r="Q65" s="116">
        <f t="shared" si="3"/>
        <v>0</v>
      </c>
      <c r="R65" s="115">
        <f t="shared" si="4"/>
        <v>0</v>
      </c>
      <c r="S65" s="113"/>
      <c r="T65" s="113"/>
      <c r="U65" s="113"/>
      <c r="V65" s="116">
        <f t="shared" si="5"/>
        <v>0</v>
      </c>
      <c r="W65" s="117">
        <f t="shared" si="6"/>
        <v>0</v>
      </c>
    </row>
    <row r="66" spans="1:23" x14ac:dyDescent="0.25">
      <c r="A66" s="122" t="s">
        <v>252</v>
      </c>
      <c r="B66" s="164" t="s">
        <v>253</v>
      </c>
      <c r="C66" s="165"/>
      <c r="D66" s="142" t="s">
        <v>132</v>
      </c>
      <c r="E66" s="113"/>
      <c r="F66" s="113"/>
      <c r="G66" s="113"/>
      <c r="H66" s="116">
        <f t="shared" si="0"/>
        <v>0</v>
      </c>
      <c r="I66" s="113"/>
      <c r="J66" s="168"/>
      <c r="K66" s="113"/>
      <c r="L66" s="116">
        <f t="shared" si="1"/>
        <v>0</v>
      </c>
      <c r="M66" s="115">
        <f t="shared" si="2"/>
        <v>0</v>
      </c>
      <c r="N66" s="113"/>
      <c r="O66" s="113"/>
      <c r="P66" s="113"/>
      <c r="Q66" s="116">
        <f t="shared" si="3"/>
        <v>0</v>
      </c>
      <c r="R66" s="115">
        <f t="shared" si="4"/>
        <v>0</v>
      </c>
      <c r="S66" s="113"/>
      <c r="T66" s="113"/>
      <c r="U66" s="113"/>
      <c r="V66" s="116">
        <f t="shared" si="5"/>
        <v>0</v>
      </c>
      <c r="W66" s="117">
        <f t="shared" si="6"/>
        <v>0</v>
      </c>
    </row>
    <row r="67" spans="1:23" x14ac:dyDescent="0.25">
      <c r="A67" s="122" t="s">
        <v>254</v>
      </c>
      <c r="B67" s="277" t="s">
        <v>255</v>
      </c>
      <c r="C67" s="278" t="s">
        <v>255</v>
      </c>
      <c r="D67" s="142" t="s">
        <v>204</v>
      </c>
      <c r="E67" s="113">
        <v>1.514</v>
      </c>
      <c r="F67" s="113">
        <v>1.514</v>
      </c>
      <c r="G67" s="113">
        <v>1.514</v>
      </c>
      <c r="H67" s="116">
        <f t="shared" si="0"/>
        <v>4.5419999999999998</v>
      </c>
      <c r="I67" s="113">
        <v>1.514</v>
      </c>
      <c r="J67" s="113"/>
      <c r="K67" s="113"/>
      <c r="L67" s="116">
        <f t="shared" si="1"/>
        <v>1.514</v>
      </c>
      <c r="M67" s="115">
        <f t="shared" si="2"/>
        <v>6.056</v>
      </c>
      <c r="N67" s="113"/>
      <c r="O67" s="113"/>
      <c r="P67" s="113"/>
      <c r="Q67" s="116">
        <f t="shared" si="3"/>
        <v>0</v>
      </c>
      <c r="R67" s="115">
        <f t="shared" si="4"/>
        <v>6.056</v>
      </c>
      <c r="S67" s="113">
        <v>0.75700000000000001</v>
      </c>
      <c r="T67" s="113">
        <v>1.514</v>
      </c>
      <c r="U67" s="113">
        <v>1.514</v>
      </c>
      <c r="V67" s="116">
        <f t="shared" si="5"/>
        <v>3.7850000000000001</v>
      </c>
      <c r="W67" s="117">
        <f t="shared" si="6"/>
        <v>9.8410000000000011</v>
      </c>
    </row>
    <row r="68" spans="1:23" x14ac:dyDescent="0.25">
      <c r="A68" s="122" t="s">
        <v>256</v>
      </c>
      <c r="B68" s="277" t="s">
        <v>257</v>
      </c>
      <c r="C68" s="278" t="s">
        <v>257</v>
      </c>
      <c r="D68" s="142" t="s">
        <v>204</v>
      </c>
      <c r="E68" s="113">
        <v>0.96</v>
      </c>
      <c r="F68" s="113">
        <v>0.96</v>
      </c>
      <c r="G68" s="113">
        <v>0.96</v>
      </c>
      <c r="H68" s="116">
        <f t="shared" si="0"/>
        <v>2.88</v>
      </c>
      <c r="I68" s="113">
        <v>0.96</v>
      </c>
      <c r="J68" s="113"/>
      <c r="K68" s="113"/>
      <c r="L68" s="116">
        <f t="shared" si="1"/>
        <v>0.96</v>
      </c>
      <c r="M68" s="115">
        <f t="shared" si="2"/>
        <v>3.84</v>
      </c>
      <c r="N68" s="113"/>
      <c r="O68" s="113"/>
      <c r="P68" s="113"/>
      <c r="Q68" s="116">
        <f t="shared" si="3"/>
        <v>0</v>
      </c>
      <c r="R68" s="115">
        <f t="shared" si="4"/>
        <v>3.84</v>
      </c>
      <c r="S68" s="113">
        <v>0.48</v>
      </c>
      <c r="T68" s="113">
        <v>0.96</v>
      </c>
      <c r="U68" s="113">
        <v>0.96</v>
      </c>
      <c r="V68" s="116">
        <f t="shared" si="5"/>
        <v>2.4</v>
      </c>
      <c r="W68" s="117">
        <f t="shared" si="6"/>
        <v>6.24</v>
      </c>
    </row>
    <row r="69" spans="1:23" x14ac:dyDescent="0.25">
      <c r="A69" s="122" t="s">
        <v>258</v>
      </c>
      <c r="B69" s="279" t="s">
        <v>259</v>
      </c>
      <c r="C69" s="280" t="s">
        <v>260</v>
      </c>
      <c r="D69" s="142" t="s">
        <v>204</v>
      </c>
      <c r="E69" s="113"/>
      <c r="F69" s="113"/>
      <c r="G69" s="113"/>
      <c r="H69" s="116">
        <f t="shared" si="0"/>
        <v>0</v>
      </c>
      <c r="I69" s="113"/>
      <c r="J69" s="113"/>
      <c r="K69" s="113"/>
      <c r="L69" s="116">
        <f t="shared" si="1"/>
        <v>0</v>
      </c>
      <c r="M69" s="115">
        <f t="shared" si="2"/>
        <v>0</v>
      </c>
      <c r="N69" s="113"/>
      <c r="O69" s="113"/>
      <c r="P69" s="113"/>
      <c r="Q69" s="116">
        <f t="shared" si="3"/>
        <v>0</v>
      </c>
      <c r="R69" s="115">
        <f t="shared" si="4"/>
        <v>0</v>
      </c>
      <c r="S69" s="113"/>
      <c r="T69" s="113"/>
      <c r="U69" s="113"/>
      <c r="V69" s="116">
        <f t="shared" si="5"/>
        <v>0</v>
      </c>
      <c r="W69" s="117">
        <f t="shared" si="6"/>
        <v>0</v>
      </c>
    </row>
    <row r="70" spans="1:23" x14ac:dyDescent="0.25">
      <c r="A70" s="122" t="s">
        <v>261</v>
      </c>
      <c r="B70" s="277" t="s">
        <v>262</v>
      </c>
      <c r="C70" s="278" t="s">
        <v>263</v>
      </c>
      <c r="D70" s="142" t="s">
        <v>204</v>
      </c>
      <c r="E70" s="113"/>
      <c r="F70" s="113"/>
      <c r="G70" s="113"/>
      <c r="H70" s="116">
        <f t="shared" si="0"/>
        <v>0</v>
      </c>
      <c r="I70" s="113"/>
      <c r="J70" s="113"/>
      <c r="K70" s="113"/>
      <c r="L70" s="116">
        <f t="shared" si="1"/>
        <v>0</v>
      </c>
      <c r="M70" s="115">
        <f t="shared" si="2"/>
        <v>0</v>
      </c>
      <c r="N70" s="113"/>
      <c r="O70" s="113"/>
      <c r="P70" s="113"/>
      <c r="Q70" s="116">
        <f t="shared" si="3"/>
        <v>0</v>
      </c>
      <c r="R70" s="115">
        <f t="shared" si="4"/>
        <v>0</v>
      </c>
      <c r="S70" s="113"/>
      <c r="T70" s="113"/>
      <c r="U70" s="113"/>
      <c r="V70" s="116">
        <f t="shared" si="5"/>
        <v>0</v>
      </c>
      <c r="W70" s="117">
        <f t="shared" si="6"/>
        <v>0</v>
      </c>
    </row>
    <row r="71" spans="1:23" x14ac:dyDescent="0.25">
      <c r="A71" s="122" t="s">
        <v>264</v>
      </c>
      <c r="B71" s="277" t="s">
        <v>265</v>
      </c>
      <c r="C71" s="293"/>
      <c r="D71" s="142" t="s">
        <v>204</v>
      </c>
      <c r="E71" s="113"/>
      <c r="F71" s="113"/>
      <c r="G71" s="113"/>
      <c r="H71" s="116">
        <f t="shared" si="0"/>
        <v>0</v>
      </c>
      <c r="I71" s="113"/>
      <c r="J71" s="113"/>
      <c r="K71" s="113"/>
      <c r="L71" s="116">
        <f t="shared" si="1"/>
        <v>0</v>
      </c>
      <c r="M71" s="115">
        <f t="shared" si="2"/>
        <v>0</v>
      </c>
      <c r="N71" s="113"/>
      <c r="O71" s="113"/>
      <c r="P71" s="113"/>
      <c r="Q71" s="116">
        <f t="shared" si="3"/>
        <v>0</v>
      </c>
      <c r="R71" s="115">
        <f t="shared" si="4"/>
        <v>0</v>
      </c>
      <c r="S71" s="113"/>
      <c r="T71" s="113"/>
      <c r="U71" s="113"/>
      <c r="V71" s="116">
        <f t="shared" si="5"/>
        <v>0</v>
      </c>
      <c r="W71" s="117">
        <f t="shared" si="6"/>
        <v>0</v>
      </c>
    </row>
    <row r="72" spans="1:23" x14ac:dyDescent="0.25">
      <c r="A72" s="122" t="s">
        <v>266</v>
      </c>
      <c r="B72" s="279" t="s">
        <v>267</v>
      </c>
      <c r="C72" s="280" t="s">
        <v>268</v>
      </c>
      <c r="D72" s="142" t="s">
        <v>204</v>
      </c>
      <c r="E72" s="113"/>
      <c r="F72" s="113"/>
      <c r="G72" s="113"/>
      <c r="H72" s="116">
        <f t="shared" si="0"/>
        <v>0</v>
      </c>
      <c r="I72" s="113"/>
      <c r="J72" s="113"/>
      <c r="K72" s="113"/>
      <c r="L72" s="116">
        <f t="shared" si="1"/>
        <v>0</v>
      </c>
      <c r="M72" s="115">
        <f t="shared" si="2"/>
        <v>0</v>
      </c>
      <c r="N72" s="113"/>
      <c r="O72" s="113"/>
      <c r="P72" s="113"/>
      <c r="Q72" s="116">
        <f t="shared" si="3"/>
        <v>0</v>
      </c>
      <c r="R72" s="115">
        <f t="shared" si="4"/>
        <v>0</v>
      </c>
      <c r="S72" s="113"/>
      <c r="T72" s="113"/>
      <c r="U72" s="113"/>
      <c r="V72" s="116">
        <f t="shared" si="5"/>
        <v>0</v>
      </c>
      <c r="W72" s="117">
        <f t="shared" si="6"/>
        <v>0</v>
      </c>
    </row>
    <row r="73" spans="1:23" x14ac:dyDescent="0.25">
      <c r="A73" s="122" t="s">
        <v>269</v>
      </c>
      <c r="B73" s="279" t="s">
        <v>233</v>
      </c>
      <c r="C73" s="280" t="s">
        <v>233</v>
      </c>
      <c r="D73" s="142" t="s">
        <v>204</v>
      </c>
      <c r="E73" s="113">
        <f>SUM(E74:E77)</f>
        <v>0.106</v>
      </c>
      <c r="F73" s="113">
        <f>SUM(F74:F77)</f>
        <v>0.106</v>
      </c>
      <c r="G73" s="113">
        <f>SUM(G74:G77)</f>
        <v>0.106</v>
      </c>
      <c r="H73" s="116">
        <f t="shared" si="0"/>
        <v>0.318</v>
      </c>
      <c r="I73" s="113">
        <f>SUM(I74:I77)</f>
        <v>0.106</v>
      </c>
      <c r="J73" s="113">
        <v>0</v>
      </c>
      <c r="K73" s="113">
        <f>SUM(K74:K77)</f>
        <v>0</v>
      </c>
      <c r="L73" s="116">
        <f t="shared" si="1"/>
        <v>0.106</v>
      </c>
      <c r="M73" s="115">
        <f t="shared" si="2"/>
        <v>0.42399999999999999</v>
      </c>
      <c r="N73" s="113">
        <f>SUM(N74:N77)</f>
        <v>0</v>
      </c>
      <c r="O73" s="113">
        <f>SUM(O74:O77)</f>
        <v>0</v>
      </c>
      <c r="P73" s="113">
        <f>SUM(P74:P77)</f>
        <v>0</v>
      </c>
      <c r="Q73" s="116">
        <f t="shared" si="3"/>
        <v>0</v>
      </c>
      <c r="R73" s="115">
        <f t="shared" si="4"/>
        <v>0.42399999999999999</v>
      </c>
      <c r="S73" s="113">
        <f>SUM(S74:S77)</f>
        <v>5.2999999999999999E-2</v>
      </c>
      <c r="T73" s="113">
        <f>SUM(T74:T77)</f>
        <v>0.106</v>
      </c>
      <c r="U73" s="113">
        <f>SUM(U74:U77)</f>
        <v>0.106</v>
      </c>
      <c r="V73" s="116">
        <f t="shared" si="5"/>
        <v>0.26500000000000001</v>
      </c>
      <c r="W73" s="117">
        <f t="shared" si="6"/>
        <v>0.68900000000000006</v>
      </c>
    </row>
    <row r="74" spans="1:23" x14ac:dyDescent="0.25">
      <c r="A74" s="122"/>
      <c r="B74" s="279" t="s">
        <v>270</v>
      </c>
      <c r="C74" s="280" t="s">
        <v>270</v>
      </c>
      <c r="D74" s="142" t="s">
        <v>204</v>
      </c>
      <c r="E74" s="113">
        <v>0.106</v>
      </c>
      <c r="F74" s="113">
        <v>0.106</v>
      </c>
      <c r="G74" s="113">
        <v>0.106</v>
      </c>
      <c r="H74" s="116">
        <f t="shared" ref="H74:H89" si="9">SUM(E74:G74)</f>
        <v>0.318</v>
      </c>
      <c r="I74" s="113">
        <v>0.106</v>
      </c>
      <c r="J74" s="113"/>
      <c r="K74" s="113"/>
      <c r="L74" s="116">
        <f t="shared" ref="L74:L89" si="10">SUM(I74:K74)</f>
        <v>0.106</v>
      </c>
      <c r="M74" s="115">
        <f t="shared" ref="M74:M89" si="11">L74+H74</f>
        <v>0.42399999999999999</v>
      </c>
      <c r="N74" s="113"/>
      <c r="O74" s="113"/>
      <c r="P74" s="113"/>
      <c r="Q74" s="116">
        <f t="shared" ref="Q74:Q89" si="12">SUM(N74:P74)</f>
        <v>0</v>
      </c>
      <c r="R74" s="115">
        <f t="shared" ref="R74:R89" si="13">Q74+M74</f>
        <v>0.42399999999999999</v>
      </c>
      <c r="S74" s="113">
        <v>5.2999999999999999E-2</v>
      </c>
      <c r="T74" s="113">
        <v>0.106</v>
      </c>
      <c r="U74" s="113">
        <v>0.106</v>
      </c>
      <c r="V74" s="116">
        <f t="shared" ref="V74:V89" si="14">SUM(S74:U74)</f>
        <v>0.26500000000000001</v>
      </c>
      <c r="W74" s="117">
        <f t="shared" ref="W74:W89" si="15">V74+R74</f>
        <v>0.68900000000000006</v>
      </c>
    </row>
    <row r="75" spans="1:23" x14ac:dyDescent="0.25">
      <c r="A75" s="122"/>
      <c r="B75" s="279" t="s">
        <v>271</v>
      </c>
      <c r="C75" s="280" t="s">
        <v>271</v>
      </c>
      <c r="D75" s="142" t="s">
        <v>204</v>
      </c>
      <c r="E75" s="113"/>
      <c r="F75" s="113"/>
      <c r="G75" s="113"/>
      <c r="H75" s="116">
        <f t="shared" si="9"/>
        <v>0</v>
      </c>
      <c r="I75" s="113"/>
      <c r="J75" s="113"/>
      <c r="K75" s="113"/>
      <c r="L75" s="116">
        <f t="shared" si="10"/>
        <v>0</v>
      </c>
      <c r="M75" s="115">
        <f t="shared" si="11"/>
        <v>0</v>
      </c>
      <c r="N75" s="113"/>
      <c r="O75" s="113"/>
      <c r="P75" s="113"/>
      <c r="Q75" s="116">
        <f t="shared" si="12"/>
        <v>0</v>
      </c>
      <c r="R75" s="115">
        <f t="shared" si="13"/>
        <v>0</v>
      </c>
      <c r="S75" s="113"/>
      <c r="T75" s="113"/>
      <c r="U75" s="113"/>
      <c r="V75" s="116">
        <f t="shared" si="14"/>
        <v>0</v>
      </c>
      <c r="W75" s="117">
        <f t="shared" si="15"/>
        <v>0</v>
      </c>
    </row>
    <row r="76" spans="1:23" x14ac:dyDescent="0.25">
      <c r="A76" s="122"/>
      <c r="B76" s="279" t="s">
        <v>272</v>
      </c>
      <c r="C76" s="280" t="s">
        <v>273</v>
      </c>
      <c r="D76" s="142" t="s">
        <v>204</v>
      </c>
      <c r="E76" s="113"/>
      <c r="F76" s="113"/>
      <c r="G76" s="113"/>
      <c r="H76" s="116">
        <f t="shared" si="9"/>
        <v>0</v>
      </c>
      <c r="I76" s="113"/>
      <c r="J76" s="113"/>
      <c r="K76" s="113"/>
      <c r="L76" s="116">
        <f t="shared" si="10"/>
        <v>0</v>
      </c>
      <c r="M76" s="115">
        <f t="shared" si="11"/>
        <v>0</v>
      </c>
      <c r="N76" s="113"/>
      <c r="O76" s="113"/>
      <c r="P76" s="113"/>
      <c r="Q76" s="116">
        <f t="shared" si="12"/>
        <v>0</v>
      </c>
      <c r="R76" s="115">
        <f t="shared" si="13"/>
        <v>0</v>
      </c>
      <c r="S76" s="113"/>
      <c r="T76" s="113"/>
      <c r="U76" s="113"/>
      <c r="V76" s="116">
        <f t="shared" si="14"/>
        <v>0</v>
      </c>
      <c r="W76" s="117">
        <f t="shared" si="15"/>
        <v>0</v>
      </c>
    </row>
    <row r="77" spans="1:23" x14ac:dyDescent="0.25">
      <c r="A77" s="122"/>
      <c r="B77" s="164" t="s">
        <v>274</v>
      </c>
      <c r="C77" s="165"/>
      <c r="D77" s="142" t="s">
        <v>204</v>
      </c>
      <c r="E77" s="113"/>
      <c r="F77" s="113"/>
      <c r="G77" s="113"/>
      <c r="H77" s="116">
        <f t="shared" si="9"/>
        <v>0</v>
      </c>
      <c r="I77" s="113"/>
      <c r="J77" s="113"/>
      <c r="K77" s="113"/>
      <c r="L77" s="116">
        <f t="shared" si="10"/>
        <v>0</v>
      </c>
      <c r="M77" s="115">
        <f t="shared" si="11"/>
        <v>0</v>
      </c>
      <c r="N77" s="113"/>
      <c r="O77" s="113"/>
      <c r="P77" s="113"/>
      <c r="Q77" s="116">
        <f t="shared" si="12"/>
        <v>0</v>
      </c>
      <c r="R77" s="115">
        <f t="shared" si="13"/>
        <v>0</v>
      </c>
      <c r="S77" s="113"/>
      <c r="T77" s="113"/>
      <c r="U77" s="113"/>
      <c r="V77" s="116">
        <f t="shared" si="14"/>
        <v>0</v>
      </c>
      <c r="W77" s="117">
        <f t="shared" si="15"/>
        <v>0</v>
      </c>
    </row>
    <row r="78" spans="1:23" x14ac:dyDescent="0.25">
      <c r="A78" s="122" t="s">
        <v>275</v>
      </c>
      <c r="B78" s="279" t="s">
        <v>276</v>
      </c>
      <c r="C78" s="280" t="s">
        <v>276</v>
      </c>
      <c r="D78" s="142" t="s">
        <v>204</v>
      </c>
      <c r="E78" s="120">
        <f>SUM(E79:E81)</f>
        <v>2.028</v>
      </c>
      <c r="F78" s="120">
        <f>SUM(F79:F81)</f>
        <v>2.028</v>
      </c>
      <c r="G78" s="120">
        <f>SUM(G79:G81)</f>
        <v>3.2880000000000003</v>
      </c>
      <c r="H78" s="116">
        <f t="shared" si="9"/>
        <v>7.3440000000000003</v>
      </c>
      <c r="I78" s="120">
        <f>SUM(I79:I81)</f>
        <v>2.028</v>
      </c>
      <c r="J78" s="120">
        <f>SUM(J79:J81)</f>
        <v>0</v>
      </c>
      <c r="K78" s="120">
        <f>SUM(K79:K81)</f>
        <v>0</v>
      </c>
      <c r="L78" s="116">
        <f t="shared" si="10"/>
        <v>2.028</v>
      </c>
      <c r="M78" s="115">
        <f t="shared" si="11"/>
        <v>9.3719999999999999</v>
      </c>
      <c r="N78" s="120">
        <f>SUM(N79:N81)</f>
        <v>0</v>
      </c>
      <c r="O78" s="120">
        <f>SUM(O79:O81)</f>
        <v>0</v>
      </c>
      <c r="P78" s="120">
        <f>SUM(P79:P81)</f>
        <v>0</v>
      </c>
      <c r="Q78" s="116">
        <f t="shared" si="12"/>
        <v>0</v>
      </c>
      <c r="R78" s="115">
        <f t="shared" si="13"/>
        <v>9.3719999999999999</v>
      </c>
      <c r="S78" s="120">
        <f>SUM(S79:S81)</f>
        <v>1.0134000000000001</v>
      </c>
      <c r="T78" s="120">
        <f>SUM(T79:T81)</f>
        <v>2.028</v>
      </c>
      <c r="U78" s="120">
        <f>SUM(U79:U81)</f>
        <v>2.028</v>
      </c>
      <c r="V78" s="116">
        <f t="shared" si="14"/>
        <v>5.0693999999999999</v>
      </c>
      <c r="W78" s="117">
        <f t="shared" si="15"/>
        <v>14.4414</v>
      </c>
    </row>
    <row r="79" spans="1:23" x14ac:dyDescent="0.25">
      <c r="A79" s="122" t="s">
        <v>277</v>
      </c>
      <c r="B79" s="279" t="s">
        <v>278</v>
      </c>
      <c r="C79" s="280" t="s">
        <v>278</v>
      </c>
      <c r="D79" s="142" t="s">
        <v>204</v>
      </c>
      <c r="E79" s="113"/>
      <c r="F79" s="113"/>
      <c r="G79" s="113"/>
      <c r="H79" s="116">
        <f t="shared" si="9"/>
        <v>0</v>
      </c>
      <c r="I79" s="113"/>
      <c r="J79" s="113"/>
      <c r="K79" s="113"/>
      <c r="L79" s="116">
        <f t="shared" si="10"/>
        <v>0</v>
      </c>
      <c r="M79" s="115">
        <f t="shared" si="11"/>
        <v>0</v>
      </c>
      <c r="N79" s="113"/>
      <c r="O79" s="113"/>
      <c r="P79" s="113"/>
      <c r="Q79" s="116">
        <f t="shared" si="12"/>
        <v>0</v>
      </c>
      <c r="R79" s="115">
        <f t="shared" si="13"/>
        <v>0</v>
      </c>
      <c r="S79" s="113"/>
      <c r="T79" s="113"/>
      <c r="U79" s="113"/>
      <c r="V79" s="116">
        <f t="shared" si="14"/>
        <v>0</v>
      </c>
      <c r="W79" s="117">
        <f t="shared" si="15"/>
        <v>0</v>
      </c>
    </row>
    <row r="80" spans="1:23" x14ac:dyDescent="0.25">
      <c r="A80" s="122" t="s">
        <v>279</v>
      </c>
      <c r="B80" s="279" t="s">
        <v>280</v>
      </c>
      <c r="C80" s="280" t="s">
        <v>281</v>
      </c>
      <c r="D80" s="142" t="s">
        <v>204</v>
      </c>
      <c r="E80" s="113"/>
      <c r="F80" s="113"/>
      <c r="G80" s="113">
        <v>1.26</v>
      </c>
      <c r="H80" s="116">
        <f t="shared" si="9"/>
        <v>1.26</v>
      </c>
      <c r="I80" s="113"/>
      <c r="J80" s="113"/>
      <c r="K80" s="113"/>
      <c r="L80" s="116">
        <f t="shared" si="10"/>
        <v>0</v>
      </c>
      <c r="M80" s="115">
        <f t="shared" si="11"/>
        <v>1.26</v>
      </c>
      <c r="N80" s="113"/>
      <c r="O80" s="113"/>
      <c r="P80" s="113"/>
      <c r="Q80" s="116">
        <f t="shared" si="12"/>
        <v>0</v>
      </c>
      <c r="R80" s="115">
        <f t="shared" si="13"/>
        <v>1.26</v>
      </c>
      <c r="S80" s="113"/>
      <c r="T80" s="113"/>
      <c r="U80" s="113"/>
      <c r="V80" s="116">
        <f t="shared" si="14"/>
        <v>0</v>
      </c>
      <c r="W80" s="117">
        <f t="shared" si="15"/>
        <v>1.26</v>
      </c>
    </row>
    <row r="81" spans="1:23" x14ac:dyDescent="0.25">
      <c r="A81" s="122" t="s">
        <v>282</v>
      </c>
      <c r="B81" s="164" t="s">
        <v>283</v>
      </c>
      <c r="C81" s="165"/>
      <c r="D81" s="142" t="s">
        <v>204</v>
      </c>
      <c r="E81" s="113">
        <v>2.028</v>
      </c>
      <c r="F81" s="113">
        <v>2.028</v>
      </c>
      <c r="G81" s="113">
        <v>2.028</v>
      </c>
      <c r="H81" s="116">
        <f t="shared" si="9"/>
        <v>6.0839999999999996</v>
      </c>
      <c r="I81" s="113">
        <v>2.028</v>
      </c>
      <c r="J81" s="113"/>
      <c r="K81" s="113"/>
      <c r="L81" s="116">
        <f t="shared" si="10"/>
        <v>2.028</v>
      </c>
      <c r="M81" s="115">
        <f t="shared" si="11"/>
        <v>8.1120000000000001</v>
      </c>
      <c r="N81" s="113"/>
      <c r="O81" s="113"/>
      <c r="P81" s="113"/>
      <c r="Q81" s="116">
        <f t="shared" si="12"/>
        <v>0</v>
      </c>
      <c r="R81" s="115">
        <f t="shared" si="13"/>
        <v>8.1120000000000001</v>
      </c>
      <c r="S81" s="113">
        <v>1.0134000000000001</v>
      </c>
      <c r="T81" s="113">
        <v>2.028</v>
      </c>
      <c r="U81" s="113">
        <v>2.028</v>
      </c>
      <c r="V81" s="116">
        <f t="shared" si="14"/>
        <v>5.0693999999999999</v>
      </c>
      <c r="W81" s="117">
        <f t="shared" si="15"/>
        <v>13.1814</v>
      </c>
    </row>
    <row r="82" spans="1:23" x14ac:dyDescent="0.25">
      <c r="A82" s="111" t="s">
        <v>284</v>
      </c>
      <c r="B82" s="277" t="s">
        <v>285</v>
      </c>
      <c r="C82" s="278"/>
      <c r="D82" s="142" t="s">
        <v>204</v>
      </c>
      <c r="E82" s="113">
        <v>0</v>
      </c>
      <c r="F82" s="113">
        <v>0</v>
      </c>
      <c r="G82" s="114">
        <v>0</v>
      </c>
      <c r="H82" s="116">
        <f t="shared" si="9"/>
        <v>0</v>
      </c>
      <c r="I82" s="113">
        <v>0</v>
      </c>
      <c r="J82" s="113">
        <v>0</v>
      </c>
      <c r="K82" s="113">
        <v>0</v>
      </c>
      <c r="L82" s="116">
        <f t="shared" si="10"/>
        <v>0</v>
      </c>
      <c r="M82" s="115">
        <f t="shared" si="11"/>
        <v>0</v>
      </c>
      <c r="N82" s="113"/>
      <c r="O82" s="113"/>
      <c r="P82" s="113"/>
      <c r="Q82" s="116">
        <f t="shared" si="12"/>
        <v>0</v>
      </c>
      <c r="R82" s="115">
        <f t="shared" si="13"/>
        <v>0</v>
      </c>
      <c r="S82" s="113"/>
      <c r="T82" s="113"/>
      <c r="U82" s="113"/>
      <c r="V82" s="116">
        <f t="shared" si="14"/>
        <v>0</v>
      </c>
      <c r="W82" s="117">
        <f t="shared" si="15"/>
        <v>0</v>
      </c>
    </row>
    <row r="83" spans="1:23" x14ac:dyDescent="0.25">
      <c r="A83" s="111"/>
      <c r="B83" s="164"/>
      <c r="C83" s="165"/>
      <c r="D83" s="142"/>
      <c r="E83" s="113"/>
      <c r="F83" s="113"/>
      <c r="G83" s="114"/>
      <c r="H83" s="116">
        <f t="shared" si="9"/>
        <v>0</v>
      </c>
      <c r="I83" s="113"/>
      <c r="J83" s="113"/>
      <c r="K83" s="113"/>
      <c r="L83" s="116">
        <f t="shared" si="10"/>
        <v>0</v>
      </c>
      <c r="M83" s="115">
        <f t="shared" si="11"/>
        <v>0</v>
      </c>
      <c r="N83" s="113"/>
      <c r="O83" s="113"/>
      <c r="P83" s="113"/>
      <c r="Q83" s="116">
        <f t="shared" si="12"/>
        <v>0</v>
      </c>
      <c r="R83" s="115">
        <f t="shared" si="13"/>
        <v>0</v>
      </c>
      <c r="S83" s="113"/>
      <c r="T83" s="113"/>
      <c r="U83" s="113"/>
      <c r="V83" s="116">
        <f t="shared" si="14"/>
        <v>0</v>
      </c>
      <c r="W83" s="117">
        <f t="shared" si="15"/>
        <v>0</v>
      </c>
    </row>
    <row r="84" spans="1:23" x14ac:dyDescent="0.25">
      <c r="A84" s="118">
        <v>16</v>
      </c>
      <c r="B84" s="275" t="s">
        <v>286</v>
      </c>
      <c r="C84" s="276"/>
      <c r="D84" s="169" t="s">
        <v>204</v>
      </c>
      <c r="E84" s="170">
        <f>E30+E32+E33+E34+E35+E38+E41+E42+E43+E58+E62+E82+E57</f>
        <v>396.14170727745204</v>
      </c>
      <c r="F84" s="170">
        <f>F30+F32+F33+F34+F35+F38+F41+F42+F43+F58+F62+F82+F57</f>
        <v>341.84544828019182</v>
      </c>
      <c r="G84" s="170">
        <f>G30+G32+G33+G34+G35+G38+G41+G42+G43++G58+G62+G82+G57</f>
        <v>327.96704141443831</v>
      </c>
      <c r="H84" s="170">
        <f t="shared" si="9"/>
        <v>1065.9541969720822</v>
      </c>
      <c r="I84" s="170">
        <f>I30+I32+I33+I34+I35+I38+I41+I42+I43+I58+I62+I82+I57</f>
        <v>371.946151658274</v>
      </c>
      <c r="J84" s="170">
        <f>J30+J32+J33+J34+J35+J38+J41+J42+J43+J58+J62+J82+J57</f>
        <v>21.836208999999997</v>
      </c>
      <c r="K84" s="170">
        <f>K30+K32+K33+K34+K35+K38+K41+K42+K43+K58+K62+K82+K57</f>
        <v>21.836208999999997</v>
      </c>
      <c r="L84" s="170">
        <f t="shared" si="10"/>
        <v>415.618569658274</v>
      </c>
      <c r="M84" s="170">
        <f t="shared" si="11"/>
        <v>1481.5727666303562</v>
      </c>
      <c r="N84" s="170">
        <f t="shared" ref="N84:U84" si="16">SUM(N30,N32:N35,N38,N42:N43,N58:N58,N62:N62,N82,N57)</f>
        <v>21.836208999999997</v>
      </c>
      <c r="O84" s="170">
        <f t="shared" si="16"/>
        <v>21.836208999999997</v>
      </c>
      <c r="P84" s="170">
        <f t="shared" si="16"/>
        <v>21.836208999999997</v>
      </c>
      <c r="Q84" s="170">
        <f t="shared" si="12"/>
        <v>65.50862699999999</v>
      </c>
      <c r="R84" s="170">
        <f t="shared" si="13"/>
        <v>1547.0813936303562</v>
      </c>
      <c r="S84" s="170">
        <f t="shared" si="16"/>
        <v>148.04144663041095</v>
      </c>
      <c r="T84" s="170">
        <f t="shared" si="16"/>
        <v>283.63518887013703</v>
      </c>
      <c r="U84" s="170">
        <f t="shared" si="16"/>
        <v>310.46173039068492</v>
      </c>
      <c r="V84" s="170">
        <f t="shared" si="14"/>
        <v>742.13836589123287</v>
      </c>
      <c r="W84" s="170">
        <f t="shared" si="15"/>
        <v>2289.2197595215889</v>
      </c>
    </row>
    <row r="85" spans="1:23" x14ac:dyDescent="0.25">
      <c r="A85" s="111">
        <v>17</v>
      </c>
      <c r="B85" s="277"/>
      <c r="C85" s="278"/>
      <c r="D85" s="142"/>
      <c r="E85" s="120"/>
      <c r="F85" s="120"/>
      <c r="G85" s="120"/>
      <c r="H85" s="171"/>
      <c r="I85" s="120"/>
      <c r="J85" s="120"/>
      <c r="K85" s="120"/>
      <c r="L85" s="171"/>
      <c r="M85" s="171"/>
      <c r="N85" s="120"/>
      <c r="O85" s="120"/>
      <c r="P85" s="120"/>
      <c r="Q85" s="171"/>
      <c r="R85" s="171"/>
      <c r="S85" s="120"/>
      <c r="T85" s="120"/>
      <c r="U85" s="120"/>
      <c r="V85" s="171"/>
      <c r="W85" s="171"/>
    </row>
    <row r="86" spans="1:23" x14ac:dyDescent="0.25">
      <c r="A86" s="118">
        <v>18</v>
      </c>
      <c r="B86" s="297" t="s">
        <v>287</v>
      </c>
      <c r="C86" s="297"/>
      <c r="D86" s="169" t="s">
        <v>204</v>
      </c>
      <c r="E86" s="172">
        <f>E14*E88</f>
        <v>464.17359999999996</v>
      </c>
      <c r="F86" s="173">
        <f>F14*F88</f>
        <v>379.77839999999998</v>
      </c>
      <c r="G86" s="173">
        <f>G14*G88</f>
        <v>353.4049</v>
      </c>
      <c r="H86" s="173">
        <f>H88*H14</f>
        <v>1197.3568999999998</v>
      </c>
      <c r="I86" s="173">
        <f>I14*I88</f>
        <v>374.50369999999998</v>
      </c>
      <c r="J86" s="173">
        <f>J14*J88</f>
        <v>0</v>
      </c>
      <c r="K86" s="173">
        <f>K14*K88</f>
        <v>0</v>
      </c>
      <c r="L86" s="174">
        <f>L88*L14</f>
        <v>374.50369999999998</v>
      </c>
      <c r="M86" s="175">
        <f>M88*M14</f>
        <v>1571.8606</v>
      </c>
      <c r="N86" s="173">
        <f>N14*N88</f>
        <v>0</v>
      </c>
      <c r="O86" s="173">
        <f>O14*O88</f>
        <v>0</v>
      </c>
      <c r="P86" s="173">
        <f>P14*P88</f>
        <v>0</v>
      </c>
      <c r="Q86" s="174">
        <f>Q88*Q14</f>
        <v>0</v>
      </c>
      <c r="R86" s="175">
        <f>R88*R14</f>
        <v>1571.8606</v>
      </c>
      <c r="S86" s="173">
        <f>S14*S88</f>
        <v>121.31809999999999</v>
      </c>
      <c r="T86" s="173">
        <f>T14*T88</f>
        <v>269.00969999999995</v>
      </c>
      <c r="U86" s="173">
        <f>U14*U88</f>
        <v>327.03139999999996</v>
      </c>
      <c r="V86" s="174">
        <f>V88*V14</f>
        <v>717.35919999999999</v>
      </c>
      <c r="W86" s="176">
        <f>W88*W14</f>
        <v>2289.2197999999999</v>
      </c>
    </row>
    <row r="87" spans="1:23" x14ac:dyDescent="0.25">
      <c r="A87" s="111">
        <v>19</v>
      </c>
      <c r="B87" s="277" t="s">
        <v>288</v>
      </c>
      <c r="C87" s="278"/>
      <c r="D87" s="142" t="s">
        <v>204</v>
      </c>
      <c r="E87" s="177">
        <v>0</v>
      </c>
      <c r="F87" s="177">
        <v>0</v>
      </c>
      <c r="G87" s="177">
        <v>0</v>
      </c>
      <c r="H87" s="116">
        <f t="shared" si="9"/>
        <v>0</v>
      </c>
      <c r="I87" s="177">
        <v>0</v>
      </c>
      <c r="J87" s="177">
        <v>0</v>
      </c>
      <c r="K87" s="177">
        <v>0</v>
      </c>
      <c r="L87" s="116">
        <f t="shared" si="10"/>
        <v>0</v>
      </c>
      <c r="M87" s="115">
        <f t="shared" si="11"/>
        <v>0</v>
      </c>
      <c r="N87" s="177">
        <v>0</v>
      </c>
      <c r="O87" s="177">
        <v>0</v>
      </c>
      <c r="P87" s="177"/>
      <c r="Q87" s="116">
        <f t="shared" si="12"/>
        <v>0</v>
      </c>
      <c r="R87" s="115">
        <f t="shared" si="13"/>
        <v>0</v>
      </c>
      <c r="S87" s="177"/>
      <c r="T87" s="177"/>
      <c r="U87" s="177"/>
      <c r="V87" s="116">
        <f t="shared" si="14"/>
        <v>0</v>
      </c>
      <c r="W87" s="117">
        <f t="shared" si="15"/>
        <v>0</v>
      </c>
    </row>
    <row r="88" spans="1:23" x14ac:dyDescent="0.25">
      <c r="A88" s="111">
        <v>20</v>
      </c>
      <c r="B88" s="277" t="s">
        <v>289</v>
      </c>
      <c r="C88" s="278"/>
      <c r="D88" s="142" t="s">
        <v>290</v>
      </c>
      <c r="E88" s="178">
        <v>5274.7</v>
      </c>
      <c r="F88" s="178">
        <v>5274.7</v>
      </c>
      <c r="G88" s="178">
        <v>5274.7</v>
      </c>
      <c r="H88" s="179">
        <v>5274.7</v>
      </c>
      <c r="I88" s="178">
        <v>5274.7</v>
      </c>
      <c r="J88" s="178">
        <v>5274.7</v>
      </c>
      <c r="K88" s="178">
        <v>5274.7</v>
      </c>
      <c r="L88" s="179">
        <v>5274.7</v>
      </c>
      <c r="M88" s="179">
        <v>5274.7</v>
      </c>
      <c r="N88" s="178">
        <v>5274.7</v>
      </c>
      <c r="O88" s="178">
        <v>5274.7</v>
      </c>
      <c r="P88" s="178">
        <v>5274.7</v>
      </c>
      <c r="Q88" s="179">
        <v>5274.7</v>
      </c>
      <c r="R88" s="179">
        <v>5274.7</v>
      </c>
      <c r="S88" s="178">
        <v>5274.7</v>
      </c>
      <c r="T88" s="178">
        <v>5274.7</v>
      </c>
      <c r="U88" s="178">
        <v>5274.7</v>
      </c>
      <c r="V88" s="179">
        <v>5274.7</v>
      </c>
      <c r="W88" s="115">
        <v>5274.7</v>
      </c>
    </row>
    <row r="89" spans="1:23" x14ac:dyDescent="0.25">
      <c r="A89" s="118">
        <v>21</v>
      </c>
      <c r="B89" s="295" t="s">
        <v>291</v>
      </c>
      <c r="C89" s="296"/>
      <c r="D89" s="169" t="s">
        <v>204</v>
      </c>
      <c r="E89" s="180">
        <f>(E86+E87)-E84</f>
        <v>68.031892722547923</v>
      </c>
      <c r="F89" s="180">
        <f t="shared" ref="F89:U89" si="17">(F86+F87)-F84</f>
        <v>37.932951719808159</v>
      </c>
      <c r="G89" s="180">
        <f t="shared" si="17"/>
        <v>25.437858585561685</v>
      </c>
      <c r="H89" s="180">
        <f t="shared" si="9"/>
        <v>131.40270302791777</v>
      </c>
      <c r="I89" s="180">
        <f t="shared" si="17"/>
        <v>2.5575483417259761</v>
      </c>
      <c r="J89" s="180">
        <f t="shared" si="17"/>
        <v>-21.836208999999997</v>
      </c>
      <c r="K89" s="180">
        <f t="shared" si="17"/>
        <v>-21.836208999999997</v>
      </c>
      <c r="L89" s="180">
        <f t="shared" si="10"/>
        <v>-41.114869658274017</v>
      </c>
      <c r="M89" s="180">
        <f t="shared" si="11"/>
        <v>90.287833369643749</v>
      </c>
      <c r="N89" s="180">
        <f t="shared" si="17"/>
        <v>-21.836208999999997</v>
      </c>
      <c r="O89" s="180">
        <f t="shared" si="17"/>
        <v>-21.836208999999997</v>
      </c>
      <c r="P89" s="180">
        <f t="shared" si="17"/>
        <v>-21.836208999999997</v>
      </c>
      <c r="Q89" s="180">
        <f t="shared" si="12"/>
        <v>-65.50862699999999</v>
      </c>
      <c r="R89" s="180">
        <f t="shared" si="13"/>
        <v>24.779206369643759</v>
      </c>
      <c r="S89" s="180">
        <f t="shared" si="17"/>
        <v>-26.723346630410958</v>
      </c>
      <c r="T89" s="180">
        <f t="shared" si="17"/>
        <v>-14.625488870137076</v>
      </c>
      <c r="U89" s="180">
        <f t="shared" si="17"/>
        <v>16.569669609315042</v>
      </c>
      <c r="V89" s="180">
        <f t="shared" si="14"/>
        <v>-24.779165891232992</v>
      </c>
      <c r="W89" s="180">
        <f t="shared" si="15"/>
        <v>4.0478410767263995E-5</v>
      </c>
    </row>
    <row r="90" spans="1:23" x14ac:dyDescent="0.25">
      <c r="A90" s="181"/>
      <c r="B90" s="181"/>
      <c r="C90" s="181"/>
      <c r="D90" s="181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3"/>
      <c r="Q90" s="182"/>
      <c r="R90" s="182"/>
      <c r="S90" s="182"/>
      <c r="T90" s="182"/>
      <c r="U90" s="182"/>
      <c r="V90" s="182"/>
      <c r="W90" s="182"/>
    </row>
    <row r="91" spans="1:23" x14ac:dyDescent="0.25">
      <c r="A91" s="185" t="s">
        <v>111</v>
      </c>
      <c r="B91" s="181"/>
      <c r="C91" s="181"/>
      <c r="D91" s="181"/>
      <c r="E91" s="186"/>
      <c r="F91" s="186"/>
      <c r="G91" s="186" t="s">
        <v>119</v>
      </c>
      <c r="H91" s="186"/>
      <c r="I91" s="186"/>
      <c r="J91" s="186"/>
      <c r="K91" s="186"/>
      <c r="L91" s="186"/>
      <c r="M91" s="186"/>
      <c r="N91" s="186"/>
      <c r="O91" s="186"/>
      <c r="P91" s="187"/>
      <c r="Q91" s="186"/>
      <c r="R91" s="186"/>
      <c r="S91" s="186"/>
      <c r="T91" s="186"/>
      <c r="U91" s="186"/>
      <c r="V91" s="186"/>
      <c r="W91" s="186"/>
    </row>
  </sheetData>
  <mergeCells count="89">
    <mergeCell ref="B89:C89"/>
    <mergeCell ref="B82:C82"/>
    <mergeCell ref="B84:C84"/>
    <mergeCell ref="B85:C85"/>
    <mergeCell ref="B86:C86"/>
    <mergeCell ref="B87:C87"/>
    <mergeCell ref="B88:C88"/>
    <mergeCell ref="B80:C80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8:C78"/>
    <mergeCell ref="B79:C79"/>
    <mergeCell ref="B67:C67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3:C53"/>
    <mergeCell ref="B40:C4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8:C38"/>
    <mergeCell ref="B21:B22"/>
    <mergeCell ref="B23:B25"/>
    <mergeCell ref="B26:B28"/>
    <mergeCell ref="B30:C30"/>
    <mergeCell ref="B31:C31"/>
    <mergeCell ref="B32:C32"/>
    <mergeCell ref="B33:C33"/>
    <mergeCell ref="B34:C34"/>
    <mergeCell ref="B35:C35"/>
    <mergeCell ref="B36:C36"/>
    <mergeCell ref="B37:C3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U6:U7"/>
    <mergeCell ref="M5:M7"/>
    <mergeCell ref="R5:R7"/>
    <mergeCell ref="V5:V7"/>
    <mergeCell ref="W5:W7"/>
    <mergeCell ref="N6:N7"/>
    <mergeCell ref="O6:O7"/>
    <mergeCell ref="P6:P7"/>
    <mergeCell ref="S6:S7"/>
    <mergeCell ref="T6:T7"/>
    <mergeCell ref="L5:L7"/>
    <mergeCell ref="K6:K7"/>
    <mergeCell ref="A3:E3"/>
    <mergeCell ref="A5:A7"/>
    <mergeCell ref="B5:C7"/>
    <mergeCell ref="D5:D7"/>
    <mergeCell ref="H5:H7"/>
    <mergeCell ref="E6:E7"/>
    <mergeCell ref="F6:F7"/>
    <mergeCell ref="G6:G7"/>
    <mergeCell ref="I6:I7"/>
    <mergeCell ref="J6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A28" workbookViewId="0">
      <selection sqref="A1:W91"/>
    </sheetView>
  </sheetViews>
  <sheetFormatPr defaultRowHeight="15" x14ac:dyDescent="0.25"/>
  <sheetData>
    <row r="1" spans="1:23" x14ac:dyDescent="0.25">
      <c r="A1" s="85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7"/>
      <c r="Q1" s="85"/>
      <c r="R1" s="85"/>
      <c r="S1" s="85"/>
      <c r="T1" s="85"/>
      <c r="U1" s="85"/>
      <c r="V1" s="85"/>
      <c r="W1" s="88"/>
    </row>
    <row r="2" spans="1:23" x14ac:dyDescent="0.25">
      <c r="A2" s="89" t="s">
        <v>141</v>
      </c>
      <c r="B2" s="90"/>
      <c r="C2" s="90"/>
      <c r="D2" s="90"/>
      <c r="E2" s="90"/>
      <c r="F2" s="90"/>
      <c r="G2" s="90"/>
      <c r="H2" s="90"/>
      <c r="I2" s="90"/>
      <c r="J2" s="90"/>
      <c r="K2" s="85"/>
      <c r="L2" s="85"/>
      <c r="M2" s="85"/>
      <c r="N2" s="85"/>
      <c r="O2" s="85"/>
      <c r="P2" s="87"/>
      <c r="Q2" s="85"/>
      <c r="R2" s="85"/>
      <c r="S2" s="85"/>
      <c r="T2" s="85"/>
      <c r="U2" s="85"/>
      <c r="V2" s="85"/>
      <c r="W2" s="88"/>
    </row>
    <row r="3" spans="1:23" x14ac:dyDescent="0.25">
      <c r="A3" s="252" t="s">
        <v>142</v>
      </c>
      <c r="B3" s="253"/>
      <c r="C3" s="253"/>
      <c r="D3" s="253"/>
      <c r="E3" s="253"/>
      <c r="F3" s="90"/>
      <c r="G3" s="90"/>
      <c r="H3" s="90"/>
      <c r="I3" s="90"/>
      <c r="J3" s="90"/>
      <c r="K3" s="85"/>
      <c r="L3" s="85"/>
      <c r="M3" s="85"/>
      <c r="N3" s="85"/>
      <c r="O3" s="85"/>
      <c r="P3" s="87"/>
      <c r="Q3" s="85"/>
      <c r="R3" s="85"/>
      <c r="S3" s="85"/>
      <c r="T3" s="85"/>
      <c r="U3" s="85"/>
      <c r="V3" s="85"/>
      <c r="W3" s="88"/>
    </row>
    <row r="4" spans="1:23" ht="57.75" x14ac:dyDescent="0.25">
      <c r="A4" s="91"/>
      <c r="B4" s="92"/>
      <c r="C4" s="92" t="s">
        <v>293</v>
      </c>
      <c r="D4" s="92"/>
      <c r="E4" s="90"/>
      <c r="F4" s="90"/>
      <c r="G4" s="90"/>
      <c r="H4" s="85"/>
      <c r="I4" s="85"/>
      <c r="J4" s="85"/>
      <c r="K4" s="85"/>
      <c r="L4" s="85"/>
      <c r="M4" s="85"/>
      <c r="N4" s="85"/>
      <c r="O4" s="85"/>
      <c r="P4" s="87"/>
      <c r="Q4" s="85"/>
      <c r="R4" s="85"/>
      <c r="S4" s="85"/>
      <c r="T4" s="85"/>
      <c r="U4" s="85"/>
      <c r="V4" s="85"/>
      <c r="W4" s="88"/>
    </row>
    <row r="5" spans="1:23" ht="42.75" x14ac:dyDescent="0.25">
      <c r="A5" s="254" t="s">
        <v>144</v>
      </c>
      <c r="B5" s="250" t="s">
        <v>22</v>
      </c>
      <c r="C5" s="257"/>
      <c r="D5" s="254" t="s">
        <v>145</v>
      </c>
      <c r="E5" s="93"/>
      <c r="F5" s="94"/>
      <c r="G5" s="94"/>
      <c r="H5" s="247" t="s">
        <v>146</v>
      </c>
      <c r="I5" s="94"/>
      <c r="J5" s="94"/>
      <c r="K5" s="94"/>
      <c r="L5" s="247" t="s">
        <v>147</v>
      </c>
      <c r="M5" s="247" t="s">
        <v>148</v>
      </c>
      <c r="N5" s="94"/>
      <c r="O5" s="94"/>
      <c r="P5" s="95"/>
      <c r="Q5" s="96" t="s">
        <v>149</v>
      </c>
      <c r="R5" s="247" t="s">
        <v>150</v>
      </c>
      <c r="S5" s="94"/>
      <c r="T5" s="94"/>
      <c r="U5" s="94"/>
      <c r="V5" s="247" t="s">
        <v>151</v>
      </c>
      <c r="W5" s="268" t="s">
        <v>152</v>
      </c>
    </row>
    <row r="6" spans="1:23" x14ac:dyDescent="0.25">
      <c r="A6" s="255"/>
      <c r="B6" s="258"/>
      <c r="C6" s="259"/>
      <c r="D6" s="262"/>
      <c r="E6" s="254" t="s">
        <v>2</v>
      </c>
      <c r="F6" s="254" t="s">
        <v>3</v>
      </c>
      <c r="G6" s="254" t="s">
        <v>4</v>
      </c>
      <c r="H6" s="248"/>
      <c r="I6" s="264" t="s">
        <v>11</v>
      </c>
      <c r="J6" s="254" t="s">
        <v>12</v>
      </c>
      <c r="K6" s="250" t="s">
        <v>13</v>
      </c>
      <c r="L6" s="248"/>
      <c r="M6" s="266"/>
      <c r="N6" s="264" t="s">
        <v>14</v>
      </c>
      <c r="O6" s="254" t="s">
        <v>15</v>
      </c>
      <c r="P6" s="270" t="s">
        <v>16</v>
      </c>
      <c r="Q6" s="97"/>
      <c r="R6" s="266"/>
      <c r="S6" s="264" t="s">
        <v>17</v>
      </c>
      <c r="T6" s="254" t="s">
        <v>18</v>
      </c>
      <c r="U6" s="250" t="s">
        <v>19</v>
      </c>
      <c r="V6" s="248"/>
      <c r="W6" s="269"/>
    </row>
    <row r="7" spans="1:23" x14ac:dyDescent="0.25">
      <c r="A7" s="256"/>
      <c r="B7" s="260"/>
      <c r="C7" s="261"/>
      <c r="D7" s="263"/>
      <c r="E7" s="256"/>
      <c r="F7" s="256"/>
      <c r="G7" s="256"/>
      <c r="H7" s="249"/>
      <c r="I7" s="265"/>
      <c r="J7" s="256"/>
      <c r="K7" s="251"/>
      <c r="L7" s="249"/>
      <c r="M7" s="267"/>
      <c r="N7" s="265"/>
      <c r="O7" s="256"/>
      <c r="P7" s="271"/>
      <c r="Q7" s="98"/>
      <c r="R7" s="267"/>
      <c r="S7" s="265"/>
      <c r="T7" s="256"/>
      <c r="U7" s="251"/>
      <c r="V7" s="249"/>
      <c r="W7" s="269"/>
    </row>
    <row r="8" spans="1:23" x14ac:dyDescent="0.25">
      <c r="A8" s="99" t="s">
        <v>153</v>
      </c>
      <c r="B8" s="100"/>
      <c r="C8" s="100"/>
      <c r="D8" s="100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2"/>
      <c r="R8" s="102"/>
      <c r="S8" s="102"/>
      <c r="T8" s="102"/>
      <c r="U8" s="102"/>
      <c r="V8" s="102"/>
      <c r="W8" s="104"/>
    </row>
    <row r="9" spans="1:23" x14ac:dyDescent="0.25">
      <c r="A9" s="105" t="s">
        <v>154</v>
      </c>
      <c r="B9" s="273" t="s">
        <v>155</v>
      </c>
      <c r="C9" s="273"/>
      <c r="D9" s="106" t="s">
        <v>156</v>
      </c>
      <c r="E9" s="107">
        <f>0.066+0.01554</f>
        <v>8.1540000000000001E-2</v>
      </c>
      <c r="F9" s="107">
        <f>0.052+0.01554</f>
        <v>6.7540000000000003E-2</v>
      </c>
      <c r="G9" s="107">
        <f>0.04+0.01554</f>
        <v>5.5539999999999999E-2</v>
      </c>
      <c r="H9" s="108">
        <f>H11+H10</f>
        <v>0.20462000000000002</v>
      </c>
      <c r="I9" s="108">
        <f>0.044+0.01554</f>
        <v>5.9539999999999996E-2</v>
      </c>
      <c r="J9" s="108">
        <f>J11+J10</f>
        <v>0</v>
      </c>
      <c r="K9" s="108">
        <f>K11+K10</f>
        <v>0</v>
      </c>
      <c r="L9" s="109">
        <f>SUM(I9:K9)</f>
        <v>5.9539999999999996E-2</v>
      </c>
      <c r="M9" s="109">
        <f>L9+H9</f>
        <v>0.26416000000000001</v>
      </c>
      <c r="N9" s="108">
        <f>N11+N10</f>
        <v>0</v>
      </c>
      <c r="O9" s="108">
        <f>O11+O10</f>
        <v>0</v>
      </c>
      <c r="P9" s="108">
        <f>P11+P10</f>
        <v>0</v>
      </c>
      <c r="Q9" s="109">
        <f>P9+O9+N9</f>
        <v>0</v>
      </c>
      <c r="R9" s="109">
        <f>Q9+M9</f>
        <v>0.26416000000000001</v>
      </c>
      <c r="S9" s="108">
        <f>0.022+0.008</f>
        <v>0.03</v>
      </c>
      <c r="T9" s="108">
        <f>0.04+0.01554</f>
        <v>5.5539999999999999E-2</v>
      </c>
      <c r="U9" s="108">
        <f>0.042+0.01554</f>
        <v>5.7540000000000001E-2</v>
      </c>
      <c r="V9" s="109">
        <f>U9+T9+S9</f>
        <v>0.14307999999999998</v>
      </c>
      <c r="W9" s="110">
        <f>V9+R9</f>
        <v>0.40723999999999999</v>
      </c>
    </row>
    <row r="10" spans="1:23" x14ac:dyDescent="0.25">
      <c r="A10" s="111" t="s">
        <v>157</v>
      </c>
      <c r="B10" s="274" t="s">
        <v>158</v>
      </c>
      <c r="C10" s="274"/>
      <c r="D10" s="112" t="s">
        <v>156</v>
      </c>
      <c r="E10" s="113">
        <f>E9*4.36%</f>
        <v>3.5551440000000001E-3</v>
      </c>
      <c r="F10" s="113">
        <f>F9*4.36%</f>
        <v>2.944744E-3</v>
      </c>
      <c r="G10" s="114">
        <f>G9*4.36%</f>
        <v>2.4215439999999999E-3</v>
      </c>
      <c r="H10" s="115">
        <f t="shared" ref="H10:H73" si="0">SUM(E10:G10)</f>
        <v>8.921432E-3</v>
      </c>
      <c r="I10" s="113">
        <f>I9*4.36%</f>
        <v>2.5959439999999998E-3</v>
      </c>
      <c r="J10" s="113">
        <v>0</v>
      </c>
      <c r="K10" s="114">
        <v>0</v>
      </c>
      <c r="L10" s="115">
        <f t="shared" ref="L10:L73" si="1">SUM(I10:K10)</f>
        <v>2.5959439999999998E-3</v>
      </c>
      <c r="M10" s="115">
        <f t="shared" ref="M10:M73" si="2">L10+H10</f>
        <v>1.1517375999999999E-2</v>
      </c>
      <c r="N10" s="113">
        <v>0</v>
      </c>
      <c r="O10" s="113">
        <v>0</v>
      </c>
      <c r="P10" s="114">
        <v>0</v>
      </c>
      <c r="Q10" s="115">
        <f t="shared" ref="Q10:Q73" si="3">SUM(N10:P10)</f>
        <v>0</v>
      </c>
      <c r="R10" s="116">
        <f t="shared" ref="R10:R73" si="4">Q10+M10</f>
        <v>1.1517375999999999E-2</v>
      </c>
      <c r="S10" s="113">
        <f>S9*4.36%</f>
        <v>1.3079999999999999E-3</v>
      </c>
      <c r="T10" s="113">
        <f>T9*4.36%</f>
        <v>2.4215439999999999E-3</v>
      </c>
      <c r="U10" s="114">
        <f>U9*4.36%</f>
        <v>2.5087439999999998E-3</v>
      </c>
      <c r="V10" s="115">
        <f t="shared" ref="V10:V73" si="5">SUM(S10:U10)</f>
        <v>6.2382879999999998E-3</v>
      </c>
      <c r="W10" s="117">
        <f t="shared" ref="W10:W73" si="6">V10+R10</f>
        <v>1.7755663999999997E-2</v>
      </c>
    </row>
    <row r="11" spans="1:23" x14ac:dyDescent="0.25">
      <c r="A11" s="118" t="s">
        <v>159</v>
      </c>
      <c r="B11" s="275" t="s">
        <v>160</v>
      </c>
      <c r="C11" s="276"/>
      <c r="D11" s="112" t="s">
        <v>156</v>
      </c>
      <c r="E11" s="116">
        <f>E9-E10</f>
        <v>7.7984856000000005E-2</v>
      </c>
      <c r="F11" s="116">
        <f>F9-F10</f>
        <v>6.4595256000000004E-2</v>
      </c>
      <c r="G11" s="116">
        <f>G9-G10</f>
        <v>5.3118456000000001E-2</v>
      </c>
      <c r="H11" s="116">
        <f t="shared" si="0"/>
        <v>0.19569856800000002</v>
      </c>
      <c r="I11" s="116">
        <f>I9-I10</f>
        <v>5.6944055999999993E-2</v>
      </c>
      <c r="J11" s="116">
        <f>J14+J12</f>
        <v>0</v>
      </c>
      <c r="K11" s="116">
        <f>K14+K12</f>
        <v>0</v>
      </c>
      <c r="L11" s="116">
        <f t="shared" si="1"/>
        <v>5.6944055999999993E-2</v>
      </c>
      <c r="M11" s="116">
        <f t="shared" si="2"/>
        <v>0.25264262400000004</v>
      </c>
      <c r="N11" s="116">
        <v>0</v>
      </c>
      <c r="O11" s="116">
        <v>0</v>
      </c>
      <c r="P11" s="116">
        <v>0</v>
      </c>
      <c r="Q11" s="116">
        <f t="shared" si="3"/>
        <v>0</v>
      </c>
      <c r="R11" s="116">
        <f t="shared" si="4"/>
        <v>0.25264262400000004</v>
      </c>
      <c r="S11" s="116">
        <f>S9-S10</f>
        <v>2.8691999999999999E-2</v>
      </c>
      <c r="T11" s="116">
        <f>T9-T10</f>
        <v>5.3118456000000001E-2</v>
      </c>
      <c r="U11" s="116">
        <f>U9-U10</f>
        <v>5.5031256000000001E-2</v>
      </c>
      <c r="V11" s="116">
        <f t="shared" si="5"/>
        <v>0.136841712</v>
      </c>
      <c r="W11" s="119">
        <f t="shared" si="6"/>
        <v>0.38948433600000004</v>
      </c>
    </row>
    <row r="12" spans="1:23" x14ac:dyDescent="0.25">
      <c r="A12" s="111" t="s">
        <v>161</v>
      </c>
      <c r="B12" s="277" t="s">
        <v>162</v>
      </c>
      <c r="C12" s="278"/>
      <c r="D12" s="112" t="s">
        <v>156</v>
      </c>
      <c r="E12" s="120">
        <f>E11*8%</f>
        <v>6.2387884800000001E-3</v>
      </c>
      <c r="F12" s="120">
        <f>F11*8%</f>
        <v>5.1676204800000002E-3</v>
      </c>
      <c r="G12" s="120">
        <f>G11*8%</f>
        <v>4.2494764800000001E-3</v>
      </c>
      <c r="H12" s="121">
        <f t="shared" si="0"/>
        <v>1.565588544E-2</v>
      </c>
      <c r="I12" s="120">
        <f>I11*8%</f>
        <v>4.5555244799999998E-3</v>
      </c>
      <c r="J12" s="120">
        <v>0</v>
      </c>
      <c r="K12" s="120">
        <v>0</v>
      </c>
      <c r="L12" s="115">
        <f t="shared" si="1"/>
        <v>4.5555244799999998E-3</v>
      </c>
      <c r="M12" s="115">
        <f t="shared" si="2"/>
        <v>2.0211409919999999E-2</v>
      </c>
      <c r="N12" s="120">
        <v>0</v>
      </c>
      <c r="O12" s="120">
        <v>0</v>
      </c>
      <c r="P12" s="120">
        <v>0</v>
      </c>
      <c r="Q12" s="115">
        <f t="shared" si="3"/>
        <v>0</v>
      </c>
      <c r="R12" s="116">
        <f t="shared" si="4"/>
        <v>2.0211409919999999E-2</v>
      </c>
      <c r="S12" s="120">
        <f>S11*8%</f>
        <v>2.2953599999999998E-3</v>
      </c>
      <c r="T12" s="120">
        <f>T11*8%</f>
        <v>4.2494764800000001E-3</v>
      </c>
      <c r="U12" s="120">
        <f>U11*8%</f>
        <v>4.40250048E-3</v>
      </c>
      <c r="V12" s="115">
        <f t="shared" si="5"/>
        <v>1.094733696E-2</v>
      </c>
      <c r="W12" s="117">
        <f t="shared" si="6"/>
        <v>3.1158746879999998E-2</v>
      </c>
    </row>
    <row r="13" spans="1:23" x14ac:dyDescent="0.25">
      <c r="A13" s="111" t="s">
        <v>163</v>
      </c>
      <c r="B13" s="277" t="s">
        <v>164</v>
      </c>
      <c r="C13" s="278"/>
      <c r="D13" s="112" t="s">
        <v>156</v>
      </c>
      <c r="E13" s="116">
        <v>6.0999999999999999E-2</v>
      </c>
      <c r="F13" s="116">
        <v>4.9000000000000002E-2</v>
      </c>
      <c r="G13" s="116">
        <v>3.7999999999999999E-2</v>
      </c>
      <c r="H13" s="116">
        <f t="shared" si="0"/>
        <v>0.14799999999999999</v>
      </c>
      <c r="I13" s="116">
        <f>I11-I12</f>
        <v>5.238853151999999E-2</v>
      </c>
      <c r="J13" s="116"/>
      <c r="K13" s="116"/>
      <c r="L13" s="121">
        <f t="shared" si="1"/>
        <v>5.238853151999999E-2</v>
      </c>
      <c r="M13" s="121">
        <f t="shared" si="2"/>
        <v>0.20038853151999997</v>
      </c>
      <c r="N13" s="116"/>
      <c r="O13" s="116"/>
      <c r="P13" s="116"/>
      <c r="Q13" s="121">
        <f t="shared" si="3"/>
        <v>0</v>
      </c>
      <c r="R13" s="121">
        <f t="shared" si="4"/>
        <v>0.20038853151999997</v>
      </c>
      <c r="S13" s="116">
        <f>S11-S12</f>
        <v>2.6396639999999999E-2</v>
      </c>
      <c r="T13" s="116">
        <f>T11-T12</f>
        <v>4.8868979520000001E-2</v>
      </c>
      <c r="U13" s="116">
        <v>8.1000000000000003E-2</v>
      </c>
      <c r="V13" s="116">
        <f>SUM(S13:U13)</f>
        <v>0.15626561952000001</v>
      </c>
      <c r="W13" s="119">
        <f>V13+R13</f>
        <v>0.35665415103999998</v>
      </c>
    </row>
    <row r="14" spans="1:23" x14ac:dyDescent="0.25">
      <c r="A14" s="118" t="s">
        <v>165</v>
      </c>
      <c r="B14" s="275" t="s">
        <v>166</v>
      </c>
      <c r="C14" s="276"/>
      <c r="D14" s="112" t="s">
        <v>156</v>
      </c>
      <c r="E14" s="116">
        <v>6.0999999999999999E-2</v>
      </c>
      <c r="F14" s="116">
        <v>4.9000000000000002E-2</v>
      </c>
      <c r="G14" s="116">
        <v>3.7999999999999999E-2</v>
      </c>
      <c r="H14" s="116">
        <f t="shared" si="0"/>
        <v>0.14799999999999999</v>
      </c>
      <c r="I14" s="116">
        <f>I15+I16</f>
        <v>5.238853151999999E-2</v>
      </c>
      <c r="J14" s="116">
        <v>0</v>
      </c>
      <c r="K14" s="116">
        <v>0</v>
      </c>
      <c r="L14" s="116">
        <f t="shared" si="1"/>
        <v>5.238853151999999E-2</v>
      </c>
      <c r="M14" s="116">
        <f t="shared" si="2"/>
        <v>0.20038853151999997</v>
      </c>
      <c r="N14" s="116">
        <v>0</v>
      </c>
      <c r="O14" s="116">
        <v>0</v>
      </c>
      <c r="P14" s="116">
        <v>0</v>
      </c>
      <c r="Q14" s="116">
        <f t="shared" si="3"/>
        <v>0</v>
      </c>
      <c r="R14" s="116">
        <f t="shared" si="4"/>
        <v>0.20038853151999997</v>
      </c>
      <c r="S14" s="116">
        <f>S15+S16</f>
        <v>2.6396639999999999E-2</v>
      </c>
      <c r="T14" s="116">
        <f>T15+T16</f>
        <v>4.8868979520000001E-2</v>
      </c>
      <c r="U14" s="116">
        <f>U15+U16</f>
        <v>8.0628755519999998E-2</v>
      </c>
      <c r="V14" s="116">
        <f t="shared" si="5"/>
        <v>0.15589437503999998</v>
      </c>
      <c r="W14" s="116">
        <f t="shared" si="6"/>
        <v>0.35628290655999995</v>
      </c>
    </row>
    <row r="15" spans="1:23" x14ac:dyDescent="0.25">
      <c r="A15" s="122" t="s">
        <v>167</v>
      </c>
      <c r="B15" s="274" t="s">
        <v>168</v>
      </c>
      <c r="C15" s="274"/>
      <c r="D15" s="112" t="s">
        <v>156</v>
      </c>
      <c r="E15" s="113">
        <v>0</v>
      </c>
      <c r="F15" s="113">
        <v>0</v>
      </c>
      <c r="G15" s="114">
        <v>0</v>
      </c>
      <c r="H15" s="115">
        <f t="shared" si="0"/>
        <v>0</v>
      </c>
      <c r="I15" s="113">
        <v>0</v>
      </c>
      <c r="J15" s="113">
        <v>0</v>
      </c>
      <c r="K15" s="114">
        <v>0</v>
      </c>
      <c r="L15" s="115">
        <f t="shared" si="1"/>
        <v>0</v>
      </c>
      <c r="M15" s="115">
        <f t="shared" si="2"/>
        <v>0</v>
      </c>
      <c r="N15" s="113">
        <v>0</v>
      </c>
      <c r="O15" s="113">
        <v>0</v>
      </c>
      <c r="P15" s="113">
        <v>0</v>
      </c>
      <c r="Q15" s="115">
        <f t="shared" si="3"/>
        <v>0</v>
      </c>
      <c r="R15" s="115">
        <f t="shared" si="4"/>
        <v>0</v>
      </c>
      <c r="S15" s="113">
        <v>0</v>
      </c>
      <c r="T15" s="113">
        <v>0</v>
      </c>
      <c r="U15" s="114">
        <v>0</v>
      </c>
      <c r="V15" s="115">
        <f t="shared" si="5"/>
        <v>0</v>
      </c>
      <c r="W15" s="117">
        <f t="shared" si="6"/>
        <v>0</v>
      </c>
    </row>
    <row r="16" spans="1:23" x14ac:dyDescent="0.25">
      <c r="A16" s="122" t="s">
        <v>169</v>
      </c>
      <c r="B16" s="274" t="s">
        <v>170</v>
      </c>
      <c r="C16" s="274"/>
      <c r="D16" s="112" t="s">
        <v>156</v>
      </c>
      <c r="E16" s="120">
        <f t="shared" ref="E16:U16" si="7">E17+E18+E19</f>
        <v>6.0999999999999999E-2</v>
      </c>
      <c r="F16" s="120">
        <f t="shared" si="7"/>
        <v>4.9000000000000002E-2</v>
      </c>
      <c r="G16" s="120">
        <f t="shared" si="7"/>
        <v>3.7999999999999999E-2</v>
      </c>
      <c r="H16" s="120">
        <f t="shared" si="0"/>
        <v>0.14799999999999999</v>
      </c>
      <c r="I16" s="120">
        <f t="shared" si="7"/>
        <v>5.238853151999999E-2</v>
      </c>
      <c r="J16" s="120">
        <f t="shared" si="7"/>
        <v>0</v>
      </c>
      <c r="K16" s="120">
        <v>0</v>
      </c>
      <c r="L16" s="120">
        <f t="shared" si="1"/>
        <v>5.238853151999999E-2</v>
      </c>
      <c r="M16" s="120">
        <f t="shared" si="2"/>
        <v>0.20038853151999997</v>
      </c>
      <c r="N16" s="120">
        <v>0</v>
      </c>
      <c r="O16" s="120">
        <v>0</v>
      </c>
      <c r="P16" s="120">
        <f t="shared" si="7"/>
        <v>0</v>
      </c>
      <c r="Q16" s="120">
        <f t="shared" si="3"/>
        <v>0</v>
      </c>
      <c r="R16" s="120">
        <f t="shared" si="4"/>
        <v>0.20038853151999997</v>
      </c>
      <c r="S16" s="120">
        <f t="shared" si="7"/>
        <v>2.6396639999999999E-2</v>
      </c>
      <c r="T16" s="120">
        <f t="shared" si="7"/>
        <v>4.8868979520000001E-2</v>
      </c>
      <c r="U16" s="120">
        <f t="shared" si="7"/>
        <v>8.0628755519999998E-2</v>
      </c>
      <c r="V16" s="120">
        <f t="shared" si="5"/>
        <v>0.15589437503999998</v>
      </c>
      <c r="W16" s="120">
        <f t="shared" si="6"/>
        <v>0.35628290655999995</v>
      </c>
    </row>
    <row r="17" spans="1:23" x14ac:dyDescent="0.25">
      <c r="A17" s="122" t="s">
        <v>171</v>
      </c>
      <c r="B17" s="277" t="s">
        <v>172</v>
      </c>
      <c r="C17" s="278"/>
      <c r="D17" s="112" t="s">
        <v>156</v>
      </c>
      <c r="E17" s="113">
        <v>6.0999999999999999E-2</v>
      </c>
      <c r="F17" s="113">
        <v>4.9000000000000002E-2</v>
      </c>
      <c r="G17" s="114">
        <v>3.7999999999999999E-2</v>
      </c>
      <c r="H17" s="115">
        <f t="shared" si="0"/>
        <v>0.14799999999999999</v>
      </c>
      <c r="I17" s="113">
        <v>5.238853151999999E-2</v>
      </c>
      <c r="J17" s="113">
        <v>0</v>
      </c>
      <c r="K17" s="114">
        <v>0</v>
      </c>
      <c r="L17" s="115">
        <f t="shared" si="1"/>
        <v>5.238853151999999E-2</v>
      </c>
      <c r="M17" s="115">
        <f t="shared" si="2"/>
        <v>0.20038853151999997</v>
      </c>
      <c r="N17" s="113">
        <v>0</v>
      </c>
      <c r="O17" s="113">
        <v>0</v>
      </c>
      <c r="P17" s="113">
        <v>0</v>
      </c>
      <c r="Q17" s="115">
        <f t="shared" si="3"/>
        <v>0</v>
      </c>
      <c r="R17" s="115">
        <f t="shared" si="4"/>
        <v>0.20038853151999997</v>
      </c>
      <c r="S17" s="113">
        <v>2.6396639999999999E-2</v>
      </c>
      <c r="T17" s="113">
        <v>4.8868979520000001E-2</v>
      </c>
      <c r="U17" s="114">
        <f>0.05062875552+0.03</f>
        <v>8.0628755519999998E-2</v>
      </c>
      <c r="V17" s="115">
        <f t="shared" si="5"/>
        <v>0.15589437503999998</v>
      </c>
      <c r="W17" s="117">
        <f t="shared" si="6"/>
        <v>0.35628290655999995</v>
      </c>
    </row>
    <row r="18" spans="1:23" x14ac:dyDescent="0.25">
      <c r="A18" s="122" t="s">
        <v>173</v>
      </c>
      <c r="B18" s="277" t="s">
        <v>174</v>
      </c>
      <c r="C18" s="278"/>
      <c r="D18" s="112" t="s">
        <v>156</v>
      </c>
      <c r="E18" s="113">
        <v>0</v>
      </c>
      <c r="F18" s="113">
        <v>0</v>
      </c>
      <c r="G18" s="114">
        <v>0</v>
      </c>
      <c r="H18" s="115">
        <f t="shared" si="0"/>
        <v>0</v>
      </c>
      <c r="I18" s="113">
        <v>0</v>
      </c>
      <c r="J18" s="113">
        <v>0</v>
      </c>
      <c r="K18" s="114">
        <v>0</v>
      </c>
      <c r="L18" s="115">
        <f t="shared" si="1"/>
        <v>0</v>
      </c>
      <c r="M18" s="115">
        <f t="shared" si="2"/>
        <v>0</v>
      </c>
      <c r="N18" s="113">
        <v>0</v>
      </c>
      <c r="O18" s="113">
        <v>0</v>
      </c>
      <c r="P18" s="113">
        <v>0</v>
      </c>
      <c r="Q18" s="115">
        <f t="shared" si="3"/>
        <v>0</v>
      </c>
      <c r="R18" s="115">
        <f t="shared" si="4"/>
        <v>0</v>
      </c>
      <c r="S18" s="113">
        <v>0</v>
      </c>
      <c r="T18" s="113">
        <v>0</v>
      </c>
      <c r="U18" s="114">
        <v>0</v>
      </c>
      <c r="V18" s="115">
        <f t="shared" si="5"/>
        <v>0</v>
      </c>
      <c r="W18" s="117">
        <f t="shared" si="6"/>
        <v>0</v>
      </c>
    </row>
    <row r="19" spans="1:23" x14ac:dyDescent="0.25">
      <c r="A19" s="122" t="s">
        <v>175</v>
      </c>
      <c r="B19" s="277" t="s">
        <v>176</v>
      </c>
      <c r="C19" s="278"/>
      <c r="D19" s="112" t="s">
        <v>156</v>
      </c>
      <c r="E19" s="113">
        <v>0</v>
      </c>
      <c r="F19" s="113">
        <v>0</v>
      </c>
      <c r="G19" s="114">
        <v>0</v>
      </c>
      <c r="H19" s="115">
        <f t="shared" si="0"/>
        <v>0</v>
      </c>
      <c r="I19" s="113">
        <v>0</v>
      </c>
      <c r="J19" s="113">
        <v>0</v>
      </c>
      <c r="K19" s="114">
        <v>0</v>
      </c>
      <c r="L19" s="115">
        <f t="shared" si="1"/>
        <v>0</v>
      </c>
      <c r="M19" s="115">
        <f t="shared" si="2"/>
        <v>0</v>
      </c>
      <c r="N19" s="113">
        <v>0</v>
      </c>
      <c r="O19" s="113">
        <v>0</v>
      </c>
      <c r="P19" s="113">
        <v>0</v>
      </c>
      <c r="Q19" s="115">
        <f t="shared" si="3"/>
        <v>0</v>
      </c>
      <c r="R19" s="115">
        <f t="shared" si="4"/>
        <v>0</v>
      </c>
      <c r="S19" s="113">
        <v>0</v>
      </c>
      <c r="T19" s="113">
        <v>0</v>
      </c>
      <c r="U19" s="114">
        <v>0</v>
      </c>
      <c r="V19" s="115">
        <f t="shared" si="5"/>
        <v>0</v>
      </c>
      <c r="W19" s="117">
        <f t="shared" si="6"/>
        <v>0</v>
      </c>
    </row>
    <row r="20" spans="1:23" ht="15.75" thickBot="1" x14ac:dyDescent="0.3">
      <c r="A20" s="123" t="s">
        <v>177</v>
      </c>
      <c r="B20" s="272" t="s">
        <v>178</v>
      </c>
      <c r="C20" s="272"/>
      <c r="D20" s="112" t="s">
        <v>156</v>
      </c>
      <c r="E20" s="124">
        <v>0</v>
      </c>
      <c r="F20" s="124">
        <v>0</v>
      </c>
      <c r="G20" s="124">
        <v>0</v>
      </c>
      <c r="H20" s="125">
        <f t="shared" si="0"/>
        <v>0</v>
      </c>
      <c r="I20" s="124">
        <v>0</v>
      </c>
      <c r="J20" s="124">
        <v>0</v>
      </c>
      <c r="K20" s="124">
        <f>K14-K15-K16</f>
        <v>0</v>
      </c>
      <c r="L20" s="125">
        <f t="shared" si="1"/>
        <v>0</v>
      </c>
      <c r="M20" s="125">
        <f t="shared" si="2"/>
        <v>0</v>
      </c>
      <c r="N20" s="124">
        <f>N14-N15-N16</f>
        <v>0</v>
      </c>
      <c r="O20" s="124">
        <f>O14-O15-O16</f>
        <v>0</v>
      </c>
      <c r="P20" s="124">
        <f>P14-P15-P16</f>
        <v>0</v>
      </c>
      <c r="Q20" s="125">
        <f t="shared" si="3"/>
        <v>0</v>
      </c>
      <c r="R20" s="125">
        <f t="shared" si="4"/>
        <v>0</v>
      </c>
      <c r="S20" s="124">
        <v>0</v>
      </c>
      <c r="T20" s="124">
        <v>0</v>
      </c>
      <c r="U20" s="124">
        <v>0</v>
      </c>
      <c r="V20" s="125">
        <f t="shared" si="5"/>
        <v>0</v>
      </c>
      <c r="W20" s="126">
        <f t="shared" si="6"/>
        <v>0</v>
      </c>
    </row>
    <row r="21" spans="1:23" ht="15.75" thickBot="1" x14ac:dyDescent="0.3">
      <c r="A21" s="127" t="s">
        <v>179</v>
      </c>
      <c r="B21" s="281" t="s">
        <v>34</v>
      </c>
      <c r="C21" s="128" t="s">
        <v>180</v>
      </c>
      <c r="D21" s="129" t="s">
        <v>181</v>
      </c>
      <c r="E21" s="130">
        <f>E9*77.13</f>
        <v>6.2891801999999997</v>
      </c>
      <c r="F21" s="130">
        <f>F9*77.13</f>
        <v>5.2093601999999999</v>
      </c>
      <c r="G21" s="114">
        <f>G9*77.13</f>
        <v>4.2838001999999999</v>
      </c>
      <c r="H21" s="125">
        <f t="shared" si="0"/>
        <v>15.782340599999999</v>
      </c>
      <c r="I21" s="130">
        <f>I9*77.13</f>
        <v>4.5923201999999996</v>
      </c>
      <c r="J21" s="130">
        <v>0</v>
      </c>
      <c r="K21" s="114">
        <v>0</v>
      </c>
      <c r="L21" s="125">
        <f t="shared" si="1"/>
        <v>4.5923201999999996</v>
      </c>
      <c r="M21" s="131">
        <f t="shared" si="2"/>
        <v>20.374660800000001</v>
      </c>
      <c r="N21" s="130">
        <v>0</v>
      </c>
      <c r="O21" s="130">
        <v>0</v>
      </c>
      <c r="P21" s="130">
        <v>0</v>
      </c>
      <c r="Q21" s="125">
        <f t="shared" si="3"/>
        <v>0</v>
      </c>
      <c r="R21" s="131">
        <f t="shared" si="4"/>
        <v>20.374660800000001</v>
      </c>
      <c r="S21" s="130">
        <f>S9*77.13-0.047</f>
        <v>2.2668999999999997</v>
      </c>
      <c r="T21" s="130">
        <f>T9*77.13</f>
        <v>4.2838001999999999</v>
      </c>
      <c r="U21" s="114">
        <f>U9*77.13</f>
        <v>4.4380601999999998</v>
      </c>
      <c r="V21" s="125">
        <f t="shared" si="5"/>
        <v>10.9887604</v>
      </c>
      <c r="W21" s="131">
        <f t="shared" si="6"/>
        <v>31.363421200000001</v>
      </c>
    </row>
    <row r="22" spans="1:23" ht="15.75" thickBot="1" x14ac:dyDescent="0.3">
      <c r="A22" s="132" t="s">
        <v>182</v>
      </c>
      <c r="B22" s="282"/>
      <c r="C22" s="133" t="s">
        <v>183</v>
      </c>
      <c r="D22" s="134" t="s">
        <v>184</v>
      </c>
      <c r="E22" s="135">
        <v>5.89</v>
      </c>
      <c r="F22" s="135">
        <v>5.89</v>
      </c>
      <c r="G22" s="135">
        <v>5.89</v>
      </c>
      <c r="H22" s="135">
        <v>5.89</v>
      </c>
      <c r="I22" s="135">
        <v>5.89</v>
      </c>
      <c r="J22" s="135">
        <v>5.89</v>
      </c>
      <c r="K22" s="135">
        <v>5.89</v>
      </c>
      <c r="L22" s="135">
        <v>5.89</v>
      </c>
      <c r="M22" s="135">
        <v>5.89</v>
      </c>
      <c r="N22" s="135">
        <v>5.89</v>
      </c>
      <c r="O22" s="135">
        <v>5.89</v>
      </c>
      <c r="P22" s="135">
        <v>5.89</v>
      </c>
      <c r="Q22" s="135">
        <v>5.89</v>
      </c>
      <c r="R22" s="136">
        <v>5.89</v>
      </c>
      <c r="S22" s="135">
        <v>5.89</v>
      </c>
      <c r="T22" s="135">
        <v>5.89</v>
      </c>
      <c r="U22" s="135">
        <v>5.89</v>
      </c>
      <c r="V22" s="136">
        <v>5.89</v>
      </c>
      <c r="W22" s="136">
        <v>5.89</v>
      </c>
    </row>
    <row r="23" spans="1:23" ht="45" x14ac:dyDescent="0.25">
      <c r="A23" s="127" t="s">
        <v>185</v>
      </c>
      <c r="B23" s="283" t="s">
        <v>186</v>
      </c>
      <c r="C23" s="128" t="s">
        <v>187</v>
      </c>
      <c r="D23" s="129" t="s">
        <v>188</v>
      </c>
      <c r="E23" s="137">
        <f>((E9*238.1*0.001)/0.365)*1000</f>
        <v>53.190887671232886</v>
      </c>
      <c r="F23" s="137">
        <f>((F9*238.1*0.001)/0.365)*1000</f>
        <v>44.058284931506847</v>
      </c>
      <c r="G23" s="138">
        <f>((G9*238.1*0.001)/0.365)*1000</f>
        <v>36.230339726027395</v>
      </c>
      <c r="H23" s="139">
        <f t="shared" si="0"/>
        <v>133.47951232876713</v>
      </c>
      <c r="I23" s="130">
        <f>((I9*238.1*0.001)/0.365)*1000</f>
        <v>38.839654794520548</v>
      </c>
      <c r="J23" s="130">
        <f>((J9*238.1*0.001)/0.365)*1000</f>
        <v>0</v>
      </c>
      <c r="K23" s="140">
        <f>((K9*238.1*0.001)/0.365)*1000</f>
        <v>0</v>
      </c>
      <c r="L23" s="139">
        <f t="shared" si="1"/>
        <v>38.839654794520548</v>
      </c>
      <c r="M23" s="131">
        <f t="shared" si="2"/>
        <v>172.31916712328768</v>
      </c>
      <c r="N23" s="130">
        <f>((N9*238.1*0.001)/0.365)*1000</f>
        <v>0</v>
      </c>
      <c r="O23" s="130">
        <f>((O9*238.1*0.001)/0.365)*1000</f>
        <v>0</v>
      </c>
      <c r="P23" s="130">
        <f>((P9*238.1*0.001)/0.365)*1000</f>
        <v>0</v>
      </c>
      <c r="Q23" s="139">
        <f t="shared" si="3"/>
        <v>0</v>
      </c>
      <c r="R23" s="131">
        <f t="shared" si="4"/>
        <v>172.31916712328768</v>
      </c>
      <c r="S23" s="130">
        <f>((S9*238.1*0.001)/0.365)*1000</f>
        <v>19.569863013698633</v>
      </c>
      <c r="T23" s="130">
        <f>((T9*238.1*0.001)/0.365)*1000</f>
        <v>36.230339726027395</v>
      </c>
      <c r="U23" s="140">
        <f>((U9*238.1*0.001)/0.365)*1000-0.26</f>
        <v>37.274997260273977</v>
      </c>
      <c r="V23" s="131">
        <f t="shared" si="5"/>
        <v>93.075200000000009</v>
      </c>
      <c r="W23" s="131">
        <f t="shared" si="6"/>
        <v>265.39436712328768</v>
      </c>
    </row>
    <row r="24" spans="1:23" ht="15.75" thickBot="1" x14ac:dyDescent="0.3">
      <c r="A24" s="111" t="s">
        <v>189</v>
      </c>
      <c r="B24" s="284"/>
      <c r="C24" s="141" t="s">
        <v>183</v>
      </c>
      <c r="D24" s="142" t="s">
        <v>190</v>
      </c>
      <c r="E24" s="143">
        <v>2461.25</v>
      </c>
      <c r="F24" s="143">
        <v>2461.25</v>
      </c>
      <c r="G24" s="143">
        <v>2461.25</v>
      </c>
      <c r="H24" s="143">
        <v>2461.25</v>
      </c>
      <c r="I24" s="143">
        <v>2461.25</v>
      </c>
      <c r="J24" s="143">
        <v>2461.25</v>
      </c>
      <c r="K24" s="143">
        <v>2461.25</v>
      </c>
      <c r="L24" s="143">
        <v>2461.25</v>
      </c>
      <c r="M24" s="143">
        <v>2461.25</v>
      </c>
      <c r="N24" s="143">
        <v>2461.25</v>
      </c>
      <c r="O24" s="143">
        <v>2461.25</v>
      </c>
      <c r="P24" s="143">
        <v>2461.25</v>
      </c>
      <c r="Q24" s="143">
        <v>2461.25</v>
      </c>
      <c r="R24" s="143">
        <v>2461.25</v>
      </c>
      <c r="S24" s="143">
        <v>2461.25</v>
      </c>
      <c r="T24" s="143">
        <v>2461.25</v>
      </c>
      <c r="U24" s="143">
        <v>2461.25</v>
      </c>
      <c r="V24" s="143">
        <v>2461.25</v>
      </c>
      <c r="W24" s="143">
        <v>2461.25</v>
      </c>
    </row>
    <row r="25" spans="1:23" ht="45.75" thickBot="1" x14ac:dyDescent="0.3">
      <c r="A25" s="144" t="s">
        <v>191</v>
      </c>
      <c r="B25" s="285"/>
      <c r="C25" s="145" t="s">
        <v>192</v>
      </c>
      <c r="D25" s="146" t="s">
        <v>193</v>
      </c>
      <c r="E25" s="147"/>
      <c r="F25" s="147"/>
      <c r="G25" s="148"/>
      <c r="H25" s="131">
        <f t="shared" si="0"/>
        <v>0</v>
      </c>
      <c r="I25" s="147"/>
      <c r="J25" s="147"/>
      <c r="K25" s="148"/>
      <c r="L25" s="149">
        <f t="shared" si="1"/>
        <v>0</v>
      </c>
      <c r="M25" s="131">
        <f t="shared" si="2"/>
        <v>0</v>
      </c>
      <c r="N25" s="147"/>
      <c r="O25" s="147"/>
      <c r="P25" s="147">
        <v>0</v>
      </c>
      <c r="Q25" s="149">
        <f t="shared" si="3"/>
        <v>0</v>
      </c>
      <c r="R25" s="131">
        <f t="shared" si="4"/>
        <v>0</v>
      </c>
      <c r="S25" s="147"/>
      <c r="T25" s="147"/>
      <c r="U25" s="148"/>
      <c r="V25" s="149">
        <f t="shared" si="5"/>
        <v>0</v>
      </c>
      <c r="W25" s="131">
        <f t="shared" si="6"/>
        <v>0</v>
      </c>
    </row>
    <row r="26" spans="1:23" ht="60" x14ac:dyDescent="0.25">
      <c r="A26" s="150" t="s">
        <v>194</v>
      </c>
      <c r="B26" s="286" t="s">
        <v>195</v>
      </c>
      <c r="C26" s="151" t="s">
        <v>196</v>
      </c>
      <c r="D26" s="112" t="s">
        <v>197</v>
      </c>
      <c r="E26" s="152">
        <f>0.73*E9</f>
        <v>5.9524199999999999E-2</v>
      </c>
      <c r="F26" s="152">
        <f>0.73*F9</f>
        <v>4.9304199999999999E-2</v>
      </c>
      <c r="G26" s="114">
        <f>0.73*G9</f>
        <v>4.0544199999999996E-2</v>
      </c>
      <c r="H26" s="153">
        <f t="shared" si="0"/>
        <v>0.14937259999999999</v>
      </c>
      <c r="I26" s="152">
        <f>0.73*I9</f>
        <v>4.3464199999999995E-2</v>
      </c>
      <c r="J26" s="152">
        <f>0.26*J9</f>
        <v>0</v>
      </c>
      <c r="K26" s="114">
        <f>0.26*K9</f>
        <v>0</v>
      </c>
      <c r="L26" s="153">
        <f t="shared" si="1"/>
        <v>4.3464199999999995E-2</v>
      </c>
      <c r="M26" s="131">
        <f t="shared" si="2"/>
        <v>0.19283679999999997</v>
      </c>
      <c r="N26" s="152">
        <f>0.26*N9</f>
        <v>0</v>
      </c>
      <c r="O26" s="152">
        <f>0.26*O9</f>
        <v>0</v>
      </c>
      <c r="P26" s="152">
        <f>0.26*P9</f>
        <v>0</v>
      </c>
      <c r="Q26" s="153">
        <f t="shared" si="3"/>
        <v>0</v>
      </c>
      <c r="R26" s="153">
        <f t="shared" si="4"/>
        <v>0.19283679999999997</v>
      </c>
      <c r="S26" s="152">
        <f>0.73*S9</f>
        <v>2.1899999999999999E-2</v>
      </c>
      <c r="T26" s="152">
        <f>0.73*T9</f>
        <v>4.0544199999999996E-2</v>
      </c>
      <c r="U26" s="114">
        <f>0.73*U9</f>
        <v>4.2004199999999998E-2</v>
      </c>
      <c r="V26" s="153">
        <f t="shared" si="5"/>
        <v>0.1044484</v>
      </c>
      <c r="W26" s="131">
        <f t="shared" si="6"/>
        <v>0.29728519999999997</v>
      </c>
    </row>
    <row r="27" spans="1:23" ht="30" x14ac:dyDescent="0.25">
      <c r="A27" s="150" t="s">
        <v>198</v>
      </c>
      <c r="B27" s="286"/>
      <c r="C27" s="151" t="s">
        <v>199</v>
      </c>
      <c r="D27" s="112" t="s">
        <v>197</v>
      </c>
      <c r="E27" s="152"/>
      <c r="F27" s="152"/>
      <c r="G27" s="114"/>
      <c r="H27" s="153">
        <f t="shared" si="0"/>
        <v>0</v>
      </c>
      <c r="I27" s="152">
        <v>0</v>
      </c>
      <c r="J27" s="152">
        <v>0</v>
      </c>
      <c r="K27" s="114">
        <v>0</v>
      </c>
      <c r="L27" s="153">
        <f t="shared" si="1"/>
        <v>0</v>
      </c>
      <c r="M27" s="153">
        <f t="shared" si="2"/>
        <v>0</v>
      </c>
      <c r="N27" s="152"/>
      <c r="O27" s="152"/>
      <c r="P27" s="152">
        <v>0</v>
      </c>
      <c r="Q27" s="153">
        <f t="shared" si="3"/>
        <v>0</v>
      </c>
      <c r="R27" s="153">
        <f t="shared" si="4"/>
        <v>0</v>
      </c>
      <c r="S27" s="152">
        <v>0</v>
      </c>
      <c r="T27" s="152">
        <v>0</v>
      </c>
      <c r="U27" s="114">
        <f>W27-R27-S27-T27</f>
        <v>0</v>
      </c>
      <c r="V27" s="153">
        <f t="shared" si="5"/>
        <v>0</v>
      </c>
      <c r="W27" s="154"/>
    </row>
    <row r="28" spans="1:23" ht="18" x14ac:dyDescent="0.25">
      <c r="A28" s="150" t="s">
        <v>200</v>
      </c>
      <c r="B28" s="287"/>
      <c r="C28" s="141" t="s">
        <v>183</v>
      </c>
      <c r="D28" s="142" t="s">
        <v>201</v>
      </c>
      <c r="E28" s="113">
        <v>28.67</v>
      </c>
      <c r="F28" s="113">
        <v>28.67</v>
      </c>
      <c r="G28" s="113">
        <v>28.67</v>
      </c>
      <c r="H28" s="113">
        <v>28.67</v>
      </c>
      <c r="I28" s="113">
        <v>28.67</v>
      </c>
      <c r="J28" s="113">
        <v>28.67</v>
      </c>
      <c r="K28" s="113">
        <v>28.67</v>
      </c>
      <c r="L28" s="113">
        <v>28.67</v>
      </c>
      <c r="M28" s="113">
        <v>28.67</v>
      </c>
      <c r="N28" s="113">
        <v>28.67</v>
      </c>
      <c r="O28" s="113">
        <v>28.67</v>
      </c>
      <c r="P28" s="113">
        <v>28.67</v>
      </c>
      <c r="Q28" s="113">
        <v>28.67</v>
      </c>
      <c r="R28" s="113">
        <v>28.67</v>
      </c>
      <c r="S28" s="113">
        <v>28.67</v>
      </c>
      <c r="T28" s="113">
        <v>28.67</v>
      </c>
      <c r="U28" s="113">
        <v>28.67</v>
      </c>
      <c r="V28" s="113">
        <v>28.67</v>
      </c>
      <c r="W28" s="113">
        <v>28.67</v>
      </c>
    </row>
    <row r="29" spans="1:23" x14ac:dyDescent="0.25">
      <c r="A29" s="155" t="s">
        <v>202</v>
      </c>
      <c r="B29" s="156"/>
      <c r="C29" s="157"/>
      <c r="D29" s="158"/>
      <c r="E29" s="159"/>
      <c r="F29" s="159"/>
      <c r="G29" s="159"/>
      <c r="H29" s="160">
        <f t="shared" si="0"/>
        <v>0</v>
      </c>
      <c r="I29" s="159"/>
      <c r="J29" s="159"/>
      <c r="K29" s="159"/>
      <c r="L29" s="160">
        <f t="shared" si="1"/>
        <v>0</v>
      </c>
      <c r="M29" s="160">
        <f t="shared" si="2"/>
        <v>0</v>
      </c>
      <c r="N29" s="161"/>
      <c r="O29" s="159"/>
      <c r="P29" s="159"/>
      <c r="Q29" s="160">
        <f t="shared" si="3"/>
        <v>0</v>
      </c>
      <c r="R29" s="161">
        <f t="shared" si="4"/>
        <v>0</v>
      </c>
      <c r="S29" s="161"/>
      <c r="T29" s="159"/>
      <c r="U29" s="159"/>
      <c r="V29" s="160">
        <f t="shared" si="5"/>
        <v>0</v>
      </c>
      <c r="W29" s="162">
        <f t="shared" si="6"/>
        <v>0</v>
      </c>
    </row>
    <row r="30" spans="1:23" x14ac:dyDescent="0.25">
      <c r="A30" s="111">
        <v>1</v>
      </c>
      <c r="B30" s="288" t="s">
        <v>203</v>
      </c>
      <c r="C30" s="288"/>
      <c r="D30" s="142" t="s">
        <v>204</v>
      </c>
      <c r="E30" s="120">
        <f>E23*E24/1000</f>
        <v>130.91607228082194</v>
      </c>
      <c r="F30" s="120">
        <f>F23*F24/1000</f>
        <v>108.43845378767122</v>
      </c>
      <c r="G30" s="120">
        <f>G23*G24/1000</f>
        <v>89.171923650684931</v>
      </c>
      <c r="H30" s="116">
        <f t="shared" si="0"/>
        <v>328.52644971917812</v>
      </c>
      <c r="I30" s="120">
        <f>I23*I24/1000</f>
        <v>95.594100363013695</v>
      </c>
      <c r="J30" s="120">
        <f>J23*J24/1000</f>
        <v>0</v>
      </c>
      <c r="K30" s="120">
        <f>K23*K24/1000</f>
        <v>0</v>
      </c>
      <c r="L30" s="115">
        <f t="shared" si="1"/>
        <v>95.594100363013695</v>
      </c>
      <c r="M30" s="115">
        <f t="shared" si="2"/>
        <v>424.12055008219181</v>
      </c>
      <c r="N30" s="120">
        <f>N23*N24/1000</f>
        <v>0</v>
      </c>
      <c r="O30" s="120">
        <f>O23*O24/1000</f>
        <v>0</v>
      </c>
      <c r="P30" s="120">
        <f>P23*P24/1000</f>
        <v>0</v>
      </c>
      <c r="Q30" s="115">
        <f t="shared" si="3"/>
        <v>0</v>
      </c>
      <c r="R30" s="115">
        <f t="shared" si="4"/>
        <v>424.12055008219181</v>
      </c>
      <c r="S30" s="120">
        <f>S23*S24/1000</f>
        <v>48.166325342465761</v>
      </c>
      <c r="T30" s="120">
        <f>T23*T24/1000</f>
        <v>89.171923650684931</v>
      </c>
      <c r="U30" s="120">
        <f>U23*U24/1000</f>
        <v>91.743087006849322</v>
      </c>
      <c r="V30" s="116">
        <f t="shared" si="5"/>
        <v>229.08133600000002</v>
      </c>
      <c r="W30" s="117">
        <f t="shared" si="6"/>
        <v>653.20188608219178</v>
      </c>
    </row>
    <row r="31" spans="1:23" x14ac:dyDescent="0.25">
      <c r="A31" s="122" t="s">
        <v>205</v>
      </c>
      <c r="B31" s="289" t="s">
        <v>186</v>
      </c>
      <c r="C31" s="290"/>
      <c r="D31" s="142" t="s">
        <v>204</v>
      </c>
      <c r="E31" s="113">
        <v>130.91607228082194</v>
      </c>
      <c r="F31" s="113">
        <v>108.43845378767122</v>
      </c>
      <c r="G31" s="113">
        <v>89.171923650684931</v>
      </c>
      <c r="H31" s="116">
        <f t="shared" si="0"/>
        <v>328.52644971917812</v>
      </c>
      <c r="I31" s="113">
        <v>95.594100363013695</v>
      </c>
      <c r="J31" s="113">
        <v>0</v>
      </c>
      <c r="K31" s="113">
        <v>0</v>
      </c>
      <c r="L31" s="115">
        <f t="shared" si="1"/>
        <v>95.594100363013695</v>
      </c>
      <c r="M31" s="115">
        <f t="shared" si="2"/>
        <v>424.12055008219181</v>
      </c>
      <c r="N31" s="113">
        <v>0</v>
      </c>
      <c r="O31" s="113">
        <v>0</v>
      </c>
      <c r="P31" s="113">
        <v>0</v>
      </c>
      <c r="Q31" s="115">
        <f t="shared" si="3"/>
        <v>0</v>
      </c>
      <c r="R31" s="115">
        <f t="shared" si="4"/>
        <v>424.12055008219181</v>
      </c>
      <c r="S31" s="113">
        <v>48.166325342465761</v>
      </c>
      <c r="T31" s="113">
        <v>89.171923650684931</v>
      </c>
      <c r="U31" s="113">
        <v>91.743087006849322</v>
      </c>
      <c r="V31" s="116">
        <f t="shared" si="5"/>
        <v>229.08133600000002</v>
      </c>
      <c r="W31" s="117">
        <f t="shared" si="6"/>
        <v>653.20188608219178</v>
      </c>
    </row>
    <row r="32" spans="1:23" x14ac:dyDescent="0.25">
      <c r="A32" s="111">
        <v>2</v>
      </c>
      <c r="B32" s="288" t="s">
        <v>34</v>
      </c>
      <c r="C32" s="288"/>
      <c r="D32" s="142" t="s">
        <v>204</v>
      </c>
      <c r="E32" s="113">
        <f>E21*E22</f>
        <v>37.043271377999993</v>
      </c>
      <c r="F32" s="113">
        <f>F21*F22</f>
        <v>30.683131577999998</v>
      </c>
      <c r="G32" s="114">
        <f>G21*G22</f>
        <v>25.231583177999998</v>
      </c>
      <c r="H32" s="116">
        <f t="shared" si="0"/>
        <v>92.957986133999981</v>
      </c>
      <c r="I32" s="113">
        <f>I21*I22</f>
        <v>27.048765977999995</v>
      </c>
      <c r="J32" s="113">
        <v>0</v>
      </c>
      <c r="K32" s="113">
        <v>0</v>
      </c>
      <c r="L32" s="116">
        <f t="shared" si="1"/>
        <v>27.048765977999995</v>
      </c>
      <c r="M32" s="115">
        <f t="shared" si="2"/>
        <v>120.00675211199997</v>
      </c>
      <c r="N32" s="113">
        <v>0</v>
      </c>
      <c r="O32" s="113">
        <v>0</v>
      </c>
      <c r="P32" s="113">
        <v>0</v>
      </c>
      <c r="Q32" s="116">
        <f t="shared" si="3"/>
        <v>0</v>
      </c>
      <c r="R32" s="115">
        <f t="shared" si="4"/>
        <v>120.00675211199997</v>
      </c>
      <c r="S32" s="113">
        <f>S21*S22</f>
        <v>13.352040999999998</v>
      </c>
      <c r="T32" s="113">
        <f>T21*T22</f>
        <v>25.231583177999998</v>
      </c>
      <c r="U32" s="113">
        <f>U21*U22</f>
        <v>26.140174577999996</v>
      </c>
      <c r="V32" s="116">
        <f t="shared" si="5"/>
        <v>64.723798755999994</v>
      </c>
      <c r="W32" s="117">
        <f t="shared" si="6"/>
        <v>184.73055086799997</v>
      </c>
    </row>
    <row r="33" spans="1:23" x14ac:dyDescent="0.25">
      <c r="A33" s="111">
        <v>3</v>
      </c>
      <c r="B33" s="279" t="s">
        <v>206</v>
      </c>
      <c r="C33" s="280"/>
      <c r="D33" s="142" t="s">
        <v>204</v>
      </c>
      <c r="E33" s="113">
        <v>1.1180000000000001</v>
      </c>
      <c r="F33" s="113">
        <v>1.1180000000000001</v>
      </c>
      <c r="G33" s="114">
        <v>1.1180000000000001</v>
      </c>
      <c r="H33" s="116">
        <f t="shared" si="0"/>
        <v>3.3540000000000001</v>
      </c>
      <c r="I33" s="113">
        <v>1.1180000000000001</v>
      </c>
      <c r="J33" s="113">
        <v>1.1180000000000001</v>
      </c>
      <c r="K33" s="113">
        <v>1.1180000000000001</v>
      </c>
      <c r="L33" s="116">
        <f t="shared" si="1"/>
        <v>3.3540000000000001</v>
      </c>
      <c r="M33" s="115">
        <f t="shared" si="2"/>
        <v>6.7080000000000002</v>
      </c>
      <c r="N33" s="113">
        <v>1.1180000000000001</v>
      </c>
      <c r="O33" s="113">
        <v>1.1180000000000001</v>
      </c>
      <c r="P33" s="113">
        <v>1.1180000000000001</v>
      </c>
      <c r="Q33" s="116">
        <f t="shared" si="3"/>
        <v>3.3540000000000001</v>
      </c>
      <c r="R33" s="115">
        <f t="shared" si="4"/>
        <v>10.062000000000001</v>
      </c>
      <c r="S33" s="113">
        <v>1.1180000000000001</v>
      </c>
      <c r="T33" s="113">
        <v>1.1180000000000001</v>
      </c>
      <c r="U33" s="113">
        <v>1.1180000000000001</v>
      </c>
      <c r="V33" s="116">
        <f t="shared" si="5"/>
        <v>3.3540000000000001</v>
      </c>
      <c r="W33" s="117">
        <f t="shared" si="6"/>
        <v>13.416</v>
      </c>
    </row>
    <row r="34" spans="1:23" x14ac:dyDescent="0.25">
      <c r="A34" s="111">
        <v>4</v>
      </c>
      <c r="B34" s="288" t="s">
        <v>207</v>
      </c>
      <c r="C34" s="288"/>
      <c r="D34" s="142" t="s">
        <v>204</v>
      </c>
      <c r="E34" s="113"/>
      <c r="F34" s="113"/>
      <c r="G34" s="114"/>
      <c r="H34" s="116">
        <f t="shared" si="0"/>
        <v>0</v>
      </c>
      <c r="I34" s="113"/>
      <c r="J34" s="113"/>
      <c r="K34" s="113"/>
      <c r="L34" s="116">
        <f t="shared" si="1"/>
        <v>0</v>
      </c>
      <c r="M34" s="115">
        <f t="shared" si="2"/>
        <v>0</v>
      </c>
      <c r="N34" s="113"/>
      <c r="O34" s="113"/>
      <c r="P34" s="113"/>
      <c r="Q34" s="116">
        <f t="shared" si="3"/>
        <v>0</v>
      </c>
      <c r="R34" s="115">
        <f t="shared" si="4"/>
        <v>0</v>
      </c>
      <c r="S34" s="113"/>
      <c r="T34" s="113"/>
      <c r="U34" s="113"/>
      <c r="V34" s="116">
        <f t="shared" si="5"/>
        <v>0</v>
      </c>
      <c r="W34" s="117">
        <f t="shared" si="6"/>
        <v>0</v>
      </c>
    </row>
    <row r="35" spans="1:23" x14ac:dyDescent="0.25">
      <c r="A35" s="111">
        <v>5</v>
      </c>
      <c r="B35" s="288" t="s">
        <v>208</v>
      </c>
      <c r="C35" s="288"/>
      <c r="D35" s="142" t="s">
        <v>204</v>
      </c>
      <c r="E35" s="113">
        <f>E36+E37</f>
        <v>103.26249799999999</v>
      </c>
      <c r="F35" s="113">
        <f>F36+F37</f>
        <v>96.430930000000004</v>
      </c>
      <c r="G35" s="114">
        <f>G36+G37</f>
        <v>96.430930000000004</v>
      </c>
      <c r="H35" s="116">
        <f>H36+H37</f>
        <v>296.12435800000003</v>
      </c>
      <c r="I35" s="113">
        <f t="shared" ref="I35:W35" si="8">I36+I37</f>
        <v>123.42543000000001</v>
      </c>
      <c r="J35" s="113">
        <f t="shared" si="8"/>
        <v>13.37093</v>
      </c>
      <c r="K35" s="113">
        <f t="shared" si="8"/>
        <v>13.37093</v>
      </c>
      <c r="L35" s="116">
        <f t="shared" si="8"/>
        <v>150.16729000000001</v>
      </c>
      <c r="M35" s="115">
        <f t="shared" si="8"/>
        <v>446.29164800000001</v>
      </c>
      <c r="N35" s="113">
        <f t="shared" si="8"/>
        <v>13.37093</v>
      </c>
      <c r="O35" s="113">
        <f t="shared" si="8"/>
        <v>13.37093</v>
      </c>
      <c r="P35" s="113">
        <f t="shared" si="8"/>
        <v>13.37093</v>
      </c>
      <c r="Q35" s="116">
        <f t="shared" si="8"/>
        <v>40.112789999999997</v>
      </c>
      <c r="R35" s="115">
        <f t="shared" si="8"/>
        <v>486.40443800000003</v>
      </c>
      <c r="S35" s="113">
        <f t="shared" si="8"/>
        <v>54.900930000000002</v>
      </c>
      <c r="T35" s="113">
        <f t="shared" si="8"/>
        <v>96.430930000000004</v>
      </c>
      <c r="U35" s="113">
        <f t="shared" si="8"/>
        <v>96.430930000000004</v>
      </c>
      <c r="V35" s="116">
        <f t="shared" si="8"/>
        <v>247.76279</v>
      </c>
      <c r="W35" s="117">
        <f t="shared" si="8"/>
        <v>734.16722800000002</v>
      </c>
    </row>
    <row r="36" spans="1:23" x14ac:dyDescent="0.25">
      <c r="A36" s="111"/>
      <c r="B36" s="279" t="s">
        <v>209</v>
      </c>
      <c r="C36" s="280"/>
      <c r="D36" s="142" t="s">
        <v>204</v>
      </c>
      <c r="E36" s="113">
        <v>83.06</v>
      </c>
      <c r="F36" s="113">
        <v>83.06</v>
      </c>
      <c r="G36" s="114">
        <v>83.06</v>
      </c>
      <c r="H36" s="116">
        <f t="shared" si="0"/>
        <v>249.18</v>
      </c>
      <c r="I36" s="113">
        <f>83.06+26.9945</f>
        <v>110.0545</v>
      </c>
      <c r="J36" s="113"/>
      <c r="K36" s="113"/>
      <c r="L36" s="116">
        <f t="shared" si="1"/>
        <v>110.0545</v>
      </c>
      <c r="M36" s="115">
        <f>L36+H36</f>
        <v>359.23450000000003</v>
      </c>
      <c r="N36" s="113"/>
      <c r="O36" s="113"/>
      <c r="P36" s="113"/>
      <c r="Q36" s="116">
        <f>SUM(N36:P36)</f>
        <v>0</v>
      </c>
      <c r="R36" s="115">
        <f>Q36+M36</f>
        <v>359.23450000000003</v>
      </c>
      <c r="S36" s="113">
        <v>41.53</v>
      </c>
      <c r="T36" s="113">
        <v>83.06</v>
      </c>
      <c r="U36" s="113">
        <v>83.06</v>
      </c>
      <c r="V36" s="116">
        <f>SUM(S36:U36)</f>
        <v>207.65</v>
      </c>
      <c r="W36" s="117">
        <f>V36+R36</f>
        <v>566.8845</v>
      </c>
    </row>
    <row r="37" spans="1:23" x14ac:dyDescent="0.25">
      <c r="A37" s="163"/>
      <c r="B37" s="279" t="s">
        <v>210</v>
      </c>
      <c r="C37" s="280" t="s">
        <v>211</v>
      </c>
      <c r="D37" s="142" t="s">
        <v>204</v>
      </c>
      <c r="E37" s="113">
        <v>20.202497999999999</v>
      </c>
      <c r="F37" s="113">
        <v>13.37093</v>
      </c>
      <c r="G37" s="114">
        <v>13.37093</v>
      </c>
      <c r="H37" s="116">
        <f t="shared" si="0"/>
        <v>46.944358000000001</v>
      </c>
      <c r="I37" s="113">
        <v>13.37093</v>
      </c>
      <c r="J37" s="113">
        <v>13.37093</v>
      </c>
      <c r="K37" s="113">
        <v>13.37093</v>
      </c>
      <c r="L37" s="116">
        <f t="shared" si="1"/>
        <v>40.112789999999997</v>
      </c>
      <c r="M37" s="115">
        <f>L37+H37</f>
        <v>87.057147999999998</v>
      </c>
      <c r="N37" s="113">
        <v>13.37093</v>
      </c>
      <c r="O37" s="113">
        <v>13.37093</v>
      </c>
      <c r="P37" s="113">
        <v>13.37093</v>
      </c>
      <c r="Q37" s="116">
        <f t="shared" si="3"/>
        <v>40.112789999999997</v>
      </c>
      <c r="R37" s="115">
        <f t="shared" si="4"/>
        <v>127.169938</v>
      </c>
      <c r="S37" s="113">
        <v>13.37093</v>
      </c>
      <c r="T37" s="113">
        <v>13.37093</v>
      </c>
      <c r="U37" s="113">
        <v>13.37093</v>
      </c>
      <c r="V37" s="116">
        <f t="shared" si="5"/>
        <v>40.112789999999997</v>
      </c>
      <c r="W37" s="117">
        <f t="shared" si="6"/>
        <v>167.28272799999999</v>
      </c>
    </row>
    <row r="38" spans="1:23" x14ac:dyDescent="0.25">
      <c r="A38" s="163" t="s">
        <v>163</v>
      </c>
      <c r="B38" s="279" t="s">
        <v>212</v>
      </c>
      <c r="C38" s="280"/>
      <c r="D38" s="142" t="s">
        <v>204</v>
      </c>
      <c r="E38" s="113">
        <f>E39+E40</f>
        <v>31.144869399999997</v>
      </c>
      <c r="F38" s="113">
        <f>F39+F40</f>
        <v>29.095399</v>
      </c>
      <c r="G38" s="114">
        <f>G39+G40</f>
        <v>29.095399</v>
      </c>
      <c r="H38" s="116">
        <f t="shared" si="0"/>
        <v>89.335667400000006</v>
      </c>
      <c r="I38" s="113">
        <f>I39+I40</f>
        <v>37.247738000000005</v>
      </c>
      <c r="J38" s="113">
        <f>J39+J40</f>
        <v>4.011279</v>
      </c>
      <c r="K38" s="113">
        <f>K39+K40</f>
        <v>4.011279</v>
      </c>
      <c r="L38" s="116">
        <f t="shared" si="1"/>
        <v>45.270296000000009</v>
      </c>
      <c r="M38" s="115">
        <f t="shared" si="2"/>
        <v>134.60596340000001</v>
      </c>
      <c r="N38" s="113">
        <f>N39+N40</f>
        <v>4.011279</v>
      </c>
      <c r="O38" s="113">
        <f>O39+O40</f>
        <v>4.011279</v>
      </c>
      <c r="P38" s="113">
        <f>P39+P40</f>
        <v>4.011279</v>
      </c>
      <c r="Q38" s="116">
        <f t="shared" si="3"/>
        <v>12.033837</v>
      </c>
      <c r="R38" s="115">
        <f t="shared" si="4"/>
        <v>146.63980040000001</v>
      </c>
      <c r="S38" s="113">
        <f>S39+S40</f>
        <v>16.553339000000001</v>
      </c>
      <c r="T38" s="113">
        <f>T39+T40</f>
        <v>29.095399</v>
      </c>
      <c r="U38" s="113">
        <f>U39+U40</f>
        <v>29.095399</v>
      </c>
      <c r="V38" s="116">
        <f t="shared" si="5"/>
        <v>74.744136999999995</v>
      </c>
      <c r="W38" s="117">
        <f t="shared" si="6"/>
        <v>221.38393740000001</v>
      </c>
    </row>
    <row r="39" spans="1:23" x14ac:dyDescent="0.25">
      <c r="A39" s="163"/>
      <c r="B39" s="164" t="s">
        <v>209</v>
      </c>
      <c r="C39" s="165"/>
      <c r="D39" s="142" t="s">
        <v>204</v>
      </c>
      <c r="E39" s="113">
        <f>E36*30.2%</f>
        <v>25.084119999999999</v>
      </c>
      <c r="F39" s="113">
        <f>F36*30.2%</f>
        <v>25.084119999999999</v>
      </c>
      <c r="G39" s="114">
        <f>G36*30.2%</f>
        <v>25.084119999999999</v>
      </c>
      <c r="H39" s="116">
        <f t="shared" si="0"/>
        <v>75.252359999999996</v>
      </c>
      <c r="I39" s="113">
        <f>I36*30.2%</f>
        <v>33.236459000000004</v>
      </c>
      <c r="J39" s="113">
        <f>J36*30.2%</f>
        <v>0</v>
      </c>
      <c r="K39" s="113">
        <f>K36*30.2%</f>
        <v>0</v>
      </c>
      <c r="L39" s="116">
        <f t="shared" si="1"/>
        <v>33.236459000000004</v>
      </c>
      <c r="M39" s="115">
        <f t="shared" si="2"/>
        <v>108.48881900000001</v>
      </c>
      <c r="N39" s="113">
        <f>N36*30.2%</f>
        <v>0</v>
      </c>
      <c r="O39" s="113">
        <f>O36*30.2%</f>
        <v>0</v>
      </c>
      <c r="P39" s="113">
        <f>P36*30.2%</f>
        <v>0</v>
      </c>
      <c r="Q39" s="116">
        <f t="shared" si="3"/>
        <v>0</v>
      </c>
      <c r="R39" s="115">
        <f t="shared" si="4"/>
        <v>108.48881900000001</v>
      </c>
      <c r="S39" s="113">
        <f>S36*30.2%</f>
        <v>12.542059999999999</v>
      </c>
      <c r="T39" s="113">
        <f>T36*30.2%</f>
        <v>25.084119999999999</v>
      </c>
      <c r="U39" s="113">
        <f>U36*30.2%</f>
        <v>25.084119999999999</v>
      </c>
      <c r="V39" s="116">
        <f t="shared" si="5"/>
        <v>62.710299999999997</v>
      </c>
      <c r="W39" s="117">
        <f t="shared" si="6"/>
        <v>171.199119</v>
      </c>
    </row>
    <row r="40" spans="1:23" x14ac:dyDescent="0.25">
      <c r="A40" s="111"/>
      <c r="B40" s="279" t="s">
        <v>213</v>
      </c>
      <c r="C40" s="280" t="s">
        <v>211</v>
      </c>
      <c r="D40" s="142" t="s">
        <v>204</v>
      </c>
      <c r="E40" s="113">
        <f>E37*30%</f>
        <v>6.0607493999999997</v>
      </c>
      <c r="F40" s="113">
        <f>F37*30%</f>
        <v>4.011279</v>
      </c>
      <c r="G40" s="114">
        <f>G37*30%</f>
        <v>4.011279</v>
      </c>
      <c r="H40" s="116">
        <f t="shared" si="0"/>
        <v>14.083307400000001</v>
      </c>
      <c r="I40" s="113">
        <f>I37*30%</f>
        <v>4.011279</v>
      </c>
      <c r="J40" s="113">
        <f>J37*30%</f>
        <v>4.011279</v>
      </c>
      <c r="K40" s="113">
        <f>K37*30%</f>
        <v>4.011279</v>
      </c>
      <c r="L40" s="116">
        <f t="shared" si="1"/>
        <v>12.033837</v>
      </c>
      <c r="M40" s="115">
        <f t="shared" si="2"/>
        <v>26.117144400000001</v>
      </c>
      <c r="N40" s="113">
        <f>N37*30%</f>
        <v>4.011279</v>
      </c>
      <c r="O40" s="113">
        <f>O37*30%</f>
        <v>4.011279</v>
      </c>
      <c r="P40" s="113">
        <f>P37*30%</f>
        <v>4.011279</v>
      </c>
      <c r="Q40" s="116">
        <f t="shared" si="3"/>
        <v>12.033837</v>
      </c>
      <c r="R40" s="115">
        <f t="shared" si="4"/>
        <v>38.150981399999999</v>
      </c>
      <c r="S40" s="113">
        <f>S37*30%</f>
        <v>4.011279</v>
      </c>
      <c r="T40" s="113">
        <f>T37*30%</f>
        <v>4.011279</v>
      </c>
      <c r="U40" s="113">
        <f>U37*30%</f>
        <v>4.011279</v>
      </c>
      <c r="V40" s="116">
        <f t="shared" si="5"/>
        <v>12.033837</v>
      </c>
      <c r="W40" s="117">
        <f t="shared" si="6"/>
        <v>50.184818399999997</v>
      </c>
    </row>
    <row r="41" spans="1:23" x14ac:dyDescent="0.25">
      <c r="A41" s="111">
        <v>7</v>
      </c>
      <c r="B41" s="164" t="s">
        <v>103</v>
      </c>
      <c r="C41" s="165"/>
      <c r="D41" s="142" t="s">
        <v>132</v>
      </c>
      <c r="E41" s="113">
        <f>0.17*E9*18.62</f>
        <v>0.25810671600000001</v>
      </c>
      <c r="F41" s="113">
        <f>0.17*F9*18.62</f>
        <v>0.21379111600000006</v>
      </c>
      <c r="G41" s="114">
        <f>0.17*G9*18.62</f>
        <v>0.17580631600000002</v>
      </c>
      <c r="H41" s="116">
        <f t="shared" si="0"/>
        <v>0.64770414800000009</v>
      </c>
      <c r="I41" s="113">
        <f>0.17*I9*18.62</f>
        <v>0.18846791600000001</v>
      </c>
      <c r="J41" s="113">
        <f>0.17*J9*18.62</f>
        <v>0</v>
      </c>
      <c r="K41" s="113">
        <f>0.17*K9*18.62</f>
        <v>0</v>
      </c>
      <c r="L41" s="116">
        <f t="shared" si="1"/>
        <v>0.18846791600000001</v>
      </c>
      <c r="M41" s="115">
        <f t="shared" si="2"/>
        <v>0.8361720640000001</v>
      </c>
      <c r="N41" s="113"/>
      <c r="O41" s="113"/>
      <c r="P41" s="113"/>
      <c r="Q41" s="116">
        <f t="shared" si="3"/>
        <v>0</v>
      </c>
      <c r="R41" s="115">
        <f t="shared" si="4"/>
        <v>0.8361720640000001</v>
      </c>
      <c r="S41" s="113">
        <f>0.17*S9*18.62</f>
        <v>9.4962000000000019E-2</v>
      </c>
      <c r="T41" s="113">
        <f>0.17*T9*18.62</f>
        <v>0.17580631600000002</v>
      </c>
      <c r="U41" s="113">
        <f>0.17*U9*18.62</f>
        <v>0.18213711600000002</v>
      </c>
      <c r="V41" s="116">
        <f t="shared" si="5"/>
        <v>0.45290543200000011</v>
      </c>
      <c r="W41" s="117">
        <f t="shared" si="6"/>
        <v>1.2890774960000002</v>
      </c>
    </row>
    <row r="42" spans="1:23" x14ac:dyDescent="0.25">
      <c r="A42" s="111">
        <v>8</v>
      </c>
      <c r="B42" s="164" t="s">
        <v>195</v>
      </c>
      <c r="C42" s="165"/>
      <c r="D42" s="142" t="s">
        <v>132</v>
      </c>
      <c r="E42" s="113">
        <f>E26*E28</f>
        <v>1.7065588140000001</v>
      </c>
      <c r="F42" s="113">
        <f>F26*F28</f>
        <v>1.4135514140000001</v>
      </c>
      <c r="G42" s="114">
        <f>G26*G28</f>
        <v>1.1624022139999999</v>
      </c>
      <c r="H42" s="116">
        <f t="shared" si="0"/>
        <v>4.2825124419999998</v>
      </c>
      <c r="I42" s="113">
        <f>I26*I28</f>
        <v>1.246118614</v>
      </c>
      <c r="J42" s="113">
        <f>J26*J28</f>
        <v>0</v>
      </c>
      <c r="K42" s="113">
        <f>K26*K28</f>
        <v>0</v>
      </c>
      <c r="L42" s="116">
        <f t="shared" si="1"/>
        <v>1.246118614</v>
      </c>
      <c r="M42" s="115">
        <f t="shared" si="2"/>
        <v>5.528631056</v>
      </c>
      <c r="N42" s="113">
        <f>N26*N28</f>
        <v>0</v>
      </c>
      <c r="O42" s="113">
        <f>O26*O28</f>
        <v>0</v>
      </c>
      <c r="P42" s="113">
        <f>P26*P28</f>
        <v>0</v>
      </c>
      <c r="Q42" s="116">
        <f t="shared" si="3"/>
        <v>0</v>
      </c>
      <c r="R42" s="115">
        <f t="shared" si="4"/>
        <v>5.528631056</v>
      </c>
      <c r="S42" s="113">
        <f>S26*S28</f>
        <v>0.62787300000000001</v>
      </c>
      <c r="T42" s="113">
        <f>T26*T28</f>
        <v>1.1624022139999999</v>
      </c>
      <c r="U42" s="113">
        <f>U26*U28</f>
        <v>1.2042604139999999</v>
      </c>
      <c r="V42" s="116">
        <f t="shared" si="5"/>
        <v>2.9945356279999995</v>
      </c>
      <c r="W42" s="117">
        <f t="shared" si="6"/>
        <v>8.5231666839999995</v>
      </c>
    </row>
    <row r="43" spans="1:23" x14ac:dyDescent="0.25">
      <c r="A43" s="111">
        <v>9</v>
      </c>
      <c r="B43" s="288" t="s">
        <v>214</v>
      </c>
      <c r="C43" s="288"/>
      <c r="D43" s="142" t="s">
        <v>204</v>
      </c>
      <c r="E43" s="120">
        <f>SUM(E44:E47,E49:E50,E55)</f>
        <v>16.124747526575344</v>
      </c>
      <c r="F43" s="120">
        <f>SUM(F44:F47,F49:F50,F55)</f>
        <v>13.907351581369863</v>
      </c>
      <c r="G43" s="120">
        <f>SUM(G44:G47,G49:G50,G55)</f>
        <v>12.006726485479451</v>
      </c>
      <c r="H43" s="116">
        <f t="shared" si="0"/>
        <v>42.038825593424662</v>
      </c>
      <c r="I43" s="120">
        <f>SUM(I44:I47,I49:I50,I55)</f>
        <v>12.640268184109591</v>
      </c>
      <c r="J43" s="120">
        <f>SUM(J44:J47,J49:J50,J55)</f>
        <v>0</v>
      </c>
      <c r="K43" s="120">
        <f>SUM(K44:K47,K49:K50,K55)</f>
        <v>0</v>
      </c>
      <c r="L43" s="116">
        <f t="shared" si="1"/>
        <v>12.640268184109591</v>
      </c>
      <c r="M43" s="115">
        <f t="shared" si="2"/>
        <v>54.679093777534248</v>
      </c>
      <c r="N43" s="120">
        <f>SUM(N44,N47,N49,N50,N55)</f>
        <v>0</v>
      </c>
      <c r="O43" s="120">
        <f>O44+O45+O46+O47+O50+O55</f>
        <v>0</v>
      </c>
      <c r="P43" s="120">
        <f>P44+P45+P46+P47+P50+P55</f>
        <v>0</v>
      </c>
      <c r="Q43" s="116">
        <f t="shared" si="3"/>
        <v>0</v>
      </c>
      <c r="R43" s="115">
        <f t="shared" si="4"/>
        <v>54.679093777534248</v>
      </c>
      <c r="S43" s="120">
        <f>S44+S45+S46+S47+S50+S55+S49</f>
        <v>6.8175627397260286</v>
      </c>
      <c r="T43" s="120">
        <f>T44+T45+T46+T47+T50+T55+T49</f>
        <v>12.006726485479451</v>
      </c>
      <c r="U43" s="120">
        <f>U44+U45+U46+U47+U50+U55+U49</f>
        <v>12.260369334794522</v>
      </c>
      <c r="V43" s="116">
        <f t="shared" si="5"/>
        <v>31.084658560000001</v>
      </c>
      <c r="W43" s="117">
        <f t="shared" si="6"/>
        <v>85.763752337534243</v>
      </c>
    </row>
    <row r="44" spans="1:23" x14ac:dyDescent="0.25">
      <c r="A44" s="122" t="s">
        <v>215</v>
      </c>
      <c r="B44" s="277" t="s">
        <v>216</v>
      </c>
      <c r="C44" s="278"/>
      <c r="D44" s="142" t="s">
        <v>204</v>
      </c>
      <c r="E44" s="113">
        <v>0</v>
      </c>
      <c r="F44" s="113">
        <v>0</v>
      </c>
      <c r="G44" s="113">
        <v>0</v>
      </c>
      <c r="H44" s="116">
        <f t="shared" si="0"/>
        <v>0</v>
      </c>
      <c r="I44" s="113">
        <v>0</v>
      </c>
      <c r="J44" s="113">
        <v>0</v>
      </c>
      <c r="K44" s="113">
        <v>0</v>
      </c>
      <c r="L44" s="116">
        <f t="shared" si="1"/>
        <v>0</v>
      </c>
      <c r="M44" s="115">
        <f t="shared" si="2"/>
        <v>0</v>
      </c>
      <c r="N44" s="113">
        <v>0</v>
      </c>
      <c r="O44" s="113">
        <v>0</v>
      </c>
      <c r="P44" s="113">
        <v>0</v>
      </c>
      <c r="Q44" s="116">
        <f t="shared" si="3"/>
        <v>0</v>
      </c>
      <c r="R44" s="115">
        <f t="shared" si="4"/>
        <v>0</v>
      </c>
      <c r="S44" s="113"/>
      <c r="T44" s="113"/>
      <c r="U44" s="113"/>
      <c r="V44" s="116">
        <f t="shared" si="5"/>
        <v>0</v>
      </c>
      <c r="W44" s="117">
        <f t="shared" si="6"/>
        <v>0</v>
      </c>
    </row>
    <row r="45" spans="1:23" x14ac:dyDescent="0.25">
      <c r="A45" s="122" t="s">
        <v>217</v>
      </c>
      <c r="B45" s="277" t="s">
        <v>218</v>
      </c>
      <c r="C45" s="293"/>
      <c r="D45" s="142" t="s">
        <v>204</v>
      </c>
      <c r="E45" s="113">
        <v>0</v>
      </c>
      <c r="F45" s="113">
        <v>0</v>
      </c>
      <c r="G45" s="113">
        <v>0</v>
      </c>
      <c r="H45" s="116">
        <f t="shared" si="0"/>
        <v>0</v>
      </c>
      <c r="I45" s="113">
        <v>0</v>
      </c>
      <c r="J45" s="113">
        <v>0</v>
      </c>
      <c r="K45" s="113">
        <v>0</v>
      </c>
      <c r="L45" s="116">
        <f t="shared" si="1"/>
        <v>0</v>
      </c>
      <c r="M45" s="115">
        <f t="shared" si="2"/>
        <v>0</v>
      </c>
      <c r="N45" s="113">
        <v>0</v>
      </c>
      <c r="O45" s="113">
        <v>0</v>
      </c>
      <c r="P45" s="113">
        <v>0</v>
      </c>
      <c r="Q45" s="116">
        <f t="shared" si="3"/>
        <v>0</v>
      </c>
      <c r="R45" s="115">
        <f t="shared" si="4"/>
        <v>0</v>
      </c>
      <c r="S45" s="113">
        <v>0</v>
      </c>
      <c r="T45" s="113">
        <v>0</v>
      </c>
      <c r="U45" s="113">
        <v>0</v>
      </c>
      <c r="V45" s="116">
        <f t="shared" si="5"/>
        <v>0</v>
      </c>
      <c r="W45" s="117">
        <f t="shared" si="6"/>
        <v>0</v>
      </c>
    </row>
    <row r="46" spans="1:23" x14ac:dyDescent="0.25">
      <c r="A46" s="122" t="s">
        <v>219</v>
      </c>
      <c r="B46" s="277" t="s">
        <v>220</v>
      </c>
      <c r="C46" s="293"/>
      <c r="D46" s="142" t="s">
        <v>204</v>
      </c>
      <c r="E46" s="113">
        <v>0</v>
      </c>
      <c r="F46" s="113">
        <v>0</v>
      </c>
      <c r="G46" s="113">
        <v>0</v>
      </c>
      <c r="H46" s="116">
        <f t="shared" si="0"/>
        <v>0</v>
      </c>
      <c r="I46" s="113">
        <v>0</v>
      </c>
      <c r="J46" s="113">
        <v>0</v>
      </c>
      <c r="K46" s="113">
        <v>0</v>
      </c>
      <c r="L46" s="116">
        <f t="shared" si="1"/>
        <v>0</v>
      </c>
      <c r="M46" s="115">
        <f t="shared" si="2"/>
        <v>0</v>
      </c>
      <c r="N46" s="113">
        <v>0</v>
      </c>
      <c r="O46" s="113">
        <v>0</v>
      </c>
      <c r="P46" s="113">
        <v>0</v>
      </c>
      <c r="Q46" s="116">
        <f t="shared" si="3"/>
        <v>0</v>
      </c>
      <c r="R46" s="115">
        <f t="shared" si="4"/>
        <v>0</v>
      </c>
      <c r="S46" s="113">
        <v>0</v>
      </c>
      <c r="T46" s="113">
        <v>0</v>
      </c>
      <c r="U46" s="113">
        <v>0</v>
      </c>
      <c r="V46" s="116">
        <f t="shared" si="5"/>
        <v>0</v>
      </c>
      <c r="W46" s="117">
        <f t="shared" si="6"/>
        <v>0</v>
      </c>
    </row>
    <row r="47" spans="1:23" x14ac:dyDescent="0.25">
      <c r="A47" s="122" t="s">
        <v>221</v>
      </c>
      <c r="B47" s="288" t="s">
        <v>222</v>
      </c>
      <c r="C47" s="288"/>
      <c r="D47" s="142" t="s">
        <v>204</v>
      </c>
      <c r="E47" s="113"/>
      <c r="F47" s="113"/>
      <c r="G47" s="113"/>
      <c r="H47" s="116">
        <f t="shared" si="0"/>
        <v>0</v>
      </c>
      <c r="I47" s="113"/>
      <c r="J47" s="113">
        <v>0</v>
      </c>
      <c r="K47" s="113">
        <v>0</v>
      </c>
      <c r="L47" s="116">
        <f t="shared" si="1"/>
        <v>0</v>
      </c>
      <c r="M47" s="115">
        <f t="shared" si="2"/>
        <v>0</v>
      </c>
      <c r="N47" s="113">
        <v>0</v>
      </c>
      <c r="O47" s="113">
        <v>0</v>
      </c>
      <c r="P47" s="113">
        <v>0</v>
      </c>
      <c r="Q47" s="116">
        <f t="shared" si="3"/>
        <v>0</v>
      </c>
      <c r="R47" s="115">
        <f t="shared" si="4"/>
        <v>0</v>
      </c>
      <c r="S47" s="113">
        <v>0</v>
      </c>
      <c r="T47" s="113">
        <v>0</v>
      </c>
      <c r="U47" s="113">
        <v>0</v>
      </c>
      <c r="V47" s="116">
        <f t="shared" si="5"/>
        <v>0</v>
      </c>
      <c r="W47" s="117">
        <f t="shared" si="6"/>
        <v>0</v>
      </c>
    </row>
    <row r="48" spans="1:23" x14ac:dyDescent="0.25">
      <c r="A48" s="122"/>
      <c r="B48" s="294" t="s">
        <v>223</v>
      </c>
      <c r="C48" s="294"/>
      <c r="D48" s="142" t="s">
        <v>204</v>
      </c>
      <c r="E48" s="113"/>
      <c r="F48" s="113"/>
      <c r="G48" s="113"/>
      <c r="H48" s="116">
        <f t="shared" si="0"/>
        <v>0</v>
      </c>
      <c r="I48" s="113"/>
      <c r="J48" s="113">
        <v>0</v>
      </c>
      <c r="K48" s="113">
        <v>0</v>
      </c>
      <c r="L48" s="116">
        <f t="shared" si="1"/>
        <v>0</v>
      </c>
      <c r="M48" s="115">
        <f t="shared" si="2"/>
        <v>0</v>
      </c>
      <c r="N48" s="113">
        <v>0</v>
      </c>
      <c r="O48" s="113">
        <v>0</v>
      </c>
      <c r="P48" s="113">
        <v>0</v>
      </c>
      <c r="Q48" s="116">
        <f t="shared" si="3"/>
        <v>0</v>
      </c>
      <c r="R48" s="115">
        <f t="shared" si="4"/>
        <v>0</v>
      </c>
      <c r="S48" s="113">
        <v>0</v>
      </c>
      <c r="T48" s="113">
        <v>0</v>
      </c>
      <c r="U48" s="113">
        <v>0</v>
      </c>
      <c r="V48" s="116">
        <f t="shared" si="5"/>
        <v>0</v>
      </c>
      <c r="W48" s="117">
        <f t="shared" si="6"/>
        <v>0</v>
      </c>
    </row>
    <row r="49" spans="1:23" x14ac:dyDescent="0.25">
      <c r="A49" s="122" t="s">
        <v>224</v>
      </c>
      <c r="B49" s="277" t="s">
        <v>225</v>
      </c>
      <c r="C49" s="278"/>
      <c r="D49" s="142" t="s">
        <v>204</v>
      </c>
      <c r="E49" s="113">
        <f>242.8*E23/1000</f>
        <v>12.914747526575345</v>
      </c>
      <c r="F49" s="113">
        <f>242.8*F23/1000</f>
        <v>10.697351581369864</v>
      </c>
      <c r="G49" s="113">
        <f>242.8*G23/1000</f>
        <v>8.7967264854794518</v>
      </c>
      <c r="H49" s="116">
        <f t="shared" si="0"/>
        <v>32.408825593424659</v>
      </c>
      <c r="I49" s="113">
        <f>242.8*I23/1000</f>
        <v>9.4302681841095897</v>
      </c>
      <c r="J49" s="113">
        <f>485.5*J23/1000</f>
        <v>0</v>
      </c>
      <c r="K49" s="113">
        <f>485.5*K23/1000</f>
        <v>0</v>
      </c>
      <c r="L49" s="116">
        <f t="shared" si="1"/>
        <v>9.4302681841095897</v>
      </c>
      <c r="M49" s="115">
        <f t="shared" si="2"/>
        <v>41.839093777534245</v>
      </c>
      <c r="N49" s="113">
        <f>485.5*N23/1000</f>
        <v>0</v>
      </c>
      <c r="O49" s="113">
        <f>485.5*O23/1000</f>
        <v>0</v>
      </c>
      <c r="P49" s="113">
        <f>485.5*P23/1000</f>
        <v>0</v>
      </c>
      <c r="Q49" s="116">
        <f t="shared" si="3"/>
        <v>0</v>
      </c>
      <c r="R49" s="115">
        <f t="shared" si="4"/>
        <v>41.839093777534245</v>
      </c>
      <c r="S49" s="113">
        <f>242.8*S23/1000</f>
        <v>4.7515627397260287</v>
      </c>
      <c r="T49" s="113">
        <f>242.8*T23/1000</f>
        <v>8.7967264854794518</v>
      </c>
      <c r="U49" s="113">
        <f>242.8*U23/1000</f>
        <v>9.0503693347945227</v>
      </c>
      <c r="V49" s="116">
        <f t="shared" si="5"/>
        <v>22.598658560000004</v>
      </c>
      <c r="W49" s="117">
        <f t="shared" si="6"/>
        <v>64.437752337534249</v>
      </c>
    </row>
    <row r="50" spans="1:23" x14ac:dyDescent="0.25">
      <c r="A50" s="122" t="s">
        <v>226</v>
      </c>
      <c r="B50" s="288" t="s">
        <v>227</v>
      </c>
      <c r="C50" s="288"/>
      <c r="D50" s="142" t="s">
        <v>204</v>
      </c>
      <c r="E50" s="113">
        <f>SUM(E51:E54)</f>
        <v>3.21</v>
      </c>
      <c r="F50" s="113">
        <f>SUM(F51:F54)</f>
        <v>3.21</v>
      </c>
      <c r="G50" s="113">
        <f>SUM(G51:G54)</f>
        <v>3.21</v>
      </c>
      <c r="H50" s="116">
        <f t="shared" si="0"/>
        <v>9.629999999999999</v>
      </c>
      <c r="I50" s="113">
        <f>SUM(I51:I54)</f>
        <v>3.21</v>
      </c>
      <c r="J50" s="113">
        <f>SUM(J51:J54)</f>
        <v>0</v>
      </c>
      <c r="K50" s="113">
        <f>SUM(K51:K54)</f>
        <v>0</v>
      </c>
      <c r="L50" s="116">
        <f t="shared" si="1"/>
        <v>3.21</v>
      </c>
      <c r="M50" s="115">
        <f t="shared" si="2"/>
        <v>12.84</v>
      </c>
      <c r="N50" s="113">
        <f>SUM(N51:N54)</f>
        <v>0</v>
      </c>
      <c r="O50" s="113">
        <f>SUM(O51:O54)</f>
        <v>0</v>
      </c>
      <c r="P50" s="113">
        <v>0</v>
      </c>
      <c r="Q50" s="116">
        <f t="shared" si="3"/>
        <v>0</v>
      </c>
      <c r="R50" s="115">
        <f t="shared" si="4"/>
        <v>12.84</v>
      </c>
      <c r="S50" s="113">
        <f>SUM(S51:S54)</f>
        <v>2.0660000000000003</v>
      </c>
      <c r="T50" s="113">
        <f>SUM(T51:T54)</f>
        <v>3.21</v>
      </c>
      <c r="U50" s="113">
        <f>SUM(U51:U54)</f>
        <v>3.21</v>
      </c>
      <c r="V50" s="116">
        <f t="shared" si="5"/>
        <v>8.4860000000000007</v>
      </c>
      <c r="W50" s="117">
        <f t="shared" si="6"/>
        <v>21.326000000000001</v>
      </c>
    </row>
    <row r="51" spans="1:23" x14ac:dyDescent="0.25">
      <c r="A51" s="111"/>
      <c r="B51" s="294" t="s">
        <v>228</v>
      </c>
      <c r="C51" s="294"/>
      <c r="D51" s="142" t="s">
        <v>204</v>
      </c>
      <c r="E51" s="113">
        <v>0</v>
      </c>
      <c r="F51" s="113">
        <v>0</v>
      </c>
      <c r="G51" s="113">
        <v>0</v>
      </c>
      <c r="H51" s="116">
        <f t="shared" si="0"/>
        <v>0</v>
      </c>
      <c r="I51" s="113">
        <v>0</v>
      </c>
      <c r="J51" s="113">
        <v>0</v>
      </c>
      <c r="K51" s="113">
        <v>0</v>
      </c>
      <c r="L51" s="116">
        <f t="shared" si="1"/>
        <v>0</v>
      </c>
      <c r="M51" s="115">
        <f t="shared" si="2"/>
        <v>0</v>
      </c>
      <c r="N51" s="113">
        <v>0</v>
      </c>
      <c r="O51" s="113">
        <v>0</v>
      </c>
      <c r="P51" s="113">
        <v>0</v>
      </c>
      <c r="Q51" s="116">
        <f t="shared" si="3"/>
        <v>0</v>
      </c>
      <c r="R51" s="115">
        <f t="shared" si="4"/>
        <v>0</v>
      </c>
      <c r="S51" s="113"/>
      <c r="T51" s="113"/>
      <c r="U51" s="113"/>
      <c r="V51" s="116">
        <f t="shared" si="5"/>
        <v>0</v>
      </c>
      <c r="W51" s="117">
        <f t="shared" si="6"/>
        <v>0</v>
      </c>
    </row>
    <row r="52" spans="1:23" x14ac:dyDescent="0.25">
      <c r="A52" s="111"/>
      <c r="B52" s="291" t="s">
        <v>229</v>
      </c>
      <c r="C52" s="292"/>
      <c r="D52" s="142" t="s">
        <v>204</v>
      </c>
      <c r="E52" s="113">
        <v>0</v>
      </c>
      <c r="F52" s="113">
        <v>0</v>
      </c>
      <c r="G52" s="113">
        <v>0</v>
      </c>
      <c r="H52" s="116">
        <f t="shared" si="0"/>
        <v>0</v>
      </c>
      <c r="I52" s="113">
        <v>0</v>
      </c>
      <c r="J52" s="113">
        <v>0</v>
      </c>
      <c r="K52" s="113">
        <v>0</v>
      </c>
      <c r="L52" s="116">
        <f t="shared" si="1"/>
        <v>0</v>
      </c>
      <c r="M52" s="115">
        <f t="shared" si="2"/>
        <v>0</v>
      </c>
      <c r="N52" s="113">
        <v>0</v>
      </c>
      <c r="O52" s="113">
        <v>0</v>
      </c>
      <c r="P52" s="113">
        <v>0</v>
      </c>
      <c r="Q52" s="116">
        <f t="shared" si="3"/>
        <v>0</v>
      </c>
      <c r="R52" s="115">
        <f t="shared" si="4"/>
        <v>0</v>
      </c>
      <c r="S52" s="113"/>
      <c r="T52" s="113">
        <v>0</v>
      </c>
      <c r="U52" s="113">
        <v>0</v>
      </c>
      <c r="V52" s="116">
        <f t="shared" si="5"/>
        <v>0</v>
      </c>
      <c r="W52" s="117">
        <f t="shared" si="6"/>
        <v>0</v>
      </c>
    </row>
    <row r="53" spans="1:23" x14ac:dyDescent="0.25">
      <c r="A53" s="111"/>
      <c r="B53" s="291" t="s">
        <v>230</v>
      </c>
      <c r="C53" s="292"/>
      <c r="D53" s="142" t="s">
        <v>204</v>
      </c>
      <c r="E53" s="113">
        <v>0</v>
      </c>
      <c r="F53" s="113">
        <v>0</v>
      </c>
      <c r="G53" s="113">
        <v>0</v>
      </c>
      <c r="H53" s="116">
        <f t="shared" si="0"/>
        <v>0</v>
      </c>
      <c r="I53" s="113">
        <v>0</v>
      </c>
      <c r="J53" s="113">
        <v>0</v>
      </c>
      <c r="K53" s="113">
        <v>0</v>
      </c>
      <c r="L53" s="116">
        <f t="shared" si="1"/>
        <v>0</v>
      </c>
      <c r="M53" s="115">
        <f t="shared" si="2"/>
        <v>0</v>
      </c>
      <c r="N53" s="113">
        <v>0</v>
      </c>
      <c r="O53" s="113">
        <v>0</v>
      </c>
      <c r="P53" s="113">
        <v>0</v>
      </c>
      <c r="Q53" s="116">
        <f t="shared" si="3"/>
        <v>0</v>
      </c>
      <c r="R53" s="115">
        <f t="shared" si="4"/>
        <v>0</v>
      </c>
      <c r="S53" s="113">
        <v>0</v>
      </c>
      <c r="T53" s="113"/>
      <c r="U53" s="113"/>
      <c r="V53" s="116">
        <f t="shared" si="5"/>
        <v>0</v>
      </c>
      <c r="W53" s="117">
        <f t="shared" si="6"/>
        <v>0</v>
      </c>
    </row>
    <row r="54" spans="1:23" x14ac:dyDescent="0.25">
      <c r="A54" s="111"/>
      <c r="B54" s="166" t="s">
        <v>231</v>
      </c>
      <c r="C54" s="167"/>
      <c r="D54" s="142" t="s">
        <v>204</v>
      </c>
      <c r="E54" s="113">
        <f>4.135-0.925</f>
        <v>3.21</v>
      </c>
      <c r="F54" s="113">
        <f>4.135-0.925</f>
        <v>3.21</v>
      </c>
      <c r="G54" s="113">
        <f>4.135-0.925</f>
        <v>3.21</v>
      </c>
      <c r="H54" s="116">
        <f t="shared" si="0"/>
        <v>9.629999999999999</v>
      </c>
      <c r="I54" s="113">
        <f>4.135-0.925</f>
        <v>3.21</v>
      </c>
      <c r="J54" s="113">
        <v>0</v>
      </c>
      <c r="K54" s="113">
        <v>0</v>
      </c>
      <c r="L54" s="116">
        <f t="shared" si="1"/>
        <v>3.21</v>
      </c>
      <c r="M54" s="115">
        <f t="shared" si="2"/>
        <v>12.84</v>
      </c>
      <c r="N54" s="113">
        <v>0</v>
      </c>
      <c r="O54" s="113">
        <v>0</v>
      </c>
      <c r="P54" s="113">
        <v>0</v>
      </c>
      <c r="Q54" s="116">
        <f t="shared" si="3"/>
        <v>0</v>
      </c>
      <c r="R54" s="115">
        <f t="shared" si="4"/>
        <v>12.84</v>
      </c>
      <c r="S54" s="113">
        <f>2.068-0.002</f>
        <v>2.0660000000000003</v>
      </c>
      <c r="T54" s="113">
        <f>4.135-0.925</f>
        <v>3.21</v>
      </c>
      <c r="U54" s="113">
        <f>4.135-0.925</f>
        <v>3.21</v>
      </c>
      <c r="V54" s="116">
        <f t="shared" si="5"/>
        <v>8.4860000000000007</v>
      </c>
      <c r="W54" s="117">
        <f t="shared" si="6"/>
        <v>21.326000000000001</v>
      </c>
    </row>
    <row r="55" spans="1:23" x14ac:dyDescent="0.25">
      <c r="A55" s="122" t="s">
        <v>232</v>
      </c>
      <c r="B55" s="288" t="s">
        <v>233</v>
      </c>
      <c r="C55" s="288"/>
      <c r="D55" s="142" t="s">
        <v>204</v>
      </c>
      <c r="E55" s="113">
        <f>SUM(E56)</f>
        <v>0</v>
      </c>
      <c r="F55" s="113">
        <f>SUM(F56)</f>
        <v>0</v>
      </c>
      <c r="G55" s="113">
        <f>SUM(G56)</f>
        <v>0</v>
      </c>
      <c r="H55" s="116">
        <f t="shared" si="0"/>
        <v>0</v>
      </c>
      <c r="I55" s="113">
        <f>SUM(I56)</f>
        <v>0</v>
      </c>
      <c r="J55" s="113">
        <f>SUM(J56)</f>
        <v>0</v>
      </c>
      <c r="K55" s="113">
        <f>SUM(K56)</f>
        <v>0</v>
      </c>
      <c r="L55" s="116">
        <f t="shared" si="1"/>
        <v>0</v>
      </c>
      <c r="M55" s="115">
        <f t="shared" si="2"/>
        <v>0</v>
      </c>
      <c r="N55" s="113">
        <f>SUM(N56)</f>
        <v>0</v>
      </c>
      <c r="O55" s="113">
        <f>SUM(O56)</f>
        <v>0</v>
      </c>
      <c r="P55" s="113">
        <f>SUM(P56)</f>
        <v>0</v>
      </c>
      <c r="Q55" s="116">
        <f t="shared" si="3"/>
        <v>0</v>
      </c>
      <c r="R55" s="115">
        <f t="shared" si="4"/>
        <v>0</v>
      </c>
      <c r="S55" s="113">
        <f>SUM(S56)</f>
        <v>0</v>
      </c>
      <c r="T55" s="113">
        <f>SUM(T56)</f>
        <v>0</v>
      </c>
      <c r="U55" s="113">
        <f>SUM(U56)</f>
        <v>0</v>
      </c>
      <c r="V55" s="116">
        <f t="shared" si="5"/>
        <v>0</v>
      </c>
      <c r="W55" s="117">
        <f t="shared" si="6"/>
        <v>0</v>
      </c>
    </row>
    <row r="56" spans="1:23" x14ac:dyDescent="0.25">
      <c r="A56" s="111"/>
      <c r="B56" s="288" t="s">
        <v>234</v>
      </c>
      <c r="C56" s="288"/>
      <c r="D56" s="142" t="s">
        <v>204</v>
      </c>
      <c r="E56" s="113">
        <v>0</v>
      </c>
      <c r="F56" s="113">
        <v>0</v>
      </c>
      <c r="G56" s="113">
        <v>0</v>
      </c>
      <c r="H56" s="116">
        <f t="shared" si="0"/>
        <v>0</v>
      </c>
      <c r="I56" s="113">
        <v>0</v>
      </c>
      <c r="J56" s="113">
        <v>0</v>
      </c>
      <c r="K56" s="113">
        <v>0</v>
      </c>
      <c r="L56" s="116">
        <f t="shared" si="1"/>
        <v>0</v>
      </c>
      <c r="M56" s="115">
        <f t="shared" si="2"/>
        <v>0</v>
      </c>
      <c r="N56" s="113">
        <v>0</v>
      </c>
      <c r="O56" s="113">
        <v>0</v>
      </c>
      <c r="P56" s="113">
        <v>0</v>
      </c>
      <c r="Q56" s="116">
        <f t="shared" si="3"/>
        <v>0</v>
      </c>
      <c r="R56" s="115">
        <f t="shared" si="4"/>
        <v>0</v>
      </c>
      <c r="S56" s="113">
        <v>0</v>
      </c>
      <c r="T56" s="113"/>
      <c r="U56" s="113">
        <v>0</v>
      </c>
      <c r="V56" s="116">
        <f t="shared" si="5"/>
        <v>0</v>
      </c>
      <c r="W56" s="117">
        <f t="shared" si="6"/>
        <v>0</v>
      </c>
    </row>
    <row r="57" spans="1:23" x14ac:dyDescent="0.25">
      <c r="A57" s="111" t="s">
        <v>235</v>
      </c>
      <c r="B57" s="288" t="s">
        <v>236</v>
      </c>
      <c r="C57" s="288"/>
      <c r="D57" s="142" t="s">
        <v>204</v>
      </c>
      <c r="E57" s="113">
        <v>0</v>
      </c>
      <c r="F57" s="113">
        <v>0</v>
      </c>
      <c r="G57" s="113">
        <v>0</v>
      </c>
      <c r="H57" s="116">
        <f t="shared" si="0"/>
        <v>0</v>
      </c>
      <c r="I57" s="113">
        <v>0</v>
      </c>
      <c r="J57" s="113">
        <v>0</v>
      </c>
      <c r="K57" s="113">
        <v>0</v>
      </c>
      <c r="L57" s="116">
        <f t="shared" si="1"/>
        <v>0</v>
      </c>
      <c r="M57" s="115">
        <f t="shared" si="2"/>
        <v>0</v>
      </c>
      <c r="N57" s="113">
        <v>0</v>
      </c>
      <c r="O57" s="113">
        <v>0</v>
      </c>
      <c r="P57" s="113">
        <v>0</v>
      </c>
      <c r="Q57" s="116">
        <f t="shared" si="3"/>
        <v>0</v>
      </c>
      <c r="R57" s="115">
        <f t="shared" si="4"/>
        <v>0</v>
      </c>
      <c r="S57" s="113">
        <v>0</v>
      </c>
      <c r="T57" s="113">
        <v>0</v>
      </c>
      <c r="U57" s="113"/>
      <c r="V57" s="116">
        <f t="shared" si="5"/>
        <v>0</v>
      </c>
      <c r="W57" s="117">
        <f t="shared" si="6"/>
        <v>0</v>
      </c>
    </row>
    <row r="58" spans="1:23" x14ac:dyDescent="0.25">
      <c r="A58" s="111">
        <v>11</v>
      </c>
      <c r="B58" s="279" t="s">
        <v>237</v>
      </c>
      <c r="C58" s="280"/>
      <c r="D58" s="142" t="s">
        <v>204</v>
      </c>
      <c r="E58" s="120">
        <f>SUM(E59:E61)</f>
        <v>0</v>
      </c>
      <c r="F58" s="120">
        <f>SUM(F59:F61)</f>
        <v>0</v>
      </c>
      <c r="G58" s="120">
        <f>SUM(G59:G61)</f>
        <v>0</v>
      </c>
      <c r="H58" s="116">
        <f t="shared" si="0"/>
        <v>0</v>
      </c>
      <c r="I58" s="120">
        <f>SUM(I59:I61)</f>
        <v>0</v>
      </c>
      <c r="J58" s="120">
        <f>SUM(J59:J61)</f>
        <v>0</v>
      </c>
      <c r="K58" s="120">
        <f>SUM(K59:K61)</f>
        <v>0</v>
      </c>
      <c r="L58" s="116">
        <f t="shared" si="1"/>
        <v>0</v>
      </c>
      <c r="M58" s="115">
        <f t="shared" si="2"/>
        <v>0</v>
      </c>
      <c r="N58" s="120">
        <f>SUM(N59:N61)</f>
        <v>0</v>
      </c>
      <c r="O58" s="120">
        <v>0</v>
      </c>
      <c r="P58" s="120">
        <f>SUM(P59:P61)</f>
        <v>0</v>
      </c>
      <c r="Q58" s="116">
        <f t="shared" si="3"/>
        <v>0</v>
      </c>
      <c r="R58" s="115">
        <f t="shared" si="4"/>
        <v>0</v>
      </c>
      <c r="S58" s="120">
        <f>S59+S60+S61</f>
        <v>0</v>
      </c>
      <c r="T58" s="120">
        <f>T59+T60+T61</f>
        <v>0</v>
      </c>
      <c r="U58" s="120">
        <f>U59+U60+U61</f>
        <v>0</v>
      </c>
      <c r="V58" s="116">
        <f t="shared" si="5"/>
        <v>0</v>
      </c>
      <c r="W58" s="117">
        <f t="shared" si="6"/>
        <v>0</v>
      </c>
    </row>
    <row r="59" spans="1:23" x14ac:dyDescent="0.25">
      <c r="A59" s="122" t="s">
        <v>238</v>
      </c>
      <c r="B59" s="279" t="s">
        <v>239</v>
      </c>
      <c r="C59" s="280" t="s">
        <v>240</v>
      </c>
      <c r="D59" s="142" t="s">
        <v>204</v>
      </c>
      <c r="E59" s="113">
        <v>0</v>
      </c>
      <c r="F59" s="113">
        <v>0</v>
      </c>
      <c r="G59" s="113">
        <v>0</v>
      </c>
      <c r="H59" s="116">
        <f t="shared" si="0"/>
        <v>0</v>
      </c>
      <c r="I59" s="113">
        <v>0</v>
      </c>
      <c r="J59" s="113">
        <v>0</v>
      </c>
      <c r="K59" s="113">
        <v>0</v>
      </c>
      <c r="L59" s="116">
        <f t="shared" si="1"/>
        <v>0</v>
      </c>
      <c r="M59" s="115">
        <f t="shared" si="2"/>
        <v>0</v>
      </c>
      <c r="N59" s="113">
        <v>0</v>
      </c>
      <c r="O59" s="113">
        <v>0</v>
      </c>
      <c r="P59" s="113">
        <v>0</v>
      </c>
      <c r="Q59" s="116">
        <f t="shared" si="3"/>
        <v>0</v>
      </c>
      <c r="R59" s="115">
        <f t="shared" si="4"/>
        <v>0</v>
      </c>
      <c r="S59" s="113">
        <v>0</v>
      </c>
      <c r="T59" s="113">
        <v>0</v>
      </c>
      <c r="U59" s="113">
        <v>0</v>
      </c>
      <c r="V59" s="116">
        <f t="shared" si="5"/>
        <v>0</v>
      </c>
      <c r="W59" s="117">
        <f t="shared" si="6"/>
        <v>0</v>
      </c>
    </row>
    <row r="60" spans="1:23" x14ac:dyDescent="0.25">
      <c r="A60" s="122" t="s">
        <v>241</v>
      </c>
      <c r="B60" s="277" t="s">
        <v>242</v>
      </c>
      <c r="C60" s="278"/>
      <c r="D60" s="142" t="s">
        <v>204</v>
      </c>
      <c r="E60" s="113">
        <v>0</v>
      </c>
      <c r="F60" s="113">
        <v>0</v>
      </c>
      <c r="G60" s="113">
        <v>0</v>
      </c>
      <c r="H60" s="116">
        <f t="shared" si="0"/>
        <v>0</v>
      </c>
      <c r="I60" s="113">
        <v>0</v>
      </c>
      <c r="J60" s="113">
        <v>0</v>
      </c>
      <c r="K60" s="113">
        <v>0</v>
      </c>
      <c r="L60" s="116">
        <f t="shared" si="1"/>
        <v>0</v>
      </c>
      <c r="M60" s="115">
        <f t="shared" si="2"/>
        <v>0</v>
      </c>
      <c r="N60" s="113">
        <v>0</v>
      </c>
      <c r="O60" s="113">
        <v>0</v>
      </c>
      <c r="P60" s="113">
        <v>0</v>
      </c>
      <c r="Q60" s="116">
        <f t="shared" si="3"/>
        <v>0</v>
      </c>
      <c r="R60" s="115">
        <f t="shared" si="4"/>
        <v>0</v>
      </c>
      <c r="S60" s="113"/>
      <c r="T60" s="113">
        <v>0</v>
      </c>
      <c r="U60" s="113">
        <v>0</v>
      </c>
      <c r="V60" s="116">
        <f t="shared" si="5"/>
        <v>0</v>
      </c>
      <c r="W60" s="117">
        <f t="shared" si="6"/>
        <v>0</v>
      </c>
    </row>
    <row r="61" spans="1:23" x14ac:dyDescent="0.25">
      <c r="A61" s="122" t="s">
        <v>243</v>
      </c>
      <c r="B61" s="279" t="s">
        <v>244</v>
      </c>
      <c r="C61" s="280" t="s">
        <v>245</v>
      </c>
      <c r="D61" s="142" t="s">
        <v>204</v>
      </c>
      <c r="E61" s="113">
        <v>0</v>
      </c>
      <c r="F61" s="113">
        <v>0</v>
      </c>
      <c r="G61" s="113">
        <v>0</v>
      </c>
      <c r="H61" s="116">
        <f t="shared" si="0"/>
        <v>0</v>
      </c>
      <c r="I61" s="113">
        <v>0</v>
      </c>
      <c r="J61" s="113">
        <v>0</v>
      </c>
      <c r="K61" s="113">
        <v>0</v>
      </c>
      <c r="L61" s="116">
        <f t="shared" si="1"/>
        <v>0</v>
      </c>
      <c r="M61" s="115">
        <f t="shared" si="2"/>
        <v>0</v>
      </c>
      <c r="N61" s="113">
        <v>0</v>
      </c>
      <c r="O61" s="113">
        <v>0</v>
      </c>
      <c r="P61" s="113">
        <v>0</v>
      </c>
      <c r="Q61" s="116">
        <f t="shared" si="3"/>
        <v>0</v>
      </c>
      <c r="R61" s="115">
        <f t="shared" si="4"/>
        <v>0</v>
      </c>
      <c r="S61" s="113">
        <v>0</v>
      </c>
      <c r="T61" s="113">
        <v>0</v>
      </c>
      <c r="U61" s="113">
        <v>0</v>
      </c>
      <c r="V61" s="116">
        <f t="shared" si="5"/>
        <v>0</v>
      </c>
      <c r="W61" s="117">
        <f t="shared" si="6"/>
        <v>0</v>
      </c>
    </row>
    <row r="62" spans="1:23" x14ac:dyDescent="0.25">
      <c r="A62" s="111">
        <v>12</v>
      </c>
      <c r="B62" s="279" t="s">
        <v>246</v>
      </c>
      <c r="C62" s="280"/>
      <c r="D62" s="142" t="s">
        <v>204</v>
      </c>
      <c r="E62" s="120">
        <f>SUM(E63:E69,E70,E71:E73,E78,E72)</f>
        <v>4.6920000000000002</v>
      </c>
      <c r="F62" s="120">
        <f>SUM(F63:F69,F70,F71:F73,F78,F72)</f>
        <v>4.6920000000000002</v>
      </c>
      <c r="G62" s="120">
        <f>SUM(G63:G69,G70,G71:G73,G78,G72)</f>
        <v>5.6219999999999999</v>
      </c>
      <c r="H62" s="116">
        <f t="shared" si="0"/>
        <v>15.006</v>
      </c>
      <c r="I62" s="120">
        <f>SUM(I63:I69,I70,I71:I73,I78,I72)</f>
        <v>4.6920000000000002</v>
      </c>
      <c r="J62" s="120">
        <f>SUM(J63:J69,J70,J71:J73,J78,J72)</f>
        <v>0</v>
      </c>
      <c r="K62" s="120">
        <f>SUM(K63:K69,K70,K71:K73,K78,K72)</f>
        <v>0</v>
      </c>
      <c r="L62" s="116">
        <f t="shared" si="1"/>
        <v>4.6920000000000002</v>
      </c>
      <c r="M62" s="115">
        <f t="shared" si="2"/>
        <v>19.698</v>
      </c>
      <c r="N62" s="120">
        <f>SUM(N63:N69,N70,N71:N73,N78,N72)</f>
        <v>0</v>
      </c>
      <c r="O62" s="120">
        <f>SUM(O63:O69,O70,O71:O73,O78,O72)</f>
        <v>0</v>
      </c>
      <c r="P62" s="120">
        <f>SUM(P63:P69,P70,P71:P73,P78,P72)</f>
        <v>0</v>
      </c>
      <c r="Q62" s="116">
        <f t="shared" si="3"/>
        <v>0</v>
      </c>
      <c r="R62" s="115">
        <f t="shared" si="4"/>
        <v>19.698</v>
      </c>
      <c r="S62" s="120">
        <f>SUM(S63:S69,S70,S71:S73,S78,S72)</f>
        <v>2.3715000000000002</v>
      </c>
      <c r="T62" s="120">
        <f>SUM(T63:T69,T70,T71:T73,T78,T72)</f>
        <v>4.6920000000000002</v>
      </c>
      <c r="U62" s="120">
        <f>SUM(U63:U69,U70,U71:U73,U78,U72)</f>
        <v>4.6920000000000002</v>
      </c>
      <c r="V62" s="116">
        <f t="shared" si="5"/>
        <v>11.755500000000001</v>
      </c>
      <c r="W62" s="117">
        <f t="shared" si="6"/>
        <v>31.453500000000002</v>
      </c>
    </row>
    <row r="63" spans="1:23" x14ac:dyDescent="0.25">
      <c r="A63" s="122" t="s">
        <v>247</v>
      </c>
      <c r="B63" s="279" t="s">
        <v>248</v>
      </c>
      <c r="C63" s="280" t="s">
        <v>248</v>
      </c>
      <c r="D63" s="142" t="s">
        <v>204</v>
      </c>
      <c r="E63" s="113">
        <v>0.72199999999999998</v>
      </c>
      <c r="F63" s="113">
        <v>0.72199999999999998</v>
      </c>
      <c r="G63" s="113">
        <v>0.72199999999999998</v>
      </c>
      <c r="H63" s="116">
        <f t="shared" si="0"/>
        <v>2.1659999999999999</v>
      </c>
      <c r="I63" s="113">
        <v>0.72199999999999998</v>
      </c>
      <c r="J63" s="113"/>
      <c r="K63" s="113"/>
      <c r="L63" s="116">
        <f t="shared" si="1"/>
        <v>0.72199999999999998</v>
      </c>
      <c r="M63" s="115">
        <f t="shared" si="2"/>
        <v>2.8879999999999999</v>
      </c>
      <c r="N63" s="113"/>
      <c r="O63" s="113"/>
      <c r="P63" s="113"/>
      <c r="Q63" s="116">
        <f t="shared" si="3"/>
        <v>0</v>
      </c>
      <c r="R63" s="115">
        <f t="shared" si="4"/>
        <v>2.8879999999999999</v>
      </c>
      <c r="S63" s="113">
        <v>0.38600000000000001</v>
      </c>
      <c r="T63" s="113">
        <v>0.72199999999999998</v>
      </c>
      <c r="U63" s="113">
        <v>0.72199999999999998</v>
      </c>
      <c r="V63" s="116">
        <f t="shared" si="5"/>
        <v>1.83</v>
      </c>
      <c r="W63" s="117">
        <f t="shared" si="6"/>
        <v>4.718</v>
      </c>
    </row>
    <row r="64" spans="1:23" x14ac:dyDescent="0.25">
      <c r="A64" s="122" t="s">
        <v>249</v>
      </c>
      <c r="B64" s="277" t="s">
        <v>250</v>
      </c>
      <c r="C64" s="278" t="s">
        <v>250</v>
      </c>
      <c r="D64" s="142" t="s">
        <v>204</v>
      </c>
      <c r="E64" s="113"/>
      <c r="F64" s="113"/>
      <c r="G64" s="113"/>
      <c r="H64" s="116">
        <f t="shared" si="0"/>
        <v>0</v>
      </c>
      <c r="I64" s="113"/>
      <c r="J64" s="113"/>
      <c r="K64" s="113"/>
      <c r="L64" s="116">
        <f t="shared" si="1"/>
        <v>0</v>
      </c>
      <c r="M64" s="115">
        <f t="shared" si="2"/>
        <v>0</v>
      </c>
      <c r="N64" s="113"/>
      <c r="O64" s="113"/>
      <c r="P64" s="113"/>
      <c r="Q64" s="116">
        <f t="shared" si="3"/>
        <v>0</v>
      </c>
      <c r="R64" s="115">
        <f t="shared" si="4"/>
        <v>0</v>
      </c>
      <c r="S64" s="113"/>
      <c r="T64" s="113"/>
      <c r="U64" s="113"/>
      <c r="V64" s="116">
        <f t="shared" si="5"/>
        <v>0</v>
      </c>
      <c r="W64" s="117">
        <f t="shared" si="6"/>
        <v>0</v>
      </c>
    </row>
    <row r="65" spans="1:23" x14ac:dyDescent="0.25">
      <c r="A65" s="122" t="s">
        <v>251</v>
      </c>
      <c r="B65" s="279" t="s">
        <v>58</v>
      </c>
      <c r="C65" s="280" t="s">
        <v>58</v>
      </c>
      <c r="D65" s="142" t="s">
        <v>204</v>
      </c>
      <c r="E65" s="113"/>
      <c r="F65" s="113"/>
      <c r="G65" s="113"/>
      <c r="H65" s="116">
        <f t="shared" si="0"/>
        <v>0</v>
      </c>
      <c r="I65" s="113"/>
      <c r="J65" s="113"/>
      <c r="K65" s="113"/>
      <c r="L65" s="116">
        <f t="shared" si="1"/>
        <v>0</v>
      </c>
      <c r="M65" s="115">
        <f t="shared" si="2"/>
        <v>0</v>
      </c>
      <c r="N65" s="113"/>
      <c r="O65" s="113"/>
      <c r="P65" s="113"/>
      <c r="Q65" s="116">
        <f t="shared" si="3"/>
        <v>0</v>
      </c>
      <c r="R65" s="115">
        <f t="shared" si="4"/>
        <v>0</v>
      </c>
      <c r="S65" s="113"/>
      <c r="T65" s="113"/>
      <c r="U65" s="113"/>
      <c r="V65" s="116">
        <f t="shared" si="5"/>
        <v>0</v>
      </c>
      <c r="W65" s="117">
        <f t="shared" si="6"/>
        <v>0</v>
      </c>
    </row>
    <row r="66" spans="1:23" x14ac:dyDescent="0.25">
      <c r="A66" s="122" t="s">
        <v>252</v>
      </c>
      <c r="B66" s="164" t="s">
        <v>253</v>
      </c>
      <c r="C66" s="165"/>
      <c r="D66" s="142" t="s">
        <v>132</v>
      </c>
      <c r="E66" s="113"/>
      <c r="F66" s="113"/>
      <c r="G66" s="113"/>
      <c r="H66" s="116">
        <f t="shared" si="0"/>
        <v>0</v>
      </c>
      <c r="I66" s="113"/>
      <c r="J66" s="168"/>
      <c r="K66" s="113"/>
      <c r="L66" s="116">
        <f t="shared" si="1"/>
        <v>0</v>
      </c>
      <c r="M66" s="115">
        <f t="shared" si="2"/>
        <v>0</v>
      </c>
      <c r="N66" s="113"/>
      <c r="O66" s="113"/>
      <c r="P66" s="113"/>
      <c r="Q66" s="116">
        <f t="shared" si="3"/>
        <v>0</v>
      </c>
      <c r="R66" s="115">
        <f t="shared" si="4"/>
        <v>0</v>
      </c>
      <c r="S66" s="113"/>
      <c r="T66" s="113"/>
      <c r="U66" s="113"/>
      <c r="V66" s="116">
        <f t="shared" si="5"/>
        <v>0</v>
      </c>
      <c r="W66" s="117">
        <f t="shared" si="6"/>
        <v>0</v>
      </c>
    </row>
    <row r="67" spans="1:23" x14ac:dyDescent="0.25">
      <c r="A67" s="122" t="s">
        <v>254</v>
      </c>
      <c r="B67" s="277" t="s">
        <v>255</v>
      </c>
      <c r="C67" s="278" t="s">
        <v>255</v>
      </c>
      <c r="D67" s="142" t="s">
        <v>204</v>
      </c>
      <c r="E67" s="113">
        <v>1.1180000000000001</v>
      </c>
      <c r="F67" s="113">
        <v>1.1180000000000001</v>
      </c>
      <c r="G67" s="113">
        <v>1.1180000000000001</v>
      </c>
      <c r="H67" s="116">
        <f t="shared" si="0"/>
        <v>3.3540000000000001</v>
      </c>
      <c r="I67" s="113">
        <v>1.1180000000000001</v>
      </c>
      <c r="J67" s="113"/>
      <c r="K67" s="113"/>
      <c r="L67" s="116">
        <f t="shared" si="1"/>
        <v>1.1180000000000001</v>
      </c>
      <c r="M67" s="115">
        <f t="shared" si="2"/>
        <v>4.4720000000000004</v>
      </c>
      <c r="N67" s="113"/>
      <c r="O67" s="113"/>
      <c r="P67" s="113"/>
      <c r="Q67" s="116">
        <f t="shared" si="3"/>
        <v>0</v>
      </c>
      <c r="R67" s="115">
        <f t="shared" si="4"/>
        <v>4.4720000000000004</v>
      </c>
      <c r="S67" s="113">
        <v>0.55900000000000005</v>
      </c>
      <c r="T67" s="113">
        <v>1.1180000000000001</v>
      </c>
      <c r="U67" s="113">
        <v>1.1180000000000001</v>
      </c>
      <c r="V67" s="116">
        <f t="shared" si="5"/>
        <v>2.7949999999999999</v>
      </c>
      <c r="W67" s="117">
        <f t="shared" si="6"/>
        <v>7.2670000000000003</v>
      </c>
    </row>
    <row r="68" spans="1:23" x14ac:dyDescent="0.25">
      <c r="A68" s="122" t="s">
        <v>256</v>
      </c>
      <c r="B68" s="277" t="s">
        <v>257</v>
      </c>
      <c r="C68" s="278" t="s">
        <v>257</v>
      </c>
      <c r="D68" s="142" t="s">
        <v>204</v>
      </c>
      <c r="E68" s="113">
        <v>0.70899999999999996</v>
      </c>
      <c r="F68" s="113">
        <v>0.70899999999999996</v>
      </c>
      <c r="G68" s="113">
        <v>0.70899999999999996</v>
      </c>
      <c r="H68" s="116">
        <f t="shared" si="0"/>
        <v>2.1269999999999998</v>
      </c>
      <c r="I68" s="113">
        <v>0.70899999999999996</v>
      </c>
      <c r="J68" s="113"/>
      <c r="K68" s="113"/>
      <c r="L68" s="116">
        <f t="shared" si="1"/>
        <v>0.70899999999999996</v>
      </c>
      <c r="M68" s="115">
        <f t="shared" si="2"/>
        <v>2.8359999999999999</v>
      </c>
      <c r="N68" s="113"/>
      <c r="O68" s="113"/>
      <c r="P68" s="113"/>
      <c r="Q68" s="116">
        <f t="shared" si="3"/>
        <v>0</v>
      </c>
      <c r="R68" s="115">
        <f t="shared" si="4"/>
        <v>2.8359999999999999</v>
      </c>
      <c r="S68" s="113">
        <v>0.35499999999999998</v>
      </c>
      <c r="T68" s="113">
        <v>0.70899999999999996</v>
      </c>
      <c r="U68" s="113">
        <v>0.70899999999999996</v>
      </c>
      <c r="V68" s="116">
        <f t="shared" si="5"/>
        <v>1.7730000000000001</v>
      </c>
      <c r="W68" s="117">
        <f t="shared" si="6"/>
        <v>4.609</v>
      </c>
    </row>
    <row r="69" spans="1:23" x14ac:dyDescent="0.25">
      <c r="A69" s="122" t="s">
        <v>258</v>
      </c>
      <c r="B69" s="279" t="s">
        <v>259</v>
      </c>
      <c r="C69" s="280" t="s">
        <v>260</v>
      </c>
      <c r="D69" s="142" t="s">
        <v>204</v>
      </c>
      <c r="E69" s="113"/>
      <c r="F69" s="113"/>
      <c r="G69" s="113"/>
      <c r="H69" s="116">
        <f t="shared" si="0"/>
        <v>0</v>
      </c>
      <c r="I69" s="113"/>
      <c r="J69" s="113"/>
      <c r="K69" s="113"/>
      <c r="L69" s="116">
        <f t="shared" si="1"/>
        <v>0</v>
      </c>
      <c r="M69" s="115">
        <f t="shared" si="2"/>
        <v>0</v>
      </c>
      <c r="N69" s="113"/>
      <c r="O69" s="113"/>
      <c r="P69" s="113"/>
      <c r="Q69" s="116">
        <f t="shared" si="3"/>
        <v>0</v>
      </c>
      <c r="R69" s="115">
        <f t="shared" si="4"/>
        <v>0</v>
      </c>
      <c r="S69" s="113"/>
      <c r="T69" s="113"/>
      <c r="U69" s="113"/>
      <c r="V69" s="116">
        <f t="shared" si="5"/>
        <v>0</v>
      </c>
      <c r="W69" s="117">
        <f t="shared" si="6"/>
        <v>0</v>
      </c>
    </row>
    <row r="70" spans="1:23" x14ac:dyDescent="0.25">
      <c r="A70" s="122" t="s">
        <v>261</v>
      </c>
      <c r="B70" s="277" t="s">
        <v>262</v>
      </c>
      <c r="C70" s="278" t="s">
        <v>263</v>
      </c>
      <c r="D70" s="142" t="s">
        <v>204</v>
      </c>
      <c r="E70" s="113"/>
      <c r="F70" s="113"/>
      <c r="G70" s="113"/>
      <c r="H70" s="116">
        <f t="shared" si="0"/>
        <v>0</v>
      </c>
      <c r="I70" s="113"/>
      <c r="J70" s="113"/>
      <c r="K70" s="113"/>
      <c r="L70" s="116">
        <f t="shared" si="1"/>
        <v>0</v>
      </c>
      <c r="M70" s="115">
        <f t="shared" si="2"/>
        <v>0</v>
      </c>
      <c r="N70" s="113"/>
      <c r="O70" s="113"/>
      <c r="P70" s="113"/>
      <c r="Q70" s="116">
        <f t="shared" si="3"/>
        <v>0</v>
      </c>
      <c r="R70" s="115">
        <f t="shared" si="4"/>
        <v>0</v>
      </c>
      <c r="S70" s="113"/>
      <c r="T70" s="113"/>
      <c r="U70" s="113"/>
      <c r="V70" s="116">
        <f t="shared" si="5"/>
        <v>0</v>
      </c>
      <c r="W70" s="117">
        <f t="shared" si="6"/>
        <v>0</v>
      </c>
    </row>
    <row r="71" spans="1:23" x14ac:dyDescent="0.25">
      <c r="A71" s="122" t="s">
        <v>264</v>
      </c>
      <c r="B71" s="277" t="s">
        <v>265</v>
      </c>
      <c r="C71" s="293"/>
      <c r="D71" s="142" t="s">
        <v>204</v>
      </c>
      <c r="E71" s="113"/>
      <c r="F71" s="113"/>
      <c r="G71" s="113"/>
      <c r="H71" s="116">
        <f t="shared" si="0"/>
        <v>0</v>
      </c>
      <c r="I71" s="113"/>
      <c r="J71" s="113"/>
      <c r="K71" s="113"/>
      <c r="L71" s="116">
        <f t="shared" si="1"/>
        <v>0</v>
      </c>
      <c r="M71" s="115">
        <f t="shared" si="2"/>
        <v>0</v>
      </c>
      <c r="N71" s="113"/>
      <c r="O71" s="113"/>
      <c r="P71" s="113"/>
      <c r="Q71" s="116">
        <f t="shared" si="3"/>
        <v>0</v>
      </c>
      <c r="R71" s="115">
        <f t="shared" si="4"/>
        <v>0</v>
      </c>
      <c r="S71" s="113"/>
      <c r="T71" s="113"/>
      <c r="U71" s="113"/>
      <c r="V71" s="116">
        <f t="shared" si="5"/>
        <v>0</v>
      </c>
      <c r="W71" s="117">
        <f t="shared" si="6"/>
        <v>0</v>
      </c>
    </row>
    <row r="72" spans="1:23" x14ac:dyDescent="0.25">
      <c r="A72" s="122" t="s">
        <v>266</v>
      </c>
      <c r="B72" s="279" t="s">
        <v>267</v>
      </c>
      <c r="C72" s="280" t="s">
        <v>268</v>
      </c>
      <c r="D72" s="142" t="s">
        <v>204</v>
      </c>
      <c r="E72" s="113"/>
      <c r="F72" s="113"/>
      <c r="G72" s="113"/>
      <c r="H72" s="116">
        <f t="shared" si="0"/>
        <v>0</v>
      </c>
      <c r="I72" s="113"/>
      <c r="J72" s="113"/>
      <c r="K72" s="113"/>
      <c r="L72" s="116">
        <f t="shared" si="1"/>
        <v>0</v>
      </c>
      <c r="M72" s="115">
        <f t="shared" si="2"/>
        <v>0</v>
      </c>
      <c r="N72" s="113"/>
      <c r="O72" s="113"/>
      <c r="P72" s="113"/>
      <c r="Q72" s="116">
        <f t="shared" si="3"/>
        <v>0</v>
      </c>
      <c r="R72" s="115">
        <f t="shared" si="4"/>
        <v>0</v>
      </c>
      <c r="S72" s="113"/>
      <c r="T72" s="113"/>
      <c r="U72" s="113"/>
      <c r="V72" s="116">
        <f t="shared" si="5"/>
        <v>0</v>
      </c>
      <c r="W72" s="117">
        <f t="shared" si="6"/>
        <v>0</v>
      </c>
    </row>
    <row r="73" spans="1:23" x14ac:dyDescent="0.25">
      <c r="A73" s="122" t="s">
        <v>269</v>
      </c>
      <c r="B73" s="279" t="s">
        <v>233</v>
      </c>
      <c r="C73" s="280" t="s">
        <v>233</v>
      </c>
      <c r="D73" s="142" t="s">
        <v>204</v>
      </c>
      <c r="E73" s="113">
        <f>SUM(E74:E77)</f>
        <v>7.8E-2</v>
      </c>
      <c r="F73" s="113">
        <f>SUM(F74:F77)</f>
        <v>7.8E-2</v>
      </c>
      <c r="G73" s="113">
        <f>SUM(G74:G77)</f>
        <v>7.8E-2</v>
      </c>
      <c r="H73" s="116">
        <f t="shared" si="0"/>
        <v>0.23399999999999999</v>
      </c>
      <c r="I73" s="113">
        <f>SUM(I74:I77)</f>
        <v>7.8E-2</v>
      </c>
      <c r="J73" s="113">
        <v>0</v>
      </c>
      <c r="K73" s="113">
        <f>SUM(K74:K77)</f>
        <v>0</v>
      </c>
      <c r="L73" s="116">
        <f t="shared" si="1"/>
        <v>7.8E-2</v>
      </c>
      <c r="M73" s="115">
        <f t="shared" si="2"/>
        <v>0.312</v>
      </c>
      <c r="N73" s="113">
        <f>SUM(N74:N77)</f>
        <v>0</v>
      </c>
      <c r="O73" s="113">
        <f>SUM(O74:O77)</f>
        <v>0</v>
      </c>
      <c r="P73" s="113">
        <f>SUM(P74:P77)</f>
        <v>0</v>
      </c>
      <c r="Q73" s="116">
        <f t="shared" si="3"/>
        <v>0</v>
      </c>
      <c r="R73" s="115">
        <f t="shared" si="4"/>
        <v>0.312</v>
      </c>
      <c r="S73" s="113">
        <f>SUM(S74:S77)</f>
        <v>3.9E-2</v>
      </c>
      <c r="T73" s="113">
        <f>SUM(T74:T77)</f>
        <v>7.8E-2</v>
      </c>
      <c r="U73" s="113">
        <f>SUM(U74:U77)</f>
        <v>7.8E-2</v>
      </c>
      <c r="V73" s="116">
        <f t="shared" si="5"/>
        <v>0.19500000000000001</v>
      </c>
      <c r="W73" s="117">
        <f t="shared" si="6"/>
        <v>0.50700000000000001</v>
      </c>
    </row>
    <row r="74" spans="1:23" x14ac:dyDescent="0.25">
      <c r="A74" s="122"/>
      <c r="B74" s="279" t="s">
        <v>270</v>
      </c>
      <c r="C74" s="280" t="s">
        <v>270</v>
      </c>
      <c r="D74" s="142" t="s">
        <v>204</v>
      </c>
      <c r="E74" s="113">
        <v>7.8E-2</v>
      </c>
      <c r="F74" s="113">
        <v>7.8E-2</v>
      </c>
      <c r="G74" s="113">
        <v>7.8E-2</v>
      </c>
      <c r="H74" s="116">
        <f t="shared" ref="H74:H89" si="9">SUM(E74:G74)</f>
        <v>0.23399999999999999</v>
      </c>
      <c r="I74" s="113">
        <v>7.8E-2</v>
      </c>
      <c r="J74" s="113"/>
      <c r="K74" s="113"/>
      <c r="L74" s="116">
        <f t="shared" ref="L74:L89" si="10">SUM(I74:K74)</f>
        <v>7.8E-2</v>
      </c>
      <c r="M74" s="115">
        <f t="shared" ref="M74:M89" si="11">L74+H74</f>
        <v>0.312</v>
      </c>
      <c r="N74" s="113"/>
      <c r="O74" s="113"/>
      <c r="P74" s="113"/>
      <c r="Q74" s="116">
        <f t="shared" ref="Q74:Q89" si="12">SUM(N74:P74)</f>
        <v>0</v>
      </c>
      <c r="R74" s="115">
        <f t="shared" ref="R74:R89" si="13">Q74+M74</f>
        <v>0.312</v>
      </c>
      <c r="S74" s="113">
        <v>3.9E-2</v>
      </c>
      <c r="T74" s="113">
        <v>7.8E-2</v>
      </c>
      <c r="U74" s="113">
        <v>7.8E-2</v>
      </c>
      <c r="V74" s="116">
        <f t="shared" ref="V74:V89" si="14">SUM(S74:U74)</f>
        <v>0.19500000000000001</v>
      </c>
      <c r="W74" s="117">
        <f t="shared" ref="W74:W89" si="15">V74+R74</f>
        <v>0.50700000000000001</v>
      </c>
    </row>
    <row r="75" spans="1:23" x14ac:dyDescent="0.25">
      <c r="A75" s="122"/>
      <c r="B75" s="279" t="s">
        <v>271</v>
      </c>
      <c r="C75" s="280" t="s">
        <v>271</v>
      </c>
      <c r="D75" s="142" t="s">
        <v>204</v>
      </c>
      <c r="E75" s="113"/>
      <c r="F75" s="113"/>
      <c r="G75" s="113"/>
      <c r="H75" s="116">
        <f t="shared" si="9"/>
        <v>0</v>
      </c>
      <c r="I75" s="113"/>
      <c r="J75" s="113"/>
      <c r="K75" s="113"/>
      <c r="L75" s="116">
        <f t="shared" si="10"/>
        <v>0</v>
      </c>
      <c r="M75" s="115">
        <f t="shared" si="11"/>
        <v>0</v>
      </c>
      <c r="N75" s="113"/>
      <c r="O75" s="113"/>
      <c r="P75" s="113"/>
      <c r="Q75" s="116">
        <f t="shared" si="12"/>
        <v>0</v>
      </c>
      <c r="R75" s="115">
        <f t="shared" si="13"/>
        <v>0</v>
      </c>
      <c r="S75" s="113"/>
      <c r="T75" s="113"/>
      <c r="U75" s="113"/>
      <c r="V75" s="116">
        <f t="shared" si="14"/>
        <v>0</v>
      </c>
      <c r="W75" s="117">
        <f t="shared" si="15"/>
        <v>0</v>
      </c>
    </row>
    <row r="76" spans="1:23" x14ac:dyDescent="0.25">
      <c r="A76" s="122"/>
      <c r="B76" s="279" t="s">
        <v>272</v>
      </c>
      <c r="C76" s="280" t="s">
        <v>273</v>
      </c>
      <c r="D76" s="142" t="s">
        <v>204</v>
      </c>
      <c r="E76" s="113"/>
      <c r="F76" s="113"/>
      <c r="G76" s="113"/>
      <c r="H76" s="116">
        <f t="shared" si="9"/>
        <v>0</v>
      </c>
      <c r="I76" s="113"/>
      <c r="J76" s="113"/>
      <c r="K76" s="113"/>
      <c r="L76" s="116">
        <f t="shared" si="10"/>
        <v>0</v>
      </c>
      <c r="M76" s="115">
        <f t="shared" si="11"/>
        <v>0</v>
      </c>
      <c r="N76" s="113"/>
      <c r="O76" s="113"/>
      <c r="P76" s="113"/>
      <c r="Q76" s="116">
        <f t="shared" si="12"/>
        <v>0</v>
      </c>
      <c r="R76" s="115">
        <f t="shared" si="13"/>
        <v>0</v>
      </c>
      <c r="S76" s="113"/>
      <c r="T76" s="113"/>
      <c r="U76" s="113"/>
      <c r="V76" s="116">
        <f t="shared" si="14"/>
        <v>0</v>
      </c>
      <c r="W76" s="117">
        <f t="shared" si="15"/>
        <v>0</v>
      </c>
    </row>
    <row r="77" spans="1:23" x14ac:dyDescent="0.25">
      <c r="A77" s="122"/>
      <c r="B77" s="164" t="s">
        <v>274</v>
      </c>
      <c r="C77" s="165"/>
      <c r="D77" s="142" t="s">
        <v>204</v>
      </c>
      <c r="E77" s="113"/>
      <c r="F77" s="113"/>
      <c r="G77" s="113"/>
      <c r="H77" s="116">
        <f t="shared" si="9"/>
        <v>0</v>
      </c>
      <c r="I77" s="113"/>
      <c r="J77" s="113"/>
      <c r="K77" s="113"/>
      <c r="L77" s="116">
        <f t="shared" si="10"/>
        <v>0</v>
      </c>
      <c r="M77" s="115">
        <f t="shared" si="11"/>
        <v>0</v>
      </c>
      <c r="N77" s="113"/>
      <c r="O77" s="113"/>
      <c r="P77" s="113"/>
      <c r="Q77" s="116">
        <f t="shared" si="12"/>
        <v>0</v>
      </c>
      <c r="R77" s="115">
        <f t="shared" si="13"/>
        <v>0</v>
      </c>
      <c r="S77" s="113"/>
      <c r="T77" s="113"/>
      <c r="U77" s="113"/>
      <c r="V77" s="116">
        <f t="shared" si="14"/>
        <v>0</v>
      </c>
      <c r="W77" s="117">
        <f t="shared" si="15"/>
        <v>0</v>
      </c>
    </row>
    <row r="78" spans="1:23" x14ac:dyDescent="0.25">
      <c r="A78" s="122" t="s">
        <v>275</v>
      </c>
      <c r="B78" s="279" t="s">
        <v>276</v>
      </c>
      <c r="C78" s="280" t="s">
        <v>276</v>
      </c>
      <c r="D78" s="142" t="s">
        <v>204</v>
      </c>
      <c r="E78" s="120">
        <f>SUM(E79:E81)</f>
        <v>2.0649999999999999</v>
      </c>
      <c r="F78" s="120">
        <f>SUM(F79:F81)</f>
        <v>2.0649999999999999</v>
      </c>
      <c r="G78" s="120">
        <f>SUM(G79:G81)</f>
        <v>2.9950000000000001</v>
      </c>
      <c r="H78" s="116">
        <f t="shared" si="9"/>
        <v>7.125</v>
      </c>
      <c r="I78" s="120">
        <f>SUM(I79:I81)</f>
        <v>2.0649999999999999</v>
      </c>
      <c r="J78" s="120">
        <f>SUM(J79:J81)</f>
        <v>0</v>
      </c>
      <c r="K78" s="120">
        <f>SUM(K79:K81)</f>
        <v>0</v>
      </c>
      <c r="L78" s="116">
        <f t="shared" si="10"/>
        <v>2.0649999999999999</v>
      </c>
      <c r="M78" s="115">
        <f t="shared" si="11"/>
        <v>9.19</v>
      </c>
      <c r="N78" s="120">
        <f>SUM(N79:N81)</f>
        <v>0</v>
      </c>
      <c r="O78" s="120">
        <f>SUM(O79:O81)</f>
        <v>0</v>
      </c>
      <c r="P78" s="120">
        <f>SUM(P79:P81)</f>
        <v>0</v>
      </c>
      <c r="Q78" s="116">
        <f t="shared" si="12"/>
        <v>0</v>
      </c>
      <c r="R78" s="115">
        <f t="shared" si="13"/>
        <v>9.19</v>
      </c>
      <c r="S78" s="120">
        <f>SUM(S79:S81)</f>
        <v>1.0325</v>
      </c>
      <c r="T78" s="120">
        <f>SUM(T79:T81)</f>
        <v>2.0649999999999999</v>
      </c>
      <c r="U78" s="120">
        <f>SUM(U79:U81)</f>
        <v>2.0649999999999999</v>
      </c>
      <c r="V78" s="116">
        <f t="shared" si="14"/>
        <v>5.1624999999999996</v>
      </c>
      <c r="W78" s="117">
        <f t="shared" si="15"/>
        <v>14.352499999999999</v>
      </c>
    </row>
    <row r="79" spans="1:23" x14ac:dyDescent="0.25">
      <c r="A79" s="122" t="s">
        <v>277</v>
      </c>
      <c r="B79" s="279" t="s">
        <v>278</v>
      </c>
      <c r="C79" s="280" t="s">
        <v>278</v>
      </c>
      <c r="D79" s="142" t="s">
        <v>204</v>
      </c>
      <c r="E79" s="113"/>
      <c r="F79" s="113"/>
      <c r="G79" s="113"/>
      <c r="H79" s="116">
        <f t="shared" si="9"/>
        <v>0</v>
      </c>
      <c r="I79" s="113"/>
      <c r="J79" s="113"/>
      <c r="K79" s="113"/>
      <c r="L79" s="116">
        <f t="shared" si="10"/>
        <v>0</v>
      </c>
      <c r="M79" s="115">
        <f t="shared" si="11"/>
        <v>0</v>
      </c>
      <c r="N79" s="113"/>
      <c r="O79" s="113"/>
      <c r="P79" s="113"/>
      <c r="Q79" s="116">
        <f t="shared" si="12"/>
        <v>0</v>
      </c>
      <c r="R79" s="115">
        <f t="shared" si="13"/>
        <v>0</v>
      </c>
      <c r="S79" s="113"/>
      <c r="T79" s="113"/>
      <c r="U79" s="113"/>
      <c r="V79" s="116">
        <f t="shared" si="14"/>
        <v>0</v>
      </c>
      <c r="W79" s="117">
        <f t="shared" si="15"/>
        <v>0</v>
      </c>
    </row>
    <row r="80" spans="1:23" x14ac:dyDescent="0.25">
      <c r="A80" s="122" t="s">
        <v>279</v>
      </c>
      <c r="B80" s="279" t="s">
        <v>280</v>
      </c>
      <c r="C80" s="280" t="s">
        <v>281</v>
      </c>
      <c r="D80" s="142" t="s">
        <v>204</v>
      </c>
      <c r="E80" s="113"/>
      <c r="F80" s="113"/>
      <c r="G80" s="113">
        <v>0.93</v>
      </c>
      <c r="H80" s="116">
        <f t="shared" si="9"/>
        <v>0.93</v>
      </c>
      <c r="I80" s="113"/>
      <c r="J80" s="113"/>
      <c r="K80" s="113"/>
      <c r="L80" s="116">
        <f t="shared" si="10"/>
        <v>0</v>
      </c>
      <c r="M80" s="115">
        <f t="shared" si="11"/>
        <v>0.93</v>
      </c>
      <c r="N80" s="113"/>
      <c r="O80" s="113"/>
      <c r="P80" s="113"/>
      <c r="Q80" s="116">
        <f t="shared" si="12"/>
        <v>0</v>
      </c>
      <c r="R80" s="115">
        <f t="shared" si="13"/>
        <v>0.93</v>
      </c>
      <c r="S80" s="113"/>
      <c r="T80" s="113"/>
      <c r="U80" s="113"/>
      <c r="V80" s="116">
        <f t="shared" si="14"/>
        <v>0</v>
      </c>
      <c r="W80" s="117">
        <f t="shared" si="15"/>
        <v>0.93</v>
      </c>
    </row>
    <row r="81" spans="1:23" x14ac:dyDescent="0.25">
      <c r="A81" s="122" t="s">
        <v>282</v>
      </c>
      <c r="B81" s="164" t="s">
        <v>283</v>
      </c>
      <c r="C81" s="165"/>
      <c r="D81" s="142" t="s">
        <v>204</v>
      </c>
      <c r="E81" s="113">
        <v>2.0649999999999999</v>
      </c>
      <c r="F81" s="113">
        <v>2.0649999999999999</v>
      </c>
      <c r="G81" s="113">
        <v>2.0649999999999999</v>
      </c>
      <c r="H81" s="116">
        <f t="shared" si="9"/>
        <v>6.1950000000000003</v>
      </c>
      <c r="I81" s="113">
        <v>2.0649999999999999</v>
      </c>
      <c r="J81" s="113"/>
      <c r="K81" s="113"/>
      <c r="L81" s="116">
        <f t="shared" si="10"/>
        <v>2.0649999999999999</v>
      </c>
      <c r="M81" s="115">
        <f t="shared" si="11"/>
        <v>8.26</v>
      </c>
      <c r="N81" s="113"/>
      <c r="O81" s="113"/>
      <c r="P81" s="113"/>
      <c r="Q81" s="116">
        <f t="shared" si="12"/>
        <v>0</v>
      </c>
      <c r="R81" s="115">
        <f t="shared" si="13"/>
        <v>8.26</v>
      </c>
      <c r="S81" s="113">
        <v>1.0325</v>
      </c>
      <c r="T81" s="113">
        <v>2.0649999999999999</v>
      </c>
      <c r="U81" s="113">
        <v>2.0649999999999999</v>
      </c>
      <c r="V81" s="116">
        <f t="shared" si="14"/>
        <v>5.1624999999999996</v>
      </c>
      <c r="W81" s="117">
        <f t="shared" si="15"/>
        <v>13.422499999999999</v>
      </c>
    </row>
    <row r="82" spans="1:23" x14ac:dyDescent="0.25">
      <c r="A82" s="111" t="s">
        <v>284</v>
      </c>
      <c r="B82" s="277" t="s">
        <v>285</v>
      </c>
      <c r="C82" s="278"/>
      <c r="D82" s="142" t="s">
        <v>204</v>
      </c>
      <c r="E82" s="113">
        <v>0</v>
      </c>
      <c r="F82" s="113">
        <v>0</v>
      </c>
      <c r="G82" s="114">
        <v>0</v>
      </c>
      <c r="H82" s="116">
        <f t="shared" si="9"/>
        <v>0</v>
      </c>
      <c r="I82" s="113">
        <v>0</v>
      </c>
      <c r="J82" s="113">
        <v>0</v>
      </c>
      <c r="K82" s="113">
        <v>0</v>
      </c>
      <c r="L82" s="116">
        <f t="shared" si="10"/>
        <v>0</v>
      </c>
      <c r="M82" s="115">
        <f t="shared" si="11"/>
        <v>0</v>
      </c>
      <c r="N82" s="113"/>
      <c r="O82" s="113"/>
      <c r="P82" s="113"/>
      <c r="Q82" s="116">
        <f t="shared" si="12"/>
        <v>0</v>
      </c>
      <c r="R82" s="115">
        <f t="shared" si="13"/>
        <v>0</v>
      </c>
      <c r="S82" s="113"/>
      <c r="T82" s="113"/>
      <c r="U82" s="113"/>
      <c r="V82" s="116">
        <f t="shared" si="14"/>
        <v>0</v>
      </c>
      <c r="W82" s="117">
        <f t="shared" si="15"/>
        <v>0</v>
      </c>
    </row>
    <row r="83" spans="1:23" x14ac:dyDescent="0.25">
      <c r="A83" s="111"/>
      <c r="B83" s="164"/>
      <c r="C83" s="165"/>
      <c r="D83" s="142"/>
      <c r="E83" s="113"/>
      <c r="F83" s="113"/>
      <c r="G83" s="114"/>
      <c r="H83" s="116">
        <f t="shared" si="9"/>
        <v>0</v>
      </c>
      <c r="I83" s="113"/>
      <c r="J83" s="113"/>
      <c r="K83" s="113"/>
      <c r="L83" s="116">
        <f t="shared" si="10"/>
        <v>0</v>
      </c>
      <c r="M83" s="115">
        <f t="shared" si="11"/>
        <v>0</v>
      </c>
      <c r="N83" s="113"/>
      <c r="O83" s="113"/>
      <c r="P83" s="113"/>
      <c r="Q83" s="116">
        <f t="shared" si="12"/>
        <v>0</v>
      </c>
      <c r="R83" s="115">
        <f t="shared" si="13"/>
        <v>0</v>
      </c>
      <c r="S83" s="113"/>
      <c r="T83" s="113"/>
      <c r="U83" s="113"/>
      <c r="V83" s="116">
        <f t="shared" si="14"/>
        <v>0</v>
      </c>
      <c r="W83" s="117">
        <f t="shared" si="15"/>
        <v>0</v>
      </c>
    </row>
    <row r="84" spans="1:23" x14ac:dyDescent="0.25">
      <c r="A84" s="118">
        <v>16</v>
      </c>
      <c r="B84" s="275" t="s">
        <v>286</v>
      </c>
      <c r="C84" s="276"/>
      <c r="D84" s="169" t="s">
        <v>204</v>
      </c>
      <c r="E84" s="170">
        <f>E30+E32+E33+E34+E35+E38+E41+E42+E43+E58+E62+E82+E57</f>
        <v>326.26612411539725</v>
      </c>
      <c r="F84" s="170">
        <f>F30+F32+F33+F34+F35+F38+F41+F42+F43+F58+F62+F82+F57</f>
        <v>285.99260847704107</v>
      </c>
      <c r="G84" s="170">
        <f>G30+G32+G33+G34+G35+G38+G41+G42+G43++G58+G62+G82+G57</f>
        <v>260.01477084416439</v>
      </c>
      <c r="H84" s="170">
        <f t="shared" si="9"/>
        <v>872.2735034366026</v>
      </c>
      <c r="I84" s="170">
        <f>I30+I32+I33+I34+I35+I38+I41+I42+I43+I58+I62+I82+I57</f>
        <v>303.2008890551233</v>
      </c>
      <c r="J84" s="170">
        <f>J30+J32+J33+J34+J35+J38+J41+J42+J43+J58+J62+J82+J57</f>
        <v>18.500208999999998</v>
      </c>
      <c r="K84" s="170">
        <f>K30+K32+K33+K34+K35+K38+K41+K42+K43+K58+K62+K82+K57</f>
        <v>18.500208999999998</v>
      </c>
      <c r="L84" s="170">
        <f t="shared" si="10"/>
        <v>340.20130705512327</v>
      </c>
      <c r="M84" s="170">
        <f t="shared" si="11"/>
        <v>1212.4748104917257</v>
      </c>
      <c r="N84" s="170">
        <f t="shared" ref="N84:U84" si="16">SUM(N30,N32:N35,N38,N42:N43,N58:N58,N62:N62,N82,N57)</f>
        <v>18.500208999999998</v>
      </c>
      <c r="O84" s="170">
        <f t="shared" si="16"/>
        <v>18.500208999999998</v>
      </c>
      <c r="P84" s="170">
        <f t="shared" si="16"/>
        <v>18.500208999999998</v>
      </c>
      <c r="Q84" s="170">
        <f t="shared" si="12"/>
        <v>55.500626999999994</v>
      </c>
      <c r="R84" s="170">
        <f t="shared" si="13"/>
        <v>1267.9754374917256</v>
      </c>
      <c r="S84" s="170">
        <f t="shared" si="16"/>
        <v>143.90757108219177</v>
      </c>
      <c r="T84" s="170">
        <f t="shared" si="16"/>
        <v>258.90896452816435</v>
      </c>
      <c r="U84" s="170">
        <f t="shared" si="16"/>
        <v>262.68422033364385</v>
      </c>
      <c r="V84" s="170">
        <f t="shared" si="14"/>
        <v>665.50075594400005</v>
      </c>
      <c r="W84" s="170">
        <f t="shared" si="15"/>
        <v>1933.4761934357257</v>
      </c>
    </row>
    <row r="85" spans="1:23" x14ac:dyDescent="0.25">
      <c r="A85" s="111">
        <v>17</v>
      </c>
      <c r="B85" s="277"/>
      <c r="C85" s="278"/>
      <c r="D85" s="142"/>
      <c r="E85" s="120"/>
      <c r="F85" s="120"/>
      <c r="G85" s="120"/>
      <c r="H85" s="171"/>
      <c r="I85" s="120"/>
      <c r="J85" s="120"/>
      <c r="K85" s="120"/>
      <c r="L85" s="171"/>
      <c r="M85" s="171"/>
      <c r="N85" s="120"/>
      <c r="O85" s="120"/>
      <c r="P85" s="120"/>
      <c r="Q85" s="171"/>
      <c r="R85" s="171"/>
      <c r="S85" s="120"/>
      <c r="T85" s="120"/>
      <c r="U85" s="120"/>
      <c r="V85" s="171"/>
      <c r="W85" s="171"/>
    </row>
    <row r="86" spans="1:23" x14ac:dyDescent="0.25">
      <c r="A86" s="118">
        <v>18</v>
      </c>
      <c r="B86" s="297" t="s">
        <v>287</v>
      </c>
      <c r="C86" s="297"/>
      <c r="D86" s="169" t="s">
        <v>204</v>
      </c>
      <c r="E86" s="172">
        <f>E14*E88</f>
        <v>331.03480000000002</v>
      </c>
      <c r="F86" s="173">
        <f>F14*F88</f>
        <v>265.91320000000002</v>
      </c>
      <c r="G86" s="173">
        <f>G14*G88</f>
        <v>206.2184</v>
      </c>
      <c r="H86" s="173">
        <f>H88*H14</f>
        <v>803.16639999999995</v>
      </c>
      <c r="I86" s="173">
        <f>I14*I88</f>
        <v>284.30208285273596</v>
      </c>
      <c r="J86" s="173">
        <f>J14*J88</f>
        <v>0</v>
      </c>
      <c r="K86" s="173">
        <f>K14*K88</f>
        <v>0</v>
      </c>
      <c r="L86" s="174">
        <f>L88*L14</f>
        <v>284.30208285273596</v>
      </c>
      <c r="M86" s="175">
        <f>M88*M14</f>
        <v>1087.4684828527359</v>
      </c>
      <c r="N86" s="173">
        <f>N14*N88</f>
        <v>0</v>
      </c>
      <c r="O86" s="173">
        <f>O14*O88</f>
        <v>0</v>
      </c>
      <c r="P86" s="173">
        <f>P14*P88</f>
        <v>0</v>
      </c>
      <c r="Q86" s="174">
        <f>Q88*Q14</f>
        <v>0</v>
      </c>
      <c r="R86" s="175">
        <f>R88*R14</f>
        <v>1087.4684828527359</v>
      </c>
      <c r="S86" s="173">
        <f>S14*S88</f>
        <v>143.24928595200001</v>
      </c>
      <c r="T86" s="173">
        <f>T14*T88</f>
        <v>265.20217805913603</v>
      </c>
      <c r="U86" s="173">
        <f>U14*U88</f>
        <v>437.556130455936</v>
      </c>
      <c r="V86" s="174">
        <f>V88*V14</f>
        <v>846.00759446707195</v>
      </c>
      <c r="W86" s="176">
        <f>W88*W14</f>
        <v>1933.4760773198077</v>
      </c>
    </row>
    <row r="87" spans="1:23" x14ac:dyDescent="0.25">
      <c r="A87" s="111">
        <v>19</v>
      </c>
      <c r="B87" s="277" t="s">
        <v>288</v>
      </c>
      <c r="C87" s="278"/>
      <c r="D87" s="142" t="s">
        <v>204</v>
      </c>
      <c r="E87" s="177">
        <v>0</v>
      </c>
      <c r="F87" s="177">
        <v>0</v>
      </c>
      <c r="G87" s="177">
        <v>0</v>
      </c>
      <c r="H87" s="116">
        <f t="shared" si="9"/>
        <v>0</v>
      </c>
      <c r="I87" s="177">
        <v>0</v>
      </c>
      <c r="J87" s="177">
        <v>0</v>
      </c>
      <c r="K87" s="177">
        <v>0</v>
      </c>
      <c r="L87" s="116">
        <f t="shared" si="10"/>
        <v>0</v>
      </c>
      <c r="M87" s="115">
        <f t="shared" si="11"/>
        <v>0</v>
      </c>
      <c r="N87" s="177">
        <v>0</v>
      </c>
      <c r="O87" s="177">
        <v>0</v>
      </c>
      <c r="P87" s="177"/>
      <c r="Q87" s="116">
        <f t="shared" si="12"/>
        <v>0</v>
      </c>
      <c r="R87" s="115">
        <f t="shared" si="13"/>
        <v>0</v>
      </c>
      <c r="S87" s="177"/>
      <c r="T87" s="177"/>
      <c r="U87" s="177"/>
      <c r="V87" s="116">
        <f t="shared" si="14"/>
        <v>0</v>
      </c>
      <c r="W87" s="117">
        <f t="shared" si="15"/>
        <v>0</v>
      </c>
    </row>
    <row r="88" spans="1:23" x14ac:dyDescent="0.25">
      <c r="A88" s="111">
        <v>20</v>
      </c>
      <c r="B88" s="277" t="s">
        <v>289</v>
      </c>
      <c r="C88" s="278"/>
      <c r="D88" s="142" t="s">
        <v>290</v>
      </c>
      <c r="E88" s="178">
        <v>5426.8</v>
      </c>
      <c r="F88" s="178">
        <v>5426.8</v>
      </c>
      <c r="G88" s="178">
        <v>5426.8</v>
      </c>
      <c r="H88" s="179">
        <v>5426.8</v>
      </c>
      <c r="I88" s="178">
        <v>5426.8</v>
      </c>
      <c r="J88" s="178">
        <v>5426.8</v>
      </c>
      <c r="K88" s="178">
        <v>5426.8</v>
      </c>
      <c r="L88" s="179">
        <v>5426.8</v>
      </c>
      <c r="M88" s="179">
        <v>5426.8</v>
      </c>
      <c r="N88" s="178">
        <v>5426.8</v>
      </c>
      <c r="O88" s="178">
        <v>5426.8</v>
      </c>
      <c r="P88" s="178">
        <v>5426.8</v>
      </c>
      <c r="Q88" s="179">
        <v>5426.8</v>
      </c>
      <c r="R88" s="179">
        <v>5426.8</v>
      </c>
      <c r="S88" s="178">
        <v>5426.8</v>
      </c>
      <c r="T88" s="178">
        <v>5426.8</v>
      </c>
      <c r="U88" s="178">
        <v>5426.8</v>
      </c>
      <c r="V88" s="179">
        <v>5426.8</v>
      </c>
      <c r="W88" s="115">
        <v>5426.8</v>
      </c>
    </row>
    <row r="89" spans="1:23" x14ac:dyDescent="0.25">
      <c r="A89" s="118">
        <v>21</v>
      </c>
      <c r="B89" s="295" t="s">
        <v>291</v>
      </c>
      <c r="C89" s="296"/>
      <c r="D89" s="169" t="s">
        <v>204</v>
      </c>
      <c r="E89" s="180">
        <f>(E86+E87)-E84</f>
        <v>4.7686758846027715</v>
      </c>
      <c r="F89" s="180">
        <f t="shared" ref="F89:U89" si="17">(F86+F87)-F84</f>
        <v>-20.079408477041056</v>
      </c>
      <c r="G89" s="180">
        <f t="shared" si="17"/>
        <v>-53.796370844164386</v>
      </c>
      <c r="H89" s="180">
        <f t="shared" si="9"/>
        <v>-69.107103436602671</v>
      </c>
      <c r="I89" s="180">
        <f t="shared" si="17"/>
        <v>-18.898806202387334</v>
      </c>
      <c r="J89" s="180">
        <f t="shared" si="17"/>
        <v>-18.500208999999998</v>
      </c>
      <c r="K89" s="180">
        <f t="shared" si="17"/>
        <v>-18.500208999999998</v>
      </c>
      <c r="L89" s="180">
        <f t="shared" si="10"/>
        <v>-55.89922420238733</v>
      </c>
      <c r="M89" s="180">
        <f t="shared" si="11"/>
        <v>-125.00632763899</v>
      </c>
      <c r="N89" s="180">
        <f t="shared" si="17"/>
        <v>-18.500208999999998</v>
      </c>
      <c r="O89" s="180">
        <f t="shared" si="17"/>
        <v>-18.500208999999998</v>
      </c>
      <c r="P89" s="180">
        <f t="shared" si="17"/>
        <v>-18.500208999999998</v>
      </c>
      <c r="Q89" s="180">
        <f t="shared" si="12"/>
        <v>-55.500626999999994</v>
      </c>
      <c r="R89" s="180">
        <f t="shared" si="13"/>
        <v>-180.50695463899001</v>
      </c>
      <c r="S89" s="180">
        <f t="shared" si="17"/>
        <v>-0.65828513019175716</v>
      </c>
      <c r="T89" s="180">
        <f t="shared" si="17"/>
        <v>6.2932135309716841</v>
      </c>
      <c r="U89" s="180">
        <f t="shared" si="17"/>
        <v>174.87191012229215</v>
      </c>
      <c r="V89" s="180">
        <f t="shared" si="14"/>
        <v>180.50683852307208</v>
      </c>
      <c r="W89" s="180">
        <f t="shared" si="15"/>
        <v>-1.1611591793325715E-4</v>
      </c>
    </row>
    <row r="90" spans="1:23" x14ac:dyDescent="0.25">
      <c r="A90" s="181"/>
      <c r="B90" s="181"/>
      <c r="C90" s="181"/>
      <c r="D90" s="181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3"/>
      <c r="Q90" s="182"/>
      <c r="R90" s="182"/>
      <c r="S90" s="182"/>
      <c r="T90" s="182"/>
      <c r="U90" s="182"/>
      <c r="V90" s="182"/>
      <c r="W90" s="182"/>
    </row>
    <row r="91" spans="1:23" x14ac:dyDescent="0.25">
      <c r="A91" s="185" t="s">
        <v>111</v>
      </c>
      <c r="B91" s="181"/>
      <c r="C91" s="181"/>
      <c r="D91" s="181"/>
      <c r="E91" s="186"/>
      <c r="F91" s="186"/>
      <c r="G91" s="186" t="s">
        <v>119</v>
      </c>
      <c r="H91" s="186"/>
      <c r="I91" s="186"/>
      <c r="J91" s="186"/>
      <c r="K91" s="186"/>
      <c r="L91" s="186"/>
      <c r="M91" s="186"/>
      <c r="N91" s="186"/>
      <c r="O91" s="186"/>
      <c r="P91" s="187"/>
      <c r="Q91" s="186"/>
      <c r="R91" s="186"/>
      <c r="S91" s="186"/>
      <c r="T91" s="186"/>
      <c r="U91" s="186"/>
      <c r="V91" s="186"/>
      <c r="W91" s="186"/>
    </row>
  </sheetData>
  <mergeCells count="89">
    <mergeCell ref="B89:C89"/>
    <mergeCell ref="B82:C82"/>
    <mergeCell ref="B84:C84"/>
    <mergeCell ref="B85:C85"/>
    <mergeCell ref="B86:C86"/>
    <mergeCell ref="B87:C87"/>
    <mergeCell ref="B88:C88"/>
    <mergeCell ref="B80:C80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8:C78"/>
    <mergeCell ref="B79:C79"/>
    <mergeCell ref="B67:C67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3:C53"/>
    <mergeCell ref="B40:C4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8:C38"/>
    <mergeCell ref="B21:B22"/>
    <mergeCell ref="B23:B25"/>
    <mergeCell ref="B26:B28"/>
    <mergeCell ref="B30:C30"/>
    <mergeCell ref="B31:C31"/>
    <mergeCell ref="B32:C32"/>
    <mergeCell ref="B33:C33"/>
    <mergeCell ref="B34:C34"/>
    <mergeCell ref="B35:C35"/>
    <mergeCell ref="B36:C36"/>
    <mergeCell ref="B37:C3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U6:U7"/>
    <mergeCell ref="M5:M7"/>
    <mergeCell ref="R5:R7"/>
    <mergeCell ref="V5:V7"/>
    <mergeCell ref="W5:W7"/>
    <mergeCell ref="N6:N7"/>
    <mergeCell ref="O6:O7"/>
    <mergeCell ref="P6:P7"/>
    <mergeCell ref="S6:S7"/>
    <mergeCell ref="T6:T7"/>
    <mergeCell ref="L5:L7"/>
    <mergeCell ref="K6:K7"/>
    <mergeCell ref="A3:E3"/>
    <mergeCell ref="A5:A7"/>
    <mergeCell ref="B5:C7"/>
    <mergeCell ref="D5:D7"/>
    <mergeCell ref="H5:H7"/>
    <mergeCell ref="E6:E7"/>
    <mergeCell ref="F6:F7"/>
    <mergeCell ref="G6:G7"/>
    <mergeCell ref="I6:I7"/>
    <mergeCell ref="J6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A31" workbookViewId="0">
      <selection sqref="A1:W91"/>
    </sheetView>
  </sheetViews>
  <sheetFormatPr defaultRowHeight="15" x14ac:dyDescent="0.25"/>
  <sheetData>
    <row r="1" spans="1:23" x14ac:dyDescent="0.25">
      <c r="A1" s="85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7"/>
      <c r="Q1" s="85"/>
      <c r="R1" s="85"/>
      <c r="S1" s="85"/>
      <c r="T1" s="85"/>
      <c r="U1" s="85"/>
      <c r="V1" s="85"/>
      <c r="W1" s="88"/>
    </row>
    <row r="2" spans="1:23" x14ac:dyDescent="0.25">
      <c r="A2" s="89" t="s">
        <v>141</v>
      </c>
      <c r="B2" s="90"/>
      <c r="C2" s="90"/>
      <c r="D2" s="90"/>
      <c r="E2" s="90"/>
      <c r="F2" s="90"/>
      <c r="G2" s="90"/>
      <c r="H2" s="90"/>
      <c r="I2" s="90"/>
      <c r="J2" s="90"/>
      <c r="K2" s="85"/>
      <c r="L2" s="85"/>
      <c r="M2" s="85"/>
      <c r="N2" s="85"/>
      <c r="O2" s="85"/>
      <c r="P2" s="87"/>
      <c r="Q2" s="85"/>
      <c r="R2" s="85"/>
      <c r="S2" s="85"/>
      <c r="T2" s="85"/>
      <c r="U2" s="85"/>
      <c r="V2" s="85"/>
      <c r="W2" s="88"/>
    </row>
    <row r="3" spans="1:23" x14ac:dyDescent="0.25">
      <c r="A3" s="252" t="s">
        <v>142</v>
      </c>
      <c r="B3" s="253"/>
      <c r="C3" s="253"/>
      <c r="D3" s="253"/>
      <c r="E3" s="253"/>
      <c r="F3" s="90"/>
      <c r="G3" s="90"/>
      <c r="H3" s="90"/>
      <c r="I3" s="90"/>
      <c r="J3" s="90"/>
      <c r="K3" s="85"/>
      <c r="L3" s="85"/>
      <c r="M3" s="85"/>
      <c r="N3" s="85"/>
      <c r="O3" s="85"/>
      <c r="P3" s="87"/>
      <c r="Q3" s="85"/>
      <c r="R3" s="85"/>
      <c r="S3" s="85"/>
      <c r="T3" s="85"/>
      <c r="U3" s="85"/>
      <c r="V3" s="85"/>
      <c r="W3" s="88"/>
    </row>
    <row r="4" spans="1:23" ht="57.75" x14ac:dyDescent="0.25">
      <c r="A4" s="91"/>
      <c r="B4" s="92"/>
      <c r="C4" s="92" t="s">
        <v>294</v>
      </c>
      <c r="D4" s="92"/>
      <c r="E4" s="90"/>
      <c r="F4" s="90"/>
      <c r="G4" s="90"/>
      <c r="H4" s="85"/>
      <c r="I4" s="85"/>
      <c r="J4" s="85"/>
      <c r="K4" s="85"/>
      <c r="L4" s="85"/>
      <c r="M4" s="85"/>
      <c r="N4" s="85"/>
      <c r="O4" s="85"/>
      <c r="P4" s="87"/>
      <c r="Q4" s="85"/>
      <c r="R4" s="85"/>
      <c r="S4" s="85"/>
      <c r="T4" s="85"/>
      <c r="U4" s="85"/>
      <c r="V4" s="85"/>
      <c r="W4" s="88"/>
    </row>
    <row r="5" spans="1:23" ht="42.75" x14ac:dyDescent="0.25">
      <c r="A5" s="254" t="s">
        <v>144</v>
      </c>
      <c r="B5" s="250" t="s">
        <v>22</v>
      </c>
      <c r="C5" s="257"/>
      <c r="D5" s="254" t="s">
        <v>145</v>
      </c>
      <c r="E5" s="93"/>
      <c r="F5" s="94"/>
      <c r="G5" s="94"/>
      <c r="H5" s="247" t="s">
        <v>146</v>
      </c>
      <c r="I5" s="94"/>
      <c r="J5" s="94"/>
      <c r="K5" s="94"/>
      <c r="L5" s="247" t="s">
        <v>147</v>
      </c>
      <c r="M5" s="247" t="s">
        <v>148</v>
      </c>
      <c r="N5" s="94"/>
      <c r="O5" s="94"/>
      <c r="P5" s="95"/>
      <c r="Q5" s="96" t="s">
        <v>149</v>
      </c>
      <c r="R5" s="247" t="s">
        <v>150</v>
      </c>
      <c r="S5" s="94"/>
      <c r="T5" s="94"/>
      <c r="U5" s="94"/>
      <c r="V5" s="247" t="s">
        <v>151</v>
      </c>
      <c r="W5" s="268" t="s">
        <v>152</v>
      </c>
    </row>
    <row r="6" spans="1:23" x14ac:dyDescent="0.25">
      <c r="A6" s="255"/>
      <c r="B6" s="258"/>
      <c r="C6" s="259"/>
      <c r="D6" s="262"/>
      <c r="E6" s="254" t="s">
        <v>2</v>
      </c>
      <c r="F6" s="254" t="s">
        <v>3</v>
      </c>
      <c r="G6" s="254" t="s">
        <v>4</v>
      </c>
      <c r="H6" s="248"/>
      <c r="I6" s="264" t="s">
        <v>11</v>
      </c>
      <c r="J6" s="254" t="s">
        <v>12</v>
      </c>
      <c r="K6" s="250" t="s">
        <v>13</v>
      </c>
      <c r="L6" s="248"/>
      <c r="M6" s="266"/>
      <c r="N6" s="264" t="s">
        <v>14</v>
      </c>
      <c r="O6" s="254" t="s">
        <v>15</v>
      </c>
      <c r="P6" s="270" t="s">
        <v>16</v>
      </c>
      <c r="Q6" s="97"/>
      <c r="R6" s="266"/>
      <c r="S6" s="264" t="s">
        <v>17</v>
      </c>
      <c r="T6" s="254" t="s">
        <v>18</v>
      </c>
      <c r="U6" s="250" t="s">
        <v>19</v>
      </c>
      <c r="V6" s="248"/>
      <c r="W6" s="269"/>
    </row>
    <row r="7" spans="1:23" x14ac:dyDescent="0.25">
      <c r="A7" s="256"/>
      <c r="B7" s="260"/>
      <c r="C7" s="261"/>
      <c r="D7" s="263"/>
      <c r="E7" s="256"/>
      <c r="F7" s="256"/>
      <c r="G7" s="256"/>
      <c r="H7" s="249"/>
      <c r="I7" s="265"/>
      <c r="J7" s="256"/>
      <c r="K7" s="251"/>
      <c r="L7" s="249"/>
      <c r="M7" s="267"/>
      <c r="N7" s="265"/>
      <c r="O7" s="256"/>
      <c r="P7" s="271"/>
      <c r="Q7" s="98"/>
      <c r="R7" s="267"/>
      <c r="S7" s="265"/>
      <c r="T7" s="256"/>
      <c r="U7" s="251"/>
      <c r="V7" s="249"/>
      <c r="W7" s="269"/>
    </row>
    <row r="8" spans="1:23" x14ac:dyDescent="0.25">
      <c r="A8" s="99" t="s">
        <v>153</v>
      </c>
      <c r="B8" s="100"/>
      <c r="C8" s="100"/>
      <c r="D8" s="100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2"/>
      <c r="R8" s="102"/>
      <c r="S8" s="102"/>
      <c r="T8" s="102"/>
      <c r="U8" s="102"/>
      <c r="V8" s="102"/>
      <c r="W8" s="104"/>
    </row>
    <row r="9" spans="1:23" x14ac:dyDescent="0.25">
      <c r="A9" s="105" t="s">
        <v>154</v>
      </c>
      <c r="B9" s="273" t="s">
        <v>155</v>
      </c>
      <c r="C9" s="273"/>
      <c r="D9" s="106" t="s">
        <v>156</v>
      </c>
      <c r="E9" s="107">
        <f>0.075+0.05</f>
        <v>0.125</v>
      </c>
      <c r="F9" s="107">
        <v>5.2999999999999999E-2</v>
      </c>
      <c r="G9" s="107">
        <v>4.7E-2</v>
      </c>
      <c r="H9" s="108">
        <f>H11+H10</f>
        <v>0.22499999999999998</v>
      </c>
      <c r="I9" s="108">
        <v>3.6999999999999998E-2</v>
      </c>
      <c r="J9" s="108">
        <f>J11+J10</f>
        <v>0</v>
      </c>
      <c r="K9" s="108">
        <f>K11+K10</f>
        <v>0</v>
      </c>
      <c r="L9" s="109">
        <f>SUM(I9:K9)</f>
        <v>3.6999999999999998E-2</v>
      </c>
      <c r="M9" s="109">
        <f>L9+H9</f>
        <v>0.26199999999999996</v>
      </c>
      <c r="N9" s="108">
        <f>N11+N10</f>
        <v>0</v>
      </c>
      <c r="O9" s="108">
        <f>O11+O10</f>
        <v>0</v>
      </c>
      <c r="P9" s="108">
        <f>P11+P10</f>
        <v>0</v>
      </c>
      <c r="Q9" s="109">
        <f>P9+O9+N9</f>
        <v>0</v>
      </c>
      <c r="R9" s="109">
        <f>Q9+M9</f>
        <v>0.26199999999999996</v>
      </c>
      <c r="S9" s="108">
        <v>0.02</v>
      </c>
      <c r="T9" s="108">
        <v>4.4999999999999998E-2</v>
      </c>
      <c r="U9" s="108">
        <f>0.049+0.028</f>
        <v>7.6999999999999999E-2</v>
      </c>
      <c r="V9" s="109">
        <f>U9+T9+S9</f>
        <v>0.14199999999999999</v>
      </c>
      <c r="W9" s="110">
        <f>V9+R9</f>
        <v>0.40399999999999991</v>
      </c>
    </row>
    <row r="10" spans="1:23" x14ac:dyDescent="0.25">
      <c r="A10" s="111" t="s">
        <v>157</v>
      </c>
      <c r="B10" s="274" t="s">
        <v>158</v>
      </c>
      <c r="C10" s="274"/>
      <c r="D10" s="112" t="s">
        <v>156</v>
      </c>
      <c r="E10" s="113">
        <f>E9*4.36%</f>
        <v>5.45E-3</v>
      </c>
      <c r="F10" s="113">
        <f>F9*4.36%</f>
        <v>2.3108E-3</v>
      </c>
      <c r="G10" s="114">
        <f>G9*4.36%</f>
        <v>2.0492000000000002E-3</v>
      </c>
      <c r="H10" s="115">
        <f t="shared" ref="H10:H73" si="0">SUM(E10:G10)</f>
        <v>9.8099999999999993E-3</v>
      </c>
      <c r="I10" s="113">
        <f>I9*4.36%</f>
        <v>1.6132E-3</v>
      </c>
      <c r="J10" s="113">
        <v>0</v>
      </c>
      <c r="K10" s="114">
        <v>0</v>
      </c>
      <c r="L10" s="115">
        <f t="shared" ref="L10:L73" si="1">SUM(I10:K10)</f>
        <v>1.6132E-3</v>
      </c>
      <c r="M10" s="115">
        <f t="shared" ref="M10:M73" si="2">L10+H10</f>
        <v>1.14232E-2</v>
      </c>
      <c r="N10" s="113">
        <v>0</v>
      </c>
      <c r="O10" s="113">
        <v>0</v>
      </c>
      <c r="P10" s="114">
        <v>0</v>
      </c>
      <c r="Q10" s="115">
        <f t="shared" ref="Q10:Q73" si="3">SUM(N10:P10)</f>
        <v>0</v>
      </c>
      <c r="R10" s="116">
        <f t="shared" ref="R10:R73" si="4">Q10+M10</f>
        <v>1.14232E-2</v>
      </c>
      <c r="S10" s="113">
        <f>S9*4.36%</f>
        <v>8.7200000000000005E-4</v>
      </c>
      <c r="T10" s="113">
        <f>T9*4.36%</f>
        <v>1.9619999999999998E-3</v>
      </c>
      <c r="U10" s="114">
        <f>U9*4.36%</f>
        <v>3.3571999999999999E-3</v>
      </c>
      <c r="V10" s="115">
        <f t="shared" ref="V10:V73" si="5">SUM(S10:U10)</f>
        <v>6.1911999999999991E-3</v>
      </c>
      <c r="W10" s="117">
        <f t="shared" ref="W10:W73" si="6">V10+R10</f>
        <v>1.7614399999999999E-2</v>
      </c>
    </row>
    <row r="11" spans="1:23" x14ac:dyDescent="0.25">
      <c r="A11" s="118" t="s">
        <v>159</v>
      </c>
      <c r="B11" s="275" t="s">
        <v>160</v>
      </c>
      <c r="C11" s="276"/>
      <c r="D11" s="112" t="s">
        <v>156</v>
      </c>
      <c r="E11" s="116">
        <f>E9-E10</f>
        <v>0.11955</v>
      </c>
      <c r="F11" s="116">
        <f>F9-F10</f>
        <v>5.0689199999999997E-2</v>
      </c>
      <c r="G11" s="116">
        <f>G9-G10</f>
        <v>4.4950799999999999E-2</v>
      </c>
      <c r="H11" s="116">
        <f t="shared" si="0"/>
        <v>0.21518999999999999</v>
      </c>
      <c r="I11" s="116">
        <f>I9-I10</f>
        <v>3.5386799999999996E-2</v>
      </c>
      <c r="J11" s="116">
        <f>J14+J12</f>
        <v>0</v>
      </c>
      <c r="K11" s="116">
        <f>K14+K12</f>
        <v>0</v>
      </c>
      <c r="L11" s="116">
        <f t="shared" si="1"/>
        <v>3.5386799999999996E-2</v>
      </c>
      <c r="M11" s="116">
        <f t="shared" si="2"/>
        <v>0.25057679999999999</v>
      </c>
      <c r="N11" s="116">
        <v>0</v>
      </c>
      <c r="O11" s="116">
        <v>0</v>
      </c>
      <c r="P11" s="116">
        <v>0</v>
      </c>
      <c r="Q11" s="116">
        <f t="shared" si="3"/>
        <v>0</v>
      </c>
      <c r="R11" s="116">
        <f t="shared" si="4"/>
        <v>0.25057679999999999</v>
      </c>
      <c r="S11" s="116">
        <f>S9-S10</f>
        <v>1.9127999999999999E-2</v>
      </c>
      <c r="T11" s="116">
        <f>T9-T10</f>
        <v>4.3038E-2</v>
      </c>
      <c r="U11" s="116">
        <f>U9-U10</f>
        <v>7.3642799999999994E-2</v>
      </c>
      <c r="V11" s="116">
        <f t="shared" si="5"/>
        <v>0.13580880000000001</v>
      </c>
      <c r="W11" s="119">
        <f t="shared" si="6"/>
        <v>0.3863856</v>
      </c>
    </row>
    <row r="12" spans="1:23" x14ac:dyDescent="0.25">
      <c r="A12" s="111" t="s">
        <v>161</v>
      </c>
      <c r="B12" s="277" t="s">
        <v>162</v>
      </c>
      <c r="C12" s="278"/>
      <c r="D12" s="112" t="s">
        <v>156</v>
      </c>
      <c r="E12" s="120">
        <f>E11*4%</f>
        <v>4.7820000000000007E-3</v>
      </c>
      <c r="F12" s="120">
        <f>F11*4%</f>
        <v>2.027568E-3</v>
      </c>
      <c r="G12" s="120">
        <f>G11*4%</f>
        <v>1.798032E-3</v>
      </c>
      <c r="H12" s="121">
        <f t="shared" si="0"/>
        <v>8.6076E-3</v>
      </c>
      <c r="I12" s="120">
        <f>I11*4%</f>
        <v>1.4154719999999999E-3</v>
      </c>
      <c r="J12" s="120">
        <v>0</v>
      </c>
      <c r="K12" s="120">
        <v>0</v>
      </c>
      <c r="L12" s="115">
        <f t="shared" si="1"/>
        <v>1.4154719999999999E-3</v>
      </c>
      <c r="M12" s="115">
        <f t="shared" si="2"/>
        <v>1.0023071999999999E-2</v>
      </c>
      <c r="N12" s="120">
        <v>0</v>
      </c>
      <c r="O12" s="120">
        <v>0</v>
      </c>
      <c r="P12" s="120">
        <v>0</v>
      </c>
      <c r="Q12" s="115">
        <f t="shared" si="3"/>
        <v>0</v>
      </c>
      <c r="R12" s="116">
        <f t="shared" si="4"/>
        <v>1.0023071999999999E-2</v>
      </c>
      <c r="S12" s="120">
        <f>S11*4%</f>
        <v>7.6511999999999999E-4</v>
      </c>
      <c r="T12" s="120">
        <f>T11*4%</f>
        <v>1.72152E-3</v>
      </c>
      <c r="U12" s="120">
        <f>U11*4%</f>
        <v>2.9457119999999996E-3</v>
      </c>
      <c r="V12" s="115">
        <f t="shared" si="5"/>
        <v>5.4323519999999997E-3</v>
      </c>
      <c r="W12" s="117">
        <f t="shared" si="6"/>
        <v>1.5455423999999999E-2</v>
      </c>
    </row>
    <row r="13" spans="1:23" x14ac:dyDescent="0.25">
      <c r="A13" s="111" t="s">
        <v>163</v>
      </c>
      <c r="B13" s="277" t="s">
        <v>164</v>
      </c>
      <c r="C13" s="278"/>
      <c r="D13" s="112" t="s">
        <v>156</v>
      </c>
      <c r="E13" s="116">
        <f>E11-E12</f>
        <v>0.11476800000000001</v>
      </c>
      <c r="F13" s="116">
        <f>F11-F12</f>
        <v>4.8661631999999996E-2</v>
      </c>
      <c r="G13" s="116">
        <f>G11-G12</f>
        <v>4.3152768000000001E-2</v>
      </c>
      <c r="H13" s="116">
        <f t="shared" si="0"/>
        <v>0.2065824</v>
      </c>
      <c r="I13" s="116">
        <f>I11-I12</f>
        <v>3.3971327999999995E-2</v>
      </c>
      <c r="J13" s="116"/>
      <c r="K13" s="116"/>
      <c r="L13" s="121">
        <f t="shared" si="1"/>
        <v>3.3971327999999995E-2</v>
      </c>
      <c r="M13" s="121">
        <f t="shared" si="2"/>
        <v>0.24055372799999999</v>
      </c>
      <c r="N13" s="116"/>
      <c r="O13" s="116"/>
      <c r="P13" s="116"/>
      <c r="Q13" s="121">
        <f t="shared" si="3"/>
        <v>0</v>
      </c>
      <c r="R13" s="121">
        <f t="shared" si="4"/>
        <v>0.24055372799999999</v>
      </c>
      <c r="S13" s="116">
        <f>S11-S12</f>
        <v>1.8362879999999998E-2</v>
      </c>
      <c r="T13" s="116">
        <f>T11-T12</f>
        <v>4.1316480000000003E-2</v>
      </c>
      <c r="U13" s="116">
        <f>U11-U12</f>
        <v>7.0697087999999991E-2</v>
      </c>
      <c r="V13" s="116">
        <f t="shared" si="5"/>
        <v>0.13037644799999998</v>
      </c>
      <c r="W13" s="119">
        <f>V13+R13</f>
        <v>0.370930176</v>
      </c>
    </row>
    <row r="14" spans="1:23" x14ac:dyDescent="0.25">
      <c r="A14" s="118" t="s">
        <v>165</v>
      </c>
      <c r="B14" s="275" t="s">
        <v>166</v>
      </c>
      <c r="C14" s="276"/>
      <c r="D14" s="112" t="s">
        <v>156</v>
      </c>
      <c r="E14" s="116">
        <f>E15+E16</f>
        <v>0.11476800000000001</v>
      </c>
      <c r="F14" s="116">
        <f>F15+F16</f>
        <v>4.8661631999999996E-2</v>
      </c>
      <c r="G14" s="116">
        <f>G15+G16</f>
        <v>4.3152768000000001E-2</v>
      </c>
      <c r="H14" s="116">
        <f t="shared" si="0"/>
        <v>0.2065824</v>
      </c>
      <c r="I14" s="116">
        <f>I15+I16</f>
        <v>3.4000000000000002E-2</v>
      </c>
      <c r="J14" s="116">
        <v>0</v>
      </c>
      <c r="K14" s="116">
        <v>0</v>
      </c>
      <c r="L14" s="116">
        <f t="shared" si="1"/>
        <v>3.4000000000000002E-2</v>
      </c>
      <c r="M14" s="116">
        <f t="shared" si="2"/>
        <v>0.2405824</v>
      </c>
      <c r="N14" s="116">
        <v>0</v>
      </c>
      <c r="O14" s="116">
        <v>0</v>
      </c>
      <c r="P14" s="116">
        <v>0</v>
      </c>
      <c r="Q14" s="116">
        <f t="shared" si="3"/>
        <v>0</v>
      </c>
      <c r="R14" s="116">
        <f t="shared" si="4"/>
        <v>0.2405824</v>
      </c>
      <c r="S14" s="116">
        <f>S15+S16</f>
        <v>1.8362879999999998E-2</v>
      </c>
      <c r="T14" s="116">
        <f>T15+T16</f>
        <v>4.1316480000000003E-2</v>
      </c>
      <c r="U14" s="116">
        <f>U15+U16</f>
        <v>7.0697087999999991E-2</v>
      </c>
      <c r="V14" s="116">
        <f t="shared" si="5"/>
        <v>0.13037644799999998</v>
      </c>
      <c r="W14" s="116">
        <f t="shared" si="6"/>
        <v>0.37095884800000001</v>
      </c>
    </row>
    <row r="15" spans="1:23" x14ac:dyDescent="0.25">
      <c r="A15" s="122" t="s">
        <v>167</v>
      </c>
      <c r="B15" s="274" t="s">
        <v>168</v>
      </c>
      <c r="C15" s="274"/>
      <c r="D15" s="112" t="s">
        <v>156</v>
      </c>
      <c r="E15" s="113">
        <v>0</v>
      </c>
      <c r="F15" s="113">
        <v>0</v>
      </c>
      <c r="G15" s="114">
        <v>0</v>
      </c>
      <c r="H15" s="115">
        <f t="shared" si="0"/>
        <v>0</v>
      </c>
      <c r="I15" s="113">
        <v>0</v>
      </c>
      <c r="J15" s="113">
        <v>0</v>
      </c>
      <c r="K15" s="114">
        <v>0</v>
      </c>
      <c r="L15" s="115">
        <f t="shared" si="1"/>
        <v>0</v>
      </c>
      <c r="M15" s="115">
        <f t="shared" si="2"/>
        <v>0</v>
      </c>
      <c r="N15" s="113">
        <v>0</v>
      </c>
      <c r="O15" s="113">
        <v>0</v>
      </c>
      <c r="P15" s="113">
        <v>0</v>
      </c>
      <c r="Q15" s="115">
        <f t="shared" si="3"/>
        <v>0</v>
      </c>
      <c r="R15" s="115">
        <f t="shared" si="4"/>
        <v>0</v>
      </c>
      <c r="S15" s="113">
        <v>0</v>
      </c>
      <c r="T15" s="113">
        <v>0</v>
      </c>
      <c r="U15" s="114">
        <v>0</v>
      </c>
      <c r="V15" s="115">
        <f t="shared" si="5"/>
        <v>0</v>
      </c>
      <c r="W15" s="117">
        <f t="shared" si="6"/>
        <v>0</v>
      </c>
    </row>
    <row r="16" spans="1:23" x14ac:dyDescent="0.25">
      <c r="A16" s="122" t="s">
        <v>169</v>
      </c>
      <c r="B16" s="274" t="s">
        <v>170</v>
      </c>
      <c r="C16" s="274"/>
      <c r="D16" s="112" t="s">
        <v>156</v>
      </c>
      <c r="E16" s="120">
        <f t="shared" ref="E16:U16" si="7">E17+E18+E19</f>
        <v>0.11476800000000001</v>
      </c>
      <c r="F16" s="120">
        <f t="shared" si="7"/>
        <v>4.8661631999999996E-2</v>
      </c>
      <c r="G16" s="120">
        <f t="shared" si="7"/>
        <v>4.3152768000000001E-2</v>
      </c>
      <c r="H16" s="120">
        <f t="shared" si="0"/>
        <v>0.2065824</v>
      </c>
      <c r="I16" s="120">
        <f t="shared" si="7"/>
        <v>3.4000000000000002E-2</v>
      </c>
      <c r="J16" s="120">
        <f t="shared" si="7"/>
        <v>0</v>
      </c>
      <c r="K16" s="120">
        <v>0</v>
      </c>
      <c r="L16" s="120">
        <f t="shared" si="1"/>
        <v>3.4000000000000002E-2</v>
      </c>
      <c r="M16" s="120">
        <f t="shared" si="2"/>
        <v>0.2405824</v>
      </c>
      <c r="N16" s="120">
        <v>0</v>
      </c>
      <c r="O16" s="120">
        <v>0</v>
      </c>
      <c r="P16" s="120">
        <f t="shared" si="7"/>
        <v>0</v>
      </c>
      <c r="Q16" s="120">
        <f t="shared" si="3"/>
        <v>0</v>
      </c>
      <c r="R16" s="120">
        <f t="shared" si="4"/>
        <v>0.2405824</v>
      </c>
      <c r="S16" s="120">
        <f t="shared" si="7"/>
        <v>1.8362879999999998E-2</v>
      </c>
      <c r="T16" s="120">
        <f t="shared" si="7"/>
        <v>4.1316480000000003E-2</v>
      </c>
      <c r="U16" s="120">
        <f t="shared" si="7"/>
        <v>7.0697087999999991E-2</v>
      </c>
      <c r="V16" s="120">
        <f t="shared" si="5"/>
        <v>0.13037644799999998</v>
      </c>
      <c r="W16" s="120">
        <f t="shared" si="6"/>
        <v>0.37095884800000001</v>
      </c>
    </row>
    <row r="17" spans="1:23" x14ac:dyDescent="0.25">
      <c r="A17" s="122" t="s">
        <v>171</v>
      </c>
      <c r="B17" s="277" t="s">
        <v>172</v>
      </c>
      <c r="C17" s="278"/>
      <c r="D17" s="112" t="s">
        <v>156</v>
      </c>
      <c r="E17" s="113">
        <v>0.11476800000000001</v>
      </c>
      <c r="F17" s="113">
        <v>4.8661631999999996E-2</v>
      </c>
      <c r="G17" s="114">
        <v>4.3152768000000001E-2</v>
      </c>
      <c r="H17" s="115">
        <f t="shared" si="0"/>
        <v>0.2065824</v>
      </c>
      <c r="I17" s="113">
        <v>3.4000000000000002E-2</v>
      </c>
      <c r="J17" s="113">
        <v>0</v>
      </c>
      <c r="K17" s="114">
        <v>0</v>
      </c>
      <c r="L17" s="115">
        <f t="shared" si="1"/>
        <v>3.4000000000000002E-2</v>
      </c>
      <c r="M17" s="115">
        <f t="shared" si="2"/>
        <v>0.2405824</v>
      </c>
      <c r="N17" s="113">
        <v>0</v>
      </c>
      <c r="O17" s="113">
        <v>0</v>
      </c>
      <c r="P17" s="113">
        <v>0</v>
      </c>
      <c r="Q17" s="115">
        <f t="shared" si="3"/>
        <v>0</v>
      </c>
      <c r="R17" s="115">
        <f t="shared" si="4"/>
        <v>0.2405824</v>
      </c>
      <c r="S17" s="113">
        <v>1.8362879999999998E-2</v>
      </c>
      <c r="T17" s="113">
        <v>4.1316480000000003E-2</v>
      </c>
      <c r="U17" s="114">
        <v>7.0697087999999991E-2</v>
      </c>
      <c r="V17" s="115">
        <f t="shared" si="5"/>
        <v>0.13037644799999998</v>
      </c>
      <c r="W17" s="117">
        <f t="shared" si="6"/>
        <v>0.37095884800000001</v>
      </c>
    </row>
    <row r="18" spans="1:23" x14ac:dyDescent="0.25">
      <c r="A18" s="122" t="s">
        <v>173</v>
      </c>
      <c r="B18" s="277" t="s">
        <v>174</v>
      </c>
      <c r="C18" s="278"/>
      <c r="D18" s="112" t="s">
        <v>156</v>
      </c>
      <c r="E18" s="113">
        <v>0</v>
      </c>
      <c r="F18" s="113">
        <v>0</v>
      </c>
      <c r="G18" s="114">
        <v>0</v>
      </c>
      <c r="H18" s="115">
        <f t="shared" si="0"/>
        <v>0</v>
      </c>
      <c r="I18" s="113">
        <v>0</v>
      </c>
      <c r="J18" s="113">
        <v>0</v>
      </c>
      <c r="K18" s="114">
        <v>0</v>
      </c>
      <c r="L18" s="115">
        <f t="shared" si="1"/>
        <v>0</v>
      </c>
      <c r="M18" s="115">
        <f t="shared" si="2"/>
        <v>0</v>
      </c>
      <c r="N18" s="113">
        <v>0</v>
      </c>
      <c r="O18" s="113">
        <v>0</v>
      </c>
      <c r="P18" s="113">
        <v>0</v>
      </c>
      <c r="Q18" s="115">
        <f t="shared" si="3"/>
        <v>0</v>
      </c>
      <c r="R18" s="115">
        <f t="shared" si="4"/>
        <v>0</v>
      </c>
      <c r="S18" s="113">
        <v>0</v>
      </c>
      <c r="T18" s="113">
        <v>0</v>
      </c>
      <c r="U18" s="114">
        <v>0</v>
      </c>
      <c r="V18" s="115">
        <f t="shared" si="5"/>
        <v>0</v>
      </c>
      <c r="W18" s="117">
        <f t="shared" si="6"/>
        <v>0</v>
      </c>
    </row>
    <row r="19" spans="1:23" x14ac:dyDescent="0.25">
      <c r="A19" s="122" t="s">
        <v>175</v>
      </c>
      <c r="B19" s="277" t="s">
        <v>176</v>
      </c>
      <c r="C19" s="278"/>
      <c r="D19" s="112" t="s">
        <v>156</v>
      </c>
      <c r="E19" s="113">
        <v>0</v>
      </c>
      <c r="F19" s="113">
        <v>0</v>
      </c>
      <c r="G19" s="114">
        <v>0</v>
      </c>
      <c r="H19" s="115">
        <f t="shared" si="0"/>
        <v>0</v>
      </c>
      <c r="I19" s="113">
        <v>0</v>
      </c>
      <c r="J19" s="113">
        <v>0</v>
      </c>
      <c r="K19" s="114">
        <v>0</v>
      </c>
      <c r="L19" s="115">
        <f t="shared" si="1"/>
        <v>0</v>
      </c>
      <c r="M19" s="115">
        <f t="shared" si="2"/>
        <v>0</v>
      </c>
      <c r="N19" s="113">
        <v>0</v>
      </c>
      <c r="O19" s="113">
        <v>0</v>
      </c>
      <c r="P19" s="113">
        <v>0</v>
      </c>
      <c r="Q19" s="115">
        <f t="shared" si="3"/>
        <v>0</v>
      </c>
      <c r="R19" s="115">
        <f t="shared" si="4"/>
        <v>0</v>
      </c>
      <c r="S19" s="113">
        <v>0</v>
      </c>
      <c r="T19" s="113">
        <v>0</v>
      </c>
      <c r="U19" s="114">
        <v>0</v>
      </c>
      <c r="V19" s="115">
        <f t="shared" si="5"/>
        <v>0</v>
      </c>
      <c r="W19" s="117">
        <f t="shared" si="6"/>
        <v>0</v>
      </c>
    </row>
    <row r="20" spans="1:23" ht="15.75" thickBot="1" x14ac:dyDescent="0.3">
      <c r="A20" s="123" t="s">
        <v>177</v>
      </c>
      <c r="B20" s="272" t="s">
        <v>178</v>
      </c>
      <c r="C20" s="272"/>
      <c r="D20" s="112" t="s">
        <v>156</v>
      </c>
      <c r="E20" s="124">
        <v>0</v>
      </c>
      <c r="F20" s="124">
        <v>0</v>
      </c>
      <c r="G20" s="124">
        <v>0</v>
      </c>
      <c r="H20" s="125">
        <f t="shared" si="0"/>
        <v>0</v>
      </c>
      <c r="I20" s="124">
        <v>0</v>
      </c>
      <c r="J20" s="124">
        <v>0</v>
      </c>
      <c r="K20" s="124">
        <f>K14-K15-K16</f>
        <v>0</v>
      </c>
      <c r="L20" s="125">
        <f t="shared" si="1"/>
        <v>0</v>
      </c>
      <c r="M20" s="125">
        <f t="shared" si="2"/>
        <v>0</v>
      </c>
      <c r="N20" s="124">
        <f>N14-N15-N16</f>
        <v>0</v>
      </c>
      <c r="O20" s="124">
        <f>O14-O15-O16</f>
        <v>0</v>
      </c>
      <c r="P20" s="124">
        <f>P14-P15-P16</f>
        <v>0</v>
      </c>
      <c r="Q20" s="125">
        <f t="shared" si="3"/>
        <v>0</v>
      </c>
      <c r="R20" s="125">
        <f t="shared" si="4"/>
        <v>0</v>
      </c>
      <c r="S20" s="124">
        <v>0</v>
      </c>
      <c r="T20" s="124">
        <v>0</v>
      </c>
      <c r="U20" s="124">
        <v>0</v>
      </c>
      <c r="V20" s="125">
        <f t="shared" si="5"/>
        <v>0</v>
      </c>
      <c r="W20" s="126">
        <f t="shared" si="6"/>
        <v>0</v>
      </c>
    </row>
    <row r="21" spans="1:23" ht="15.75" thickBot="1" x14ac:dyDescent="0.3">
      <c r="A21" s="127" t="s">
        <v>179</v>
      </c>
      <c r="B21" s="281" t="s">
        <v>34</v>
      </c>
      <c r="C21" s="128" t="s">
        <v>180</v>
      </c>
      <c r="D21" s="129" t="s">
        <v>181</v>
      </c>
      <c r="E21" s="130">
        <f>E9*32.26</f>
        <v>4.0324999999999998</v>
      </c>
      <c r="F21" s="130">
        <f>F9*32.26</f>
        <v>1.7097799999999999</v>
      </c>
      <c r="G21" s="114">
        <f>G9*32.26</f>
        <v>1.5162199999999999</v>
      </c>
      <c r="H21" s="125">
        <f t="shared" si="0"/>
        <v>7.2584999999999988</v>
      </c>
      <c r="I21" s="130">
        <f>I9*32.26</f>
        <v>1.1936199999999999</v>
      </c>
      <c r="J21" s="130">
        <v>0</v>
      </c>
      <c r="K21" s="114">
        <v>0</v>
      </c>
      <c r="L21" s="125">
        <f t="shared" si="1"/>
        <v>1.1936199999999999</v>
      </c>
      <c r="M21" s="131">
        <f t="shared" si="2"/>
        <v>8.452119999999999</v>
      </c>
      <c r="N21" s="130">
        <v>0</v>
      </c>
      <c r="O21" s="130">
        <v>0</v>
      </c>
      <c r="P21" s="130">
        <v>0</v>
      </c>
      <c r="Q21" s="125">
        <f t="shared" si="3"/>
        <v>0</v>
      </c>
      <c r="R21" s="131">
        <f t="shared" si="4"/>
        <v>8.452119999999999</v>
      </c>
      <c r="S21" s="130">
        <f>S9*32.26-0.015</f>
        <v>0.63019999999999998</v>
      </c>
      <c r="T21" s="130">
        <f>T9*32.26</f>
        <v>1.4516999999999998</v>
      </c>
      <c r="U21" s="114">
        <f>U9*32.26</f>
        <v>2.4840199999999997</v>
      </c>
      <c r="V21" s="125">
        <f t="shared" si="5"/>
        <v>4.5659199999999993</v>
      </c>
      <c r="W21" s="131">
        <f t="shared" si="6"/>
        <v>13.018039999999999</v>
      </c>
    </row>
    <row r="22" spans="1:23" ht="15.75" thickBot="1" x14ac:dyDescent="0.3">
      <c r="A22" s="132" t="s">
        <v>182</v>
      </c>
      <c r="B22" s="282"/>
      <c r="C22" s="133" t="s">
        <v>183</v>
      </c>
      <c r="D22" s="134" t="s">
        <v>184</v>
      </c>
      <c r="E22" s="135">
        <v>6.31</v>
      </c>
      <c r="F22" s="135">
        <v>6.31</v>
      </c>
      <c r="G22" s="135">
        <v>6.31</v>
      </c>
      <c r="H22" s="135">
        <v>6.31</v>
      </c>
      <c r="I22" s="135">
        <v>6.31</v>
      </c>
      <c r="J22" s="135">
        <v>0</v>
      </c>
      <c r="K22" s="135">
        <v>0</v>
      </c>
      <c r="L22" s="135">
        <v>6.31</v>
      </c>
      <c r="M22" s="135">
        <v>6.31</v>
      </c>
      <c r="N22" s="135">
        <v>0</v>
      </c>
      <c r="O22" s="135">
        <v>0</v>
      </c>
      <c r="P22" s="135">
        <v>0</v>
      </c>
      <c r="Q22" s="135">
        <f t="shared" si="3"/>
        <v>0</v>
      </c>
      <c r="R22" s="136">
        <v>6.31</v>
      </c>
      <c r="S22" s="135">
        <v>6.31</v>
      </c>
      <c r="T22" s="135">
        <v>6.31</v>
      </c>
      <c r="U22" s="135">
        <v>6.31</v>
      </c>
      <c r="V22" s="136">
        <v>6.31</v>
      </c>
      <c r="W22" s="136">
        <v>6.31</v>
      </c>
    </row>
    <row r="23" spans="1:23" ht="45" x14ac:dyDescent="0.25">
      <c r="A23" s="127" t="s">
        <v>185</v>
      </c>
      <c r="B23" s="283" t="s">
        <v>186</v>
      </c>
      <c r="C23" s="128" t="s">
        <v>187</v>
      </c>
      <c r="D23" s="129" t="s">
        <v>188</v>
      </c>
      <c r="E23" s="137">
        <f>((E9*238.1*0.001)/0.365)*1000</f>
        <v>81.541095890410958</v>
      </c>
      <c r="F23" s="137">
        <f>((F9*238.1*0.001)/0.365)*1000</f>
        <v>34.573424657534247</v>
      </c>
      <c r="G23" s="138">
        <f>((G9*238.1*0.001)/0.365)*1000</f>
        <v>30.659452054794521</v>
      </c>
      <c r="H23" s="139">
        <f t="shared" si="0"/>
        <v>146.77397260273972</v>
      </c>
      <c r="I23" s="130">
        <f>((I9*238.1*0.001)/0.365)*1000</f>
        <v>24.136164383561646</v>
      </c>
      <c r="J23" s="130">
        <f>((J9*238.1*0.001)/0.365)*1000</f>
        <v>0</v>
      </c>
      <c r="K23" s="140">
        <f>((K9*238.1*0.001)/0.365)*1000</f>
        <v>0</v>
      </c>
      <c r="L23" s="139">
        <f t="shared" si="1"/>
        <v>24.136164383561646</v>
      </c>
      <c r="M23" s="131">
        <f t="shared" si="2"/>
        <v>170.91013698630135</v>
      </c>
      <c r="N23" s="130">
        <f>((N9*238.1*0.001)/0.365)*1000</f>
        <v>0</v>
      </c>
      <c r="O23" s="130">
        <f>((O9*238.1*0.001)/0.365)*1000</f>
        <v>0</v>
      </c>
      <c r="P23" s="130">
        <f>((P9*238.1*0.001)/0.365)*1000</f>
        <v>0</v>
      </c>
      <c r="Q23" s="139">
        <f t="shared" si="3"/>
        <v>0</v>
      </c>
      <c r="R23" s="131">
        <f t="shared" si="4"/>
        <v>170.91013698630135</v>
      </c>
      <c r="S23" s="130">
        <f>((S9*238.1*0.001)/0.365)*1000-0.141</f>
        <v>12.905575342465752</v>
      </c>
      <c r="T23" s="130">
        <f>((T9*238.1*0.001)/0.365)*1000</f>
        <v>29.354794520547944</v>
      </c>
      <c r="U23" s="140">
        <f>((U9*238.1*0.001)/0.365)*1000-0.26</f>
        <v>49.96931506849316</v>
      </c>
      <c r="V23" s="131">
        <f t="shared" si="5"/>
        <v>92.229684931506853</v>
      </c>
      <c r="W23" s="131">
        <f t="shared" si="6"/>
        <v>263.13982191780821</v>
      </c>
    </row>
    <row r="24" spans="1:23" ht="15.75" thickBot="1" x14ac:dyDescent="0.3">
      <c r="A24" s="111" t="s">
        <v>189</v>
      </c>
      <c r="B24" s="284"/>
      <c r="C24" s="141" t="s">
        <v>183</v>
      </c>
      <c r="D24" s="142" t="s">
        <v>190</v>
      </c>
      <c r="E24" s="143">
        <v>2461.25</v>
      </c>
      <c r="F24" s="143">
        <v>2461.25</v>
      </c>
      <c r="G24" s="143">
        <v>2461.25</v>
      </c>
      <c r="H24" s="143">
        <v>2461.25</v>
      </c>
      <c r="I24" s="143">
        <v>2461.25</v>
      </c>
      <c r="J24" s="143">
        <v>2461.25</v>
      </c>
      <c r="K24" s="143">
        <v>2461.25</v>
      </c>
      <c r="L24" s="143">
        <v>2461.25</v>
      </c>
      <c r="M24" s="143">
        <v>2461.25</v>
      </c>
      <c r="N24" s="143">
        <v>2461.25</v>
      </c>
      <c r="O24" s="143">
        <v>2461.25</v>
      </c>
      <c r="P24" s="143">
        <v>2461.25</v>
      </c>
      <c r="Q24" s="143">
        <v>2461.25</v>
      </c>
      <c r="R24" s="143">
        <v>2461.25</v>
      </c>
      <c r="S24" s="143">
        <v>2461.25</v>
      </c>
      <c r="T24" s="143">
        <v>2461.25</v>
      </c>
      <c r="U24" s="143">
        <v>2461.25</v>
      </c>
      <c r="V24" s="143">
        <v>2461.25</v>
      </c>
      <c r="W24" s="143">
        <v>2461.25</v>
      </c>
    </row>
    <row r="25" spans="1:23" ht="45.75" thickBot="1" x14ac:dyDescent="0.3">
      <c r="A25" s="144" t="s">
        <v>191</v>
      </c>
      <c r="B25" s="285"/>
      <c r="C25" s="145" t="s">
        <v>192</v>
      </c>
      <c r="D25" s="146" t="s">
        <v>193</v>
      </c>
      <c r="E25" s="147"/>
      <c r="F25" s="147"/>
      <c r="G25" s="148"/>
      <c r="H25" s="131">
        <f t="shared" si="0"/>
        <v>0</v>
      </c>
      <c r="I25" s="147"/>
      <c r="J25" s="147"/>
      <c r="K25" s="148"/>
      <c r="L25" s="149">
        <f t="shared" si="1"/>
        <v>0</v>
      </c>
      <c r="M25" s="131">
        <f t="shared" si="2"/>
        <v>0</v>
      </c>
      <c r="N25" s="147"/>
      <c r="O25" s="147"/>
      <c r="P25" s="147">
        <v>0</v>
      </c>
      <c r="Q25" s="149">
        <f t="shared" si="3"/>
        <v>0</v>
      </c>
      <c r="R25" s="131">
        <f t="shared" si="4"/>
        <v>0</v>
      </c>
      <c r="S25" s="147"/>
      <c r="T25" s="147"/>
      <c r="U25" s="148"/>
      <c r="V25" s="149">
        <f t="shared" si="5"/>
        <v>0</v>
      </c>
      <c r="W25" s="131">
        <f t="shared" si="6"/>
        <v>0</v>
      </c>
    </row>
    <row r="26" spans="1:23" ht="60" x14ac:dyDescent="0.25">
      <c r="A26" s="150" t="s">
        <v>194</v>
      </c>
      <c r="B26" s="286" t="s">
        <v>195</v>
      </c>
      <c r="C26" s="151" t="s">
        <v>196</v>
      </c>
      <c r="D26" s="112" t="s">
        <v>197</v>
      </c>
      <c r="E26" s="152">
        <f>0.36*E9</f>
        <v>4.4999999999999998E-2</v>
      </c>
      <c r="F26" s="152">
        <f>0.36*F9</f>
        <v>1.908E-2</v>
      </c>
      <c r="G26" s="114">
        <f>0.36*G9</f>
        <v>1.6920000000000001E-2</v>
      </c>
      <c r="H26" s="153">
        <f t="shared" si="0"/>
        <v>8.1000000000000003E-2</v>
      </c>
      <c r="I26" s="152">
        <f>0.36*I9</f>
        <v>1.3319999999999999E-2</v>
      </c>
      <c r="J26" s="152">
        <f>0.26*J9</f>
        <v>0</v>
      </c>
      <c r="K26" s="114">
        <f>0.26*K9</f>
        <v>0</v>
      </c>
      <c r="L26" s="153">
        <f t="shared" si="1"/>
        <v>1.3319999999999999E-2</v>
      </c>
      <c r="M26" s="131">
        <f t="shared" si="2"/>
        <v>9.4320000000000001E-2</v>
      </c>
      <c r="N26" s="152">
        <f>0.26*N9</f>
        <v>0</v>
      </c>
      <c r="O26" s="152">
        <f>0.26*O9</f>
        <v>0</v>
      </c>
      <c r="P26" s="152">
        <f>0.26*P9</f>
        <v>0</v>
      </c>
      <c r="Q26" s="153">
        <f t="shared" si="3"/>
        <v>0</v>
      </c>
      <c r="R26" s="153">
        <f t="shared" si="4"/>
        <v>9.4320000000000001E-2</v>
      </c>
      <c r="S26" s="152">
        <f>0.36*S9-0.002</f>
        <v>5.1999999999999998E-3</v>
      </c>
      <c r="T26" s="152">
        <f>0.36*T9</f>
        <v>1.6199999999999999E-2</v>
      </c>
      <c r="U26" s="114">
        <f>0.36*U9</f>
        <v>2.7719999999999998E-2</v>
      </c>
      <c r="V26" s="153">
        <f t="shared" si="5"/>
        <v>4.9119999999999997E-2</v>
      </c>
      <c r="W26" s="131">
        <f t="shared" si="6"/>
        <v>0.14344000000000001</v>
      </c>
    </row>
    <row r="27" spans="1:23" ht="30" x14ac:dyDescent="0.25">
      <c r="A27" s="150" t="s">
        <v>198</v>
      </c>
      <c r="B27" s="286"/>
      <c r="C27" s="151" t="s">
        <v>199</v>
      </c>
      <c r="D27" s="112" t="s">
        <v>197</v>
      </c>
      <c r="E27" s="152"/>
      <c r="F27" s="152"/>
      <c r="G27" s="114"/>
      <c r="H27" s="153">
        <f t="shared" si="0"/>
        <v>0</v>
      </c>
      <c r="I27" s="152">
        <v>0</v>
      </c>
      <c r="J27" s="152">
        <v>0</v>
      </c>
      <c r="K27" s="114">
        <v>0</v>
      </c>
      <c r="L27" s="153">
        <f t="shared" si="1"/>
        <v>0</v>
      </c>
      <c r="M27" s="153">
        <f t="shared" si="2"/>
        <v>0</v>
      </c>
      <c r="N27" s="152"/>
      <c r="O27" s="152"/>
      <c r="P27" s="152">
        <v>0</v>
      </c>
      <c r="Q27" s="153">
        <f t="shared" si="3"/>
        <v>0</v>
      </c>
      <c r="R27" s="153">
        <f t="shared" si="4"/>
        <v>0</v>
      </c>
      <c r="S27" s="152">
        <v>0</v>
      </c>
      <c r="T27" s="152">
        <v>0</v>
      </c>
      <c r="U27" s="114">
        <f>W27-R27-S27-T27</f>
        <v>0</v>
      </c>
      <c r="V27" s="153">
        <f t="shared" si="5"/>
        <v>0</v>
      </c>
      <c r="W27" s="154"/>
    </row>
    <row r="28" spans="1:23" ht="18" x14ac:dyDescent="0.25">
      <c r="A28" s="150" t="s">
        <v>200</v>
      </c>
      <c r="B28" s="287"/>
      <c r="C28" s="141" t="s">
        <v>183</v>
      </c>
      <c r="D28" s="142" t="s">
        <v>201</v>
      </c>
      <c r="E28" s="113">
        <v>28.67</v>
      </c>
      <c r="F28" s="113">
        <v>28.67</v>
      </c>
      <c r="G28" s="113">
        <v>28.67</v>
      </c>
      <c r="H28" s="113">
        <v>28.67</v>
      </c>
      <c r="I28" s="113">
        <v>28.67</v>
      </c>
      <c r="J28" s="113">
        <v>28.67</v>
      </c>
      <c r="K28" s="113">
        <v>28.67</v>
      </c>
      <c r="L28" s="113">
        <v>28.67</v>
      </c>
      <c r="M28" s="113">
        <v>28.67</v>
      </c>
      <c r="N28" s="113">
        <v>28.67</v>
      </c>
      <c r="O28" s="113">
        <v>28.67</v>
      </c>
      <c r="P28" s="113">
        <v>28.67</v>
      </c>
      <c r="Q28" s="113">
        <v>28.67</v>
      </c>
      <c r="R28" s="113">
        <v>28.67</v>
      </c>
      <c r="S28" s="113">
        <v>28.67</v>
      </c>
      <c r="T28" s="113">
        <v>28.67</v>
      </c>
      <c r="U28" s="113">
        <v>28.67</v>
      </c>
      <c r="V28" s="113">
        <v>28.67</v>
      </c>
      <c r="W28" s="113">
        <v>28.67</v>
      </c>
    </row>
    <row r="29" spans="1:23" x14ac:dyDescent="0.25">
      <c r="A29" s="155" t="s">
        <v>202</v>
      </c>
      <c r="B29" s="156"/>
      <c r="C29" s="157"/>
      <c r="D29" s="158"/>
      <c r="E29" s="159"/>
      <c r="F29" s="159"/>
      <c r="G29" s="159"/>
      <c r="H29" s="160">
        <f t="shared" si="0"/>
        <v>0</v>
      </c>
      <c r="I29" s="159"/>
      <c r="J29" s="159"/>
      <c r="K29" s="159"/>
      <c r="L29" s="160">
        <f t="shared" si="1"/>
        <v>0</v>
      </c>
      <c r="M29" s="160">
        <f t="shared" si="2"/>
        <v>0</v>
      </c>
      <c r="N29" s="161"/>
      <c r="O29" s="159"/>
      <c r="P29" s="159"/>
      <c r="Q29" s="160">
        <f t="shared" si="3"/>
        <v>0</v>
      </c>
      <c r="R29" s="161">
        <f t="shared" si="4"/>
        <v>0</v>
      </c>
      <c r="S29" s="161"/>
      <c r="T29" s="159"/>
      <c r="U29" s="159"/>
      <c r="V29" s="160">
        <f t="shared" si="5"/>
        <v>0</v>
      </c>
      <c r="W29" s="162">
        <f t="shared" si="6"/>
        <v>0</v>
      </c>
    </row>
    <row r="30" spans="1:23" x14ac:dyDescent="0.25">
      <c r="A30" s="111">
        <v>1</v>
      </c>
      <c r="B30" s="288" t="s">
        <v>203</v>
      </c>
      <c r="C30" s="288"/>
      <c r="D30" s="142" t="s">
        <v>204</v>
      </c>
      <c r="E30" s="120">
        <f>E23*E24/1000</f>
        <v>200.69302226027398</v>
      </c>
      <c r="F30" s="120">
        <f>F23*F24/1000</f>
        <v>85.093841438356165</v>
      </c>
      <c r="G30" s="120">
        <f>G23*G24/1000</f>
        <v>75.46057636986302</v>
      </c>
      <c r="H30" s="116">
        <f t="shared" si="0"/>
        <v>361.24744006849318</v>
      </c>
      <c r="I30" s="120">
        <f>I23*I24/1000</f>
        <v>59.405134589041104</v>
      </c>
      <c r="J30" s="120">
        <f>J23*J24/1000</f>
        <v>0</v>
      </c>
      <c r="K30" s="120">
        <f>K23*K24/1000</f>
        <v>0</v>
      </c>
      <c r="L30" s="115">
        <f t="shared" si="1"/>
        <v>59.405134589041104</v>
      </c>
      <c r="M30" s="115">
        <f t="shared" si="2"/>
        <v>420.65257465753427</v>
      </c>
      <c r="N30" s="120">
        <f>N23*N24/1000</f>
        <v>0</v>
      </c>
      <c r="O30" s="120">
        <f>O23*O24/1000</f>
        <v>0</v>
      </c>
      <c r="P30" s="120">
        <f>P23*P24/1000</f>
        <v>0</v>
      </c>
      <c r="Q30" s="115">
        <f t="shared" si="3"/>
        <v>0</v>
      </c>
      <c r="R30" s="115">
        <f t="shared" si="4"/>
        <v>420.65257465753427</v>
      </c>
      <c r="S30" s="120">
        <f>S23*S24/1000</f>
        <v>31.763847311643833</v>
      </c>
      <c r="T30" s="120">
        <f>T23*T24/1000</f>
        <v>72.249488013698638</v>
      </c>
      <c r="U30" s="120">
        <f>U23*U24/1000</f>
        <v>122.98697671232878</v>
      </c>
      <c r="V30" s="116">
        <f t="shared" si="5"/>
        <v>227.00031203767125</v>
      </c>
      <c r="W30" s="117">
        <f t="shared" si="6"/>
        <v>647.65288669520555</v>
      </c>
    </row>
    <row r="31" spans="1:23" x14ac:dyDescent="0.25">
      <c r="A31" s="122" t="s">
        <v>205</v>
      </c>
      <c r="B31" s="289" t="s">
        <v>186</v>
      </c>
      <c r="C31" s="290"/>
      <c r="D31" s="142" t="s">
        <v>204</v>
      </c>
      <c r="E31" s="113">
        <v>200.69302226027398</v>
      </c>
      <c r="F31" s="113">
        <v>85.093841438356165</v>
      </c>
      <c r="G31" s="113">
        <v>75.46057636986302</v>
      </c>
      <c r="H31" s="116">
        <f t="shared" si="0"/>
        <v>361.24744006849318</v>
      </c>
      <c r="I31" s="113">
        <v>59.405134589041104</v>
      </c>
      <c r="J31" s="113">
        <v>0</v>
      </c>
      <c r="K31" s="113">
        <v>0</v>
      </c>
      <c r="L31" s="115">
        <f t="shared" si="1"/>
        <v>59.405134589041104</v>
      </c>
      <c r="M31" s="115">
        <f t="shared" si="2"/>
        <v>420.65257465753427</v>
      </c>
      <c r="N31" s="113">
        <v>0</v>
      </c>
      <c r="O31" s="113">
        <v>0</v>
      </c>
      <c r="P31" s="113">
        <v>0</v>
      </c>
      <c r="Q31" s="115">
        <f t="shared" si="3"/>
        <v>0</v>
      </c>
      <c r="R31" s="115">
        <f t="shared" si="4"/>
        <v>420.65257465753427</v>
      </c>
      <c r="S31" s="113">
        <v>31.763847311643833</v>
      </c>
      <c r="T31" s="113">
        <v>72.249488013698638</v>
      </c>
      <c r="U31" s="113">
        <v>122.98697671232878</v>
      </c>
      <c r="V31" s="116">
        <f t="shared" si="5"/>
        <v>227.00031203767125</v>
      </c>
      <c r="W31" s="117">
        <f t="shared" si="6"/>
        <v>647.65288669520555</v>
      </c>
    </row>
    <row r="32" spans="1:23" x14ac:dyDescent="0.25">
      <c r="A32" s="111">
        <v>2</v>
      </c>
      <c r="B32" s="288" t="s">
        <v>34</v>
      </c>
      <c r="C32" s="288"/>
      <c r="D32" s="142" t="s">
        <v>204</v>
      </c>
      <c r="E32" s="113">
        <f>E21*E22</f>
        <v>25.445074999999996</v>
      </c>
      <c r="F32" s="113">
        <f>F21*F22</f>
        <v>10.788711799999998</v>
      </c>
      <c r="G32" s="114">
        <f>G21*G22</f>
        <v>9.5673481999999996</v>
      </c>
      <c r="H32" s="116">
        <f t="shared" si="0"/>
        <v>45.801134999999988</v>
      </c>
      <c r="I32" s="113">
        <f>I21*I22</f>
        <v>7.5317421999999992</v>
      </c>
      <c r="J32" s="113">
        <v>0</v>
      </c>
      <c r="K32" s="113">
        <v>0</v>
      </c>
      <c r="L32" s="116">
        <f t="shared" si="1"/>
        <v>7.5317421999999992</v>
      </c>
      <c r="M32" s="115">
        <f t="shared" si="2"/>
        <v>53.332877199999984</v>
      </c>
      <c r="N32" s="113">
        <v>0</v>
      </c>
      <c r="O32" s="113">
        <v>0</v>
      </c>
      <c r="P32" s="113">
        <v>0</v>
      </c>
      <c r="Q32" s="116">
        <f t="shared" si="3"/>
        <v>0</v>
      </c>
      <c r="R32" s="115">
        <f t="shared" si="4"/>
        <v>53.332877199999984</v>
      </c>
      <c r="S32" s="113">
        <f>S21*S22</f>
        <v>3.9765619999999995</v>
      </c>
      <c r="T32" s="113">
        <f>T21*T22</f>
        <v>9.1602269999999972</v>
      </c>
      <c r="U32" s="113">
        <f>U21*U22</f>
        <v>15.674166199999997</v>
      </c>
      <c r="V32" s="116">
        <f t="shared" si="5"/>
        <v>28.810955199999995</v>
      </c>
      <c r="W32" s="117">
        <f t="shared" si="6"/>
        <v>82.14383239999998</v>
      </c>
    </row>
    <row r="33" spans="1:23" x14ac:dyDescent="0.25">
      <c r="A33" s="111">
        <v>3</v>
      </c>
      <c r="B33" s="279" t="s">
        <v>206</v>
      </c>
      <c r="C33" s="280"/>
      <c r="D33" s="142" t="s">
        <v>204</v>
      </c>
      <c r="E33" s="113">
        <v>1.139</v>
      </c>
      <c r="F33" s="113">
        <v>1.139</v>
      </c>
      <c r="G33" s="114">
        <v>1.139</v>
      </c>
      <c r="H33" s="116">
        <f t="shared" si="0"/>
        <v>3.4169999999999998</v>
      </c>
      <c r="I33" s="113">
        <v>1.139</v>
      </c>
      <c r="J33" s="113">
        <v>1.139</v>
      </c>
      <c r="K33" s="113">
        <v>1.139</v>
      </c>
      <c r="L33" s="116">
        <f t="shared" si="1"/>
        <v>3.4169999999999998</v>
      </c>
      <c r="M33" s="115">
        <f t="shared" si="2"/>
        <v>6.8339999999999996</v>
      </c>
      <c r="N33" s="113">
        <v>1.139</v>
      </c>
      <c r="O33" s="113">
        <v>1.139</v>
      </c>
      <c r="P33" s="113">
        <v>1.139</v>
      </c>
      <c r="Q33" s="116">
        <f t="shared" si="3"/>
        <v>3.4169999999999998</v>
      </c>
      <c r="R33" s="115">
        <f t="shared" si="4"/>
        <v>10.250999999999999</v>
      </c>
      <c r="S33" s="113">
        <v>1.139</v>
      </c>
      <c r="T33" s="113">
        <v>1.139</v>
      </c>
      <c r="U33" s="113">
        <v>1.139</v>
      </c>
      <c r="V33" s="116">
        <f t="shared" si="5"/>
        <v>3.4169999999999998</v>
      </c>
      <c r="W33" s="117">
        <f t="shared" si="6"/>
        <v>13.667999999999999</v>
      </c>
    </row>
    <row r="34" spans="1:23" x14ac:dyDescent="0.25">
      <c r="A34" s="111">
        <v>4</v>
      </c>
      <c r="B34" s="288" t="s">
        <v>207</v>
      </c>
      <c r="C34" s="288"/>
      <c r="D34" s="142" t="s">
        <v>204</v>
      </c>
      <c r="E34" s="113"/>
      <c r="F34" s="113"/>
      <c r="G34" s="114"/>
      <c r="H34" s="116">
        <f t="shared" si="0"/>
        <v>0</v>
      </c>
      <c r="I34" s="113"/>
      <c r="J34" s="113"/>
      <c r="K34" s="113"/>
      <c r="L34" s="116">
        <f t="shared" si="1"/>
        <v>0</v>
      </c>
      <c r="M34" s="115">
        <f t="shared" si="2"/>
        <v>0</v>
      </c>
      <c r="N34" s="113"/>
      <c r="O34" s="113"/>
      <c r="P34" s="113"/>
      <c r="Q34" s="116">
        <f t="shared" si="3"/>
        <v>0</v>
      </c>
      <c r="R34" s="115">
        <f t="shared" si="4"/>
        <v>0</v>
      </c>
      <c r="S34" s="113"/>
      <c r="T34" s="113"/>
      <c r="U34" s="113"/>
      <c r="V34" s="116">
        <f t="shared" si="5"/>
        <v>0</v>
      </c>
      <c r="W34" s="117">
        <f t="shared" si="6"/>
        <v>0</v>
      </c>
    </row>
    <row r="35" spans="1:23" x14ac:dyDescent="0.25">
      <c r="A35" s="111">
        <v>5</v>
      </c>
      <c r="B35" s="288" t="s">
        <v>208</v>
      </c>
      <c r="C35" s="288"/>
      <c r="D35" s="142" t="s">
        <v>204</v>
      </c>
      <c r="E35" s="113">
        <f>E36+E37</f>
        <v>103.26249799999999</v>
      </c>
      <c r="F35" s="113">
        <f>F36+F37</f>
        <v>96.430930000000004</v>
      </c>
      <c r="G35" s="114">
        <f>G36+G37</f>
        <v>96.430930000000004</v>
      </c>
      <c r="H35" s="116">
        <f>H36+H37</f>
        <v>296.12435800000003</v>
      </c>
      <c r="I35" s="113">
        <f t="shared" ref="I35:W35" si="8">I36+I37</f>
        <v>123.42543000000001</v>
      </c>
      <c r="J35" s="113">
        <f t="shared" si="8"/>
        <v>13.37093</v>
      </c>
      <c r="K35" s="113">
        <f t="shared" si="8"/>
        <v>13.37093</v>
      </c>
      <c r="L35" s="116">
        <f t="shared" si="8"/>
        <v>150.16729000000001</v>
      </c>
      <c r="M35" s="115">
        <f t="shared" si="8"/>
        <v>446.29164800000001</v>
      </c>
      <c r="N35" s="113">
        <f t="shared" si="8"/>
        <v>13.37093</v>
      </c>
      <c r="O35" s="113">
        <f t="shared" si="8"/>
        <v>13.37093</v>
      </c>
      <c r="P35" s="113">
        <f t="shared" si="8"/>
        <v>13.37093</v>
      </c>
      <c r="Q35" s="116">
        <f t="shared" si="8"/>
        <v>40.112789999999997</v>
      </c>
      <c r="R35" s="115">
        <f t="shared" si="8"/>
        <v>486.40443800000003</v>
      </c>
      <c r="S35" s="113">
        <f t="shared" si="8"/>
        <v>54.900930000000002</v>
      </c>
      <c r="T35" s="113">
        <f t="shared" si="8"/>
        <v>96.430930000000004</v>
      </c>
      <c r="U35" s="113">
        <f t="shared" si="8"/>
        <v>96.430930000000004</v>
      </c>
      <c r="V35" s="116">
        <f t="shared" si="8"/>
        <v>247.76279</v>
      </c>
      <c r="W35" s="117">
        <f t="shared" si="8"/>
        <v>734.16722800000002</v>
      </c>
    </row>
    <row r="36" spans="1:23" x14ac:dyDescent="0.25">
      <c r="A36" s="111"/>
      <c r="B36" s="279" t="s">
        <v>209</v>
      </c>
      <c r="C36" s="280"/>
      <c r="D36" s="142" t="s">
        <v>204</v>
      </c>
      <c r="E36" s="113">
        <v>83.06</v>
      </c>
      <c r="F36" s="113">
        <v>83.06</v>
      </c>
      <c r="G36" s="114">
        <v>83.06</v>
      </c>
      <c r="H36" s="116">
        <f t="shared" si="0"/>
        <v>249.18</v>
      </c>
      <c r="I36" s="113">
        <f>83.06+26.9945</f>
        <v>110.0545</v>
      </c>
      <c r="J36" s="113"/>
      <c r="K36" s="113"/>
      <c r="L36" s="116">
        <f t="shared" si="1"/>
        <v>110.0545</v>
      </c>
      <c r="M36" s="115">
        <f>L36+H36</f>
        <v>359.23450000000003</v>
      </c>
      <c r="N36" s="113"/>
      <c r="O36" s="113"/>
      <c r="P36" s="113"/>
      <c r="Q36" s="116">
        <f>SUM(N36:P36)</f>
        <v>0</v>
      </c>
      <c r="R36" s="115">
        <f>Q36+M36</f>
        <v>359.23450000000003</v>
      </c>
      <c r="S36" s="113">
        <v>41.53</v>
      </c>
      <c r="T36" s="113">
        <v>83.06</v>
      </c>
      <c r="U36" s="113">
        <v>83.06</v>
      </c>
      <c r="V36" s="116">
        <f>SUM(S36:U36)</f>
        <v>207.65</v>
      </c>
      <c r="W36" s="117">
        <f>V36+R36</f>
        <v>566.8845</v>
      </c>
    </row>
    <row r="37" spans="1:23" x14ac:dyDescent="0.25">
      <c r="A37" s="163"/>
      <c r="B37" s="279" t="s">
        <v>210</v>
      </c>
      <c r="C37" s="280" t="s">
        <v>211</v>
      </c>
      <c r="D37" s="142" t="s">
        <v>204</v>
      </c>
      <c r="E37" s="113">
        <v>20.202497999999999</v>
      </c>
      <c r="F37" s="113">
        <v>13.37093</v>
      </c>
      <c r="G37" s="114">
        <v>13.37093</v>
      </c>
      <c r="H37" s="116">
        <f t="shared" si="0"/>
        <v>46.944358000000001</v>
      </c>
      <c r="I37" s="113">
        <v>13.37093</v>
      </c>
      <c r="J37" s="113">
        <v>13.37093</v>
      </c>
      <c r="K37" s="113">
        <v>13.37093</v>
      </c>
      <c r="L37" s="116">
        <f t="shared" si="1"/>
        <v>40.112789999999997</v>
      </c>
      <c r="M37" s="115">
        <f>L37+H37</f>
        <v>87.057147999999998</v>
      </c>
      <c r="N37" s="113">
        <v>13.37093</v>
      </c>
      <c r="O37" s="113">
        <v>13.37093</v>
      </c>
      <c r="P37" s="113">
        <v>13.37093</v>
      </c>
      <c r="Q37" s="116">
        <f t="shared" si="3"/>
        <v>40.112789999999997</v>
      </c>
      <c r="R37" s="115">
        <f t="shared" si="4"/>
        <v>127.169938</v>
      </c>
      <c r="S37" s="113">
        <v>13.37093</v>
      </c>
      <c r="T37" s="113">
        <v>13.37093</v>
      </c>
      <c r="U37" s="113">
        <v>13.37093</v>
      </c>
      <c r="V37" s="116">
        <f t="shared" si="5"/>
        <v>40.112789999999997</v>
      </c>
      <c r="W37" s="117">
        <f t="shared" si="6"/>
        <v>167.28272799999999</v>
      </c>
    </row>
    <row r="38" spans="1:23" x14ac:dyDescent="0.25">
      <c r="A38" s="163" t="s">
        <v>163</v>
      </c>
      <c r="B38" s="279" t="s">
        <v>212</v>
      </c>
      <c r="C38" s="280"/>
      <c r="D38" s="142" t="s">
        <v>204</v>
      </c>
      <c r="E38" s="113">
        <f>E39+E40</f>
        <v>31.144869399999997</v>
      </c>
      <c r="F38" s="113">
        <f>F39+F40</f>
        <v>29.095399</v>
      </c>
      <c r="G38" s="114">
        <f>G39+G40</f>
        <v>29.095399</v>
      </c>
      <c r="H38" s="116">
        <f t="shared" si="0"/>
        <v>89.335667400000006</v>
      </c>
      <c r="I38" s="113">
        <f>I39+I40</f>
        <v>37.247738000000005</v>
      </c>
      <c r="J38" s="113">
        <f>J39+J40</f>
        <v>4.011279</v>
      </c>
      <c r="K38" s="113">
        <f>K39+K40</f>
        <v>4.011279</v>
      </c>
      <c r="L38" s="116">
        <f t="shared" si="1"/>
        <v>45.270296000000009</v>
      </c>
      <c r="M38" s="115">
        <f t="shared" si="2"/>
        <v>134.60596340000001</v>
      </c>
      <c r="N38" s="113">
        <f>N39+N40</f>
        <v>4.011279</v>
      </c>
      <c r="O38" s="113">
        <f>O39+O40</f>
        <v>4.011279</v>
      </c>
      <c r="P38" s="113">
        <f>P39+P40</f>
        <v>4.011279</v>
      </c>
      <c r="Q38" s="116">
        <f t="shared" si="3"/>
        <v>12.033837</v>
      </c>
      <c r="R38" s="115">
        <f t="shared" si="4"/>
        <v>146.63980040000001</v>
      </c>
      <c r="S38" s="113">
        <f>S39+S40</f>
        <v>16.553339000000001</v>
      </c>
      <c r="T38" s="113">
        <f>T39+T40</f>
        <v>29.095399</v>
      </c>
      <c r="U38" s="113">
        <f>U39+U40</f>
        <v>29.095399</v>
      </c>
      <c r="V38" s="116">
        <f t="shared" si="5"/>
        <v>74.744136999999995</v>
      </c>
      <c r="W38" s="117">
        <f t="shared" si="6"/>
        <v>221.38393740000001</v>
      </c>
    </row>
    <row r="39" spans="1:23" x14ac:dyDescent="0.25">
      <c r="A39" s="163"/>
      <c r="B39" s="164" t="s">
        <v>209</v>
      </c>
      <c r="C39" s="165"/>
      <c r="D39" s="142" t="s">
        <v>204</v>
      </c>
      <c r="E39" s="113">
        <f>E36*30.2%</f>
        <v>25.084119999999999</v>
      </c>
      <c r="F39" s="113">
        <f>F36*30.2%</f>
        <v>25.084119999999999</v>
      </c>
      <c r="G39" s="114">
        <f>G36*30.2%</f>
        <v>25.084119999999999</v>
      </c>
      <c r="H39" s="116">
        <f t="shared" si="0"/>
        <v>75.252359999999996</v>
      </c>
      <c r="I39" s="113">
        <f>I36*30.2%</f>
        <v>33.236459000000004</v>
      </c>
      <c r="J39" s="113">
        <f>J36*30.2%</f>
        <v>0</v>
      </c>
      <c r="K39" s="113">
        <f>K36*30.2%</f>
        <v>0</v>
      </c>
      <c r="L39" s="116">
        <f t="shared" si="1"/>
        <v>33.236459000000004</v>
      </c>
      <c r="M39" s="115">
        <f t="shared" si="2"/>
        <v>108.48881900000001</v>
      </c>
      <c r="N39" s="113">
        <f>N36*30.2%</f>
        <v>0</v>
      </c>
      <c r="O39" s="113">
        <f>O36*30.2%</f>
        <v>0</v>
      </c>
      <c r="P39" s="113">
        <f>P36*30.2%</f>
        <v>0</v>
      </c>
      <c r="Q39" s="116">
        <f t="shared" si="3"/>
        <v>0</v>
      </c>
      <c r="R39" s="115">
        <f t="shared" si="4"/>
        <v>108.48881900000001</v>
      </c>
      <c r="S39" s="113">
        <f>S36*30.2%</f>
        <v>12.542059999999999</v>
      </c>
      <c r="T39" s="113">
        <f>T36*30.2%</f>
        <v>25.084119999999999</v>
      </c>
      <c r="U39" s="113">
        <f>U36*30.2%</f>
        <v>25.084119999999999</v>
      </c>
      <c r="V39" s="116">
        <f t="shared" si="5"/>
        <v>62.710299999999997</v>
      </c>
      <c r="W39" s="117">
        <f t="shared" si="6"/>
        <v>171.199119</v>
      </c>
    </row>
    <row r="40" spans="1:23" x14ac:dyDescent="0.25">
      <c r="A40" s="111"/>
      <c r="B40" s="279" t="s">
        <v>213</v>
      </c>
      <c r="C40" s="280" t="s">
        <v>211</v>
      </c>
      <c r="D40" s="142" t="s">
        <v>204</v>
      </c>
      <c r="E40" s="113">
        <f>E37*30%</f>
        <v>6.0607493999999997</v>
      </c>
      <c r="F40" s="113">
        <f>F37*30%</f>
        <v>4.011279</v>
      </c>
      <c r="G40" s="114">
        <f>G37*30%</f>
        <v>4.011279</v>
      </c>
      <c r="H40" s="116">
        <f t="shared" si="0"/>
        <v>14.083307400000001</v>
      </c>
      <c r="I40" s="113">
        <f>I37*30%</f>
        <v>4.011279</v>
      </c>
      <c r="J40" s="113">
        <f>J37*30%</f>
        <v>4.011279</v>
      </c>
      <c r="K40" s="113">
        <f>K37*30%</f>
        <v>4.011279</v>
      </c>
      <c r="L40" s="116">
        <f t="shared" si="1"/>
        <v>12.033837</v>
      </c>
      <c r="M40" s="115">
        <f t="shared" si="2"/>
        <v>26.117144400000001</v>
      </c>
      <c r="N40" s="113">
        <f>N37*30%</f>
        <v>4.011279</v>
      </c>
      <c r="O40" s="113">
        <f>O37*30%</f>
        <v>4.011279</v>
      </c>
      <c r="P40" s="113">
        <f>P37*30%</f>
        <v>4.011279</v>
      </c>
      <c r="Q40" s="116">
        <f t="shared" si="3"/>
        <v>12.033837</v>
      </c>
      <c r="R40" s="115">
        <f t="shared" si="4"/>
        <v>38.150981399999999</v>
      </c>
      <c r="S40" s="113">
        <f>S37*30%</f>
        <v>4.011279</v>
      </c>
      <c r="T40" s="113">
        <f>T37*30%</f>
        <v>4.011279</v>
      </c>
      <c r="U40" s="113">
        <f>U37*30%</f>
        <v>4.011279</v>
      </c>
      <c r="V40" s="116">
        <f t="shared" si="5"/>
        <v>12.033837</v>
      </c>
      <c r="W40" s="117">
        <f t="shared" si="6"/>
        <v>50.184818399999997</v>
      </c>
    </row>
    <row r="41" spans="1:23" x14ac:dyDescent="0.25">
      <c r="A41" s="111">
        <v>7</v>
      </c>
      <c r="B41" s="164" t="s">
        <v>103</v>
      </c>
      <c r="C41" s="165"/>
      <c r="D41" s="142" t="s">
        <v>132</v>
      </c>
      <c r="E41" s="113"/>
      <c r="F41" s="113"/>
      <c r="G41" s="114"/>
      <c r="H41" s="116">
        <f t="shared" si="0"/>
        <v>0</v>
      </c>
      <c r="I41" s="113"/>
      <c r="J41" s="113"/>
      <c r="K41" s="113"/>
      <c r="L41" s="116">
        <f t="shared" si="1"/>
        <v>0</v>
      </c>
      <c r="M41" s="115">
        <f t="shared" si="2"/>
        <v>0</v>
      </c>
      <c r="N41" s="113"/>
      <c r="O41" s="113"/>
      <c r="P41" s="113"/>
      <c r="Q41" s="116">
        <f t="shared" si="3"/>
        <v>0</v>
      </c>
      <c r="R41" s="115">
        <f t="shared" si="4"/>
        <v>0</v>
      </c>
      <c r="S41" s="113"/>
      <c r="T41" s="113"/>
      <c r="U41" s="113"/>
      <c r="V41" s="116">
        <f t="shared" si="5"/>
        <v>0</v>
      </c>
      <c r="W41" s="117">
        <f t="shared" si="6"/>
        <v>0</v>
      </c>
    </row>
    <row r="42" spans="1:23" x14ac:dyDescent="0.25">
      <c r="A42" s="111">
        <v>8</v>
      </c>
      <c r="B42" s="164" t="s">
        <v>195</v>
      </c>
      <c r="C42" s="165"/>
      <c r="D42" s="142" t="s">
        <v>132</v>
      </c>
      <c r="E42" s="113">
        <f>E26*E28</f>
        <v>1.2901500000000001</v>
      </c>
      <c r="F42" s="113">
        <f>F26*F28</f>
        <v>0.54702360000000005</v>
      </c>
      <c r="G42" s="114">
        <f>G26*G28</f>
        <v>0.48509640000000004</v>
      </c>
      <c r="H42" s="116">
        <f t="shared" si="0"/>
        <v>2.3222700000000005</v>
      </c>
      <c r="I42" s="113">
        <f>I26*I28</f>
        <v>0.38188439999999996</v>
      </c>
      <c r="J42" s="113">
        <f>J26*J28</f>
        <v>0</v>
      </c>
      <c r="K42" s="113">
        <f>K26*K28</f>
        <v>0</v>
      </c>
      <c r="L42" s="116">
        <f t="shared" si="1"/>
        <v>0.38188439999999996</v>
      </c>
      <c r="M42" s="115">
        <f t="shared" si="2"/>
        <v>2.7041544000000006</v>
      </c>
      <c r="N42" s="113">
        <f>N26*N28</f>
        <v>0</v>
      </c>
      <c r="O42" s="113">
        <f>O26*O28</f>
        <v>0</v>
      </c>
      <c r="P42" s="113">
        <f>P26*P28</f>
        <v>0</v>
      </c>
      <c r="Q42" s="116">
        <f t="shared" si="3"/>
        <v>0</v>
      </c>
      <c r="R42" s="115">
        <f t="shared" si="4"/>
        <v>2.7041544000000006</v>
      </c>
      <c r="S42" s="113">
        <f>S26*S28</f>
        <v>0.14908399999999999</v>
      </c>
      <c r="T42" s="113">
        <f>T26*T28</f>
        <v>0.46445399999999998</v>
      </c>
      <c r="U42" s="113">
        <f>U26*U28</f>
        <v>0.79473240000000001</v>
      </c>
      <c r="V42" s="116">
        <f t="shared" si="5"/>
        <v>1.4082703999999999</v>
      </c>
      <c r="W42" s="117">
        <f t="shared" si="6"/>
        <v>4.1124248000000003</v>
      </c>
    </row>
    <row r="43" spans="1:23" x14ac:dyDescent="0.25">
      <c r="A43" s="111">
        <v>9</v>
      </c>
      <c r="B43" s="288" t="s">
        <v>214</v>
      </c>
      <c r="C43" s="288"/>
      <c r="D43" s="142" t="s">
        <v>204</v>
      </c>
      <c r="E43" s="120">
        <f>SUM(E44:E47,E49:E50,E55)</f>
        <v>42.946202054794519</v>
      </c>
      <c r="F43" s="120">
        <f>SUM(F44:F47,F49:F50,F55)</f>
        <v>20.143397671232876</v>
      </c>
      <c r="G43" s="120">
        <f>SUM(G44:G47,G49:G50,G55)</f>
        <v>18.243163972602741</v>
      </c>
      <c r="H43" s="116">
        <f t="shared" si="0"/>
        <v>81.332763698630131</v>
      </c>
      <c r="I43" s="120">
        <f>SUM(I44:I47,I49:I50,I55)</f>
        <v>15.076107808219181</v>
      </c>
      <c r="J43" s="120">
        <f>SUM(J44:J47,J49:J50,J55)</f>
        <v>0</v>
      </c>
      <c r="K43" s="120">
        <f>SUM(K44:K47,K49:K50,K55)</f>
        <v>0</v>
      </c>
      <c r="L43" s="116">
        <f t="shared" si="1"/>
        <v>15.076107808219181</v>
      </c>
      <c r="M43" s="115">
        <f t="shared" si="2"/>
        <v>96.408871506849309</v>
      </c>
      <c r="N43" s="120">
        <f>SUM(N44,N47,N49,N50,N55)</f>
        <v>0</v>
      </c>
      <c r="O43" s="120">
        <f>O44+O45+O46+O47+O50+O55</f>
        <v>0</v>
      </c>
      <c r="P43" s="120">
        <f>P44+P45+P46+P47+P50+P55</f>
        <v>0</v>
      </c>
      <c r="Q43" s="116">
        <f t="shared" si="3"/>
        <v>0</v>
      </c>
      <c r="R43" s="115">
        <f t="shared" si="4"/>
        <v>96.408871506849309</v>
      </c>
      <c r="S43" s="120">
        <f>S44+S45+S46+S47+S50+S55+S49</f>
        <v>7.953656828767123</v>
      </c>
      <c r="T43" s="120">
        <f>T44+T45+T46+T47+T50+T55+T49</f>
        <v>17.609752739726027</v>
      </c>
      <c r="U43" s="120">
        <f>U44+U45+U46+U47+U50+U55+U49</f>
        <v>27.618102465753431</v>
      </c>
      <c r="V43" s="116">
        <f t="shared" si="5"/>
        <v>53.18151203424658</v>
      </c>
      <c r="W43" s="117">
        <f t="shared" si="6"/>
        <v>149.59038354109589</v>
      </c>
    </row>
    <row r="44" spans="1:23" x14ac:dyDescent="0.25">
      <c r="A44" s="122" t="s">
        <v>215</v>
      </c>
      <c r="B44" s="277" t="s">
        <v>216</v>
      </c>
      <c r="C44" s="278"/>
      <c r="D44" s="142" t="s">
        <v>204</v>
      </c>
      <c r="E44" s="113">
        <v>0</v>
      </c>
      <c r="F44" s="113">
        <v>0</v>
      </c>
      <c r="G44" s="113">
        <v>0</v>
      </c>
      <c r="H44" s="116">
        <f t="shared" si="0"/>
        <v>0</v>
      </c>
      <c r="I44" s="113">
        <v>0</v>
      </c>
      <c r="J44" s="113">
        <v>0</v>
      </c>
      <c r="K44" s="113">
        <v>0</v>
      </c>
      <c r="L44" s="116">
        <f t="shared" si="1"/>
        <v>0</v>
      </c>
      <c r="M44" s="115">
        <f t="shared" si="2"/>
        <v>0</v>
      </c>
      <c r="N44" s="113">
        <v>0</v>
      </c>
      <c r="O44" s="113">
        <v>0</v>
      </c>
      <c r="P44" s="113">
        <v>0</v>
      </c>
      <c r="Q44" s="116">
        <f t="shared" si="3"/>
        <v>0</v>
      </c>
      <c r="R44" s="115">
        <f t="shared" si="4"/>
        <v>0</v>
      </c>
      <c r="S44" s="113"/>
      <c r="T44" s="113"/>
      <c r="U44" s="113"/>
      <c r="V44" s="116">
        <f t="shared" si="5"/>
        <v>0</v>
      </c>
      <c r="W44" s="117">
        <f t="shared" si="6"/>
        <v>0</v>
      </c>
    </row>
    <row r="45" spans="1:23" x14ac:dyDescent="0.25">
      <c r="A45" s="122" t="s">
        <v>217</v>
      </c>
      <c r="B45" s="277" t="s">
        <v>218</v>
      </c>
      <c r="C45" s="293"/>
      <c r="D45" s="142" t="s">
        <v>204</v>
      </c>
      <c r="E45" s="113">
        <v>0</v>
      </c>
      <c r="F45" s="113">
        <v>0</v>
      </c>
      <c r="G45" s="113">
        <v>0</v>
      </c>
      <c r="H45" s="116">
        <f t="shared" si="0"/>
        <v>0</v>
      </c>
      <c r="I45" s="113">
        <v>0</v>
      </c>
      <c r="J45" s="113">
        <v>0</v>
      </c>
      <c r="K45" s="113">
        <v>0</v>
      </c>
      <c r="L45" s="116">
        <f t="shared" si="1"/>
        <v>0</v>
      </c>
      <c r="M45" s="115">
        <f t="shared" si="2"/>
        <v>0</v>
      </c>
      <c r="N45" s="113">
        <v>0</v>
      </c>
      <c r="O45" s="113">
        <v>0</v>
      </c>
      <c r="P45" s="113">
        <v>0</v>
      </c>
      <c r="Q45" s="116">
        <f t="shared" si="3"/>
        <v>0</v>
      </c>
      <c r="R45" s="115">
        <f t="shared" si="4"/>
        <v>0</v>
      </c>
      <c r="S45" s="113">
        <v>0</v>
      </c>
      <c r="T45" s="113">
        <v>0</v>
      </c>
      <c r="U45" s="113">
        <v>0</v>
      </c>
      <c r="V45" s="116">
        <f t="shared" si="5"/>
        <v>0</v>
      </c>
      <c r="W45" s="117">
        <f t="shared" si="6"/>
        <v>0</v>
      </c>
    </row>
    <row r="46" spans="1:23" x14ac:dyDescent="0.25">
      <c r="A46" s="122" t="s">
        <v>219</v>
      </c>
      <c r="B46" s="277" t="s">
        <v>220</v>
      </c>
      <c r="C46" s="293"/>
      <c r="D46" s="142" t="s">
        <v>204</v>
      </c>
      <c r="E46" s="113">
        <v>0</v>
      </c>
      <c r="F46" s="113">
        <v>0</v>
      </c>
      <c r="G46" s="113">
        <v>0</v>
      </c>
      <c r="H46" s="116">
        <f t="shared" si="0"/>
        <v>0</v>
      </c>
      <c r="I46" s="113">
        <v>0</v>
      </c>
      <c r="J46" s="113">
        <v>0</v>
      </c>
      <c r="K46" s="113">
        <v>0</v>
      </c>
      <c r="L46" s="116">
        <f t="shared" si="1"/>
        <v>0</v>
      </c>
      <c r="M46" s="115">
        <f t="shared" si="2"/>
        <v>0</v>
      </c>
      <c r="N46" s="113">
        <v>0</v>
      </c>
      <c r="O46" s="113">
        <v>0</v>
      </c>
      <c r="P46" s="113">
        <v>0</v>
      </c>
      <c r="Q46" s="116">
        <f t="shared" si="3"/>
        <v>0</v>
      </c>
      <c r="R46" s="115">
        <f t="shared" si="4"/>
        <v>0</v>
      </c>
      <c r="S46" s="113">
        <v>0</v>
      </c>
      <c r="T46" s="113">
        <v>0</v>
      </c>
      <c r="U46" s="113">
        <v>0</v>
      </c>
      <c r="V46" s="116">
        <f t="shared" si="5"/>
        <v>0</v>
      </c>
      <c r="W46" s="117">
        <f t="shared" si="6"/>
        <v>0</v>
      </c>
    </row>
    <row r="47" spans="1:23" x14ac:dyDescent="0.25">
      <c r="A47" s="122" t="s">
        <v>221</v>
      </c>
      <c r="B47" s="288" t="s">
        <v>222</v>
      </c>
      <c r="C47" s="288"/>
      <c r="D47" s="142" t="s">
        <v>204</v>
      </c>
      <c r="E47" s="113"/>
      <c r="F47" s="113"/>
      <c r="G47" s="113"/>
      <c r="H47" s="116">
        <f t="shared" si="0"/>
        <v>0</v>
      </c>
      <c r="I47" s="113"/>
      <c r="J47" s="113">
        <v>0</v>
      </c>
      <c r="K47" s="113">
        <v>0</v>
      </c>
      <c r="L47" s="116">
        <f t="shared" si="1"/>
        <v>0</v>
      </c>
      <c r="M47" s="115">
        <f t="shared" si="2"/>
        <v>0</v>
      </c>
      <c r="N47" s="113">
        <v>0</v>
      </c>
      <c r="O47" s="113">
        <v>0</v>
      </c>
      <c r="P47" s="113">
        <v>0</v>
      </c>
      <c r="Q47" s="116">
        <f t="shared" si="3"/>
        <v>0</v>
      </c>
      <c r="R47" s="115">
        <f t="shared" si="4"/>
        <v>0</v>
      </c>
      <c r="S47" s="113">
        <v>0</v>
      </c>
      <c r="T47" s="113">
        <v>0</v>
      </c>
      <c r="U47" s="113">
        <v>0</v>
      </c>
      <c r="V47" s="116">
        <f t="shared" si="5"/>
        <v>0</v>
      </c>
      <c r="W47" s="117">
        <f t="shared" si="6"/>
        <v>0</v>
      </c>
    </row>
    <row r="48" spans="1:23" x14ac:dyDescent="0.25">
      <c r="A48" s="122"/>
      <c r="B48" s="294" t="s">
        <v>223</v>
      </c>
      <c r="C48" s="294"/>
      <c r="D48" s="142" t="s">
        <v>204</v>
      </c>
      <c r="E48" s="113"/>
      <c r="F48" s="113"/>
      <c r="G48" s="113"/>
      <c r="H48" s="116">
        <f t="shared" si="0"/>
        <v>0</v>
      </c>
      <c r="I48" s="113"/>
      <c r="J48" s="113">
        <v>0</v>
      </c>
      <c r="K48" s="113">
        <v>0</v>
      </c>
      <c r="L48" s="116">
        <f t="shared" si="1"/>
        <v>0</v>
      </c>
      <c r="M48" s="115">
        <f t="shared" si="2"/>
        <v>0</v>
      </c>
      <c r="N48" s="113">
        <v>0</v>
      </c>
      <c r="O48" s="113">
        <v>0</v>
      </c>
      <c r="P48" s="113">
        <v>0</v>
      </c>
      <c r="Q48" s="116">
        <f t="shared" si="3"/>
        <v>0</v>
      </c>
      <c r="R48" s="115">
        <f t="shared" si="4"/>
        <v>0</v>
      </c>
      <c r="S48" s="113">
        <v>0</v>
      </c>
      <c r="T48" s="113">
        <v>0</v>
      </c>
      <c r="U48" s="113">
        <v>0</v>
      </c>
      <c r="V48" s="116">
        <f t="shared" si="5"/>
        <v>0</v>
      </c>
      <c r="W48" s="117">
        <f t="shared" si="6"/>
        <v>0</v>
      </c>
    </row>
    <row r="49" spans="1:23" x14ac:dyDescent="0.25">
      <c r="A49" s="122" t="s">
        <v>224</v>
      </c>
      <c r="B49" s="277" t="s">
        <v>225</v>
      </c>
      <c r="C49" s="278"/>
      <c r="D49" s="142" t="s">
        <v>204</v>
      </c>
      <c r="E49" s="113">
        <f>485.5*E23/1000</f>
        <v>39.588202054794522</v>
      </c>
      <c r="F49" s="113">
        <f>485.5*F23/1000</f>
        <v>16.785397671232875</v>
      </c>
      <c r="G49" s="113">
        <f>485.5*G23/1000</f>
        <v>14.88516397260274</v>
      </c>
      <c r="H49" s="116">
        <f t="shared" si="0"/>
        <v>71.258763698630133</v>
      </c>
      <c r="I49" s="113">
        <f>485.5*I23/1000</f>
        <v>11.71810780821918</v>
      </c>
      <c r="J49" s="113">
        <f>485.5*J23/1000</f>
        <v>0</v>
      </c>
      <c r="K49" s="113">
        <f>485.5*K23/1000</f>
        <v>0</v>
      </c>
      <c r="L49" s="116">
        <f t="shared" si="1"/>
        <v>11.71810780821918</v>
      </c>
      <c r="M49" s="115">
        <f t="shared" si="2"/>
        <v>82.976871506849307</v>
      </c>
      <c r="N49" s="113">
        <f>485.5*N23/1000</f>
        <v>0</v>
      </c>
      <c r="O49" s="113">
        <f>485.5*O23/1000</f>
        <v>0</v>
      </c>
      <c r="P49" s="113">
        <f>485.5*P23/1000</f>
        <v>0</v>
      </c>
      <c r="Q49" s="116">
        <f t="shared" si="3"/>
        <v>0</v>
      </c>
      <c r="R49" s="115">
        <f t="shared" si="4"/>
        <v>82.976871506849307</v>
      </c>
      <c r="S49" s="113">
        <f>485.5*S23/1000</f>
        <v>6.2656568287671224</v>
      </c>
      <c r="T49" s="113">
        <f>485.5*T23/1000</f>
        <v>14.251752739726028</v>
      </c>
      <c r="U49" s="113">
        <f>485.5*U23/1000</f>
        <v>24.26010246575343</v>
      </c>
      <c r="V49" s="116">
        <f t="shared" si="5"/>
        <v>44.777512034246584</v>
      </c>
      <c r="W49" s="117">
        <f t="shared" si="6"/>
        <v>127.75438354109589</v>
      </c>
    </row>
    <row r="50" spans="1:23" x14ac:dyDescent="0.25">
      <c r="A50" s="122" t="s">
        <v>226</v>
      </c>
      <c r="B50" s="288" t="s">
        <v>227</v>
      </c>
      <c r="C50" s="288"/>
      <c r="D50" s="142" t="s">
        <v>204</v>
      </c>
      <c r="E50" s="113">
        <f>SUM(E51:E54)</f>
        <v>3.3580000000000001</v>
      </c>
      <c r="F50" s="113">
        <f>SUM(F51:F54)</f>
        <v>3.3580000000000001</v>
      </c>
      <c r="G50" s="113">
        <f>SUM(G51:G54)</f>
        <v>3.3580000000000001</v>
      </c>
      <c r="H50" s="116">
        <f t="shared" si="0"/>
        <v>10.074</v>
      </c>
      <c r="I50" s="113">
        <f>SUM(I51:I54)</f>
        <v>3.3580000000000001</v>
      </c>
      <c r="J50" s="113">
        <f>SUM(J51:J54)</f>
        <v>0</v>
      </c>
      <c r="K50" s="113">
        <f>SUM(K51:K54)</f>
        <v>0</v>
      </c>
      <c r="L50" s="116">
        <f t="shared" si="1"/>
        <v>3.3580000000000001</v>
      </c>
      <c r="M50" s="115">
        <f t="shared" si="2"/>
        <v>13.432</v>
      </c>
      <c r="N50" s="113">
        <f>SUM(N51:N54)</f>
        <v>0</v>
      </c>
      <c r="O50" s="113">
        <f>SUM(O51:O54)</f>
        <v>0</v>
      </c>
      <c r="P50" s="113">
        <v>0</v>
      </c>
      <c r="Q50" s="116">
        <f t="shared" si="3"/>
        <v>0</v>
      </c>
      <c r="R50" s="115">
        <f t="shared" si="4"/>
        <v>13.432</v>
      </c>
      <c r="S50" s="113">
        <f>SUM(S51:S54)</f>
        <v>1.6880000000000002</v>
      </c>
      <c r="T50" s="113">
        <f>SUM(T51:T54)</f>
        <v>3.3580000000000001</v>
      </c>
      <c r="U50" s="113">
        <f>SUM(U51:U54)</f>
        <v>3.3580000000000001</v>
      </c>
      <c r="V50" s="116">
        <f t="shared" si="5"/>
        <v>8.4039999999999999</v>
      </c>
      <c r="W50" s="117">
        <f t="shared" si="6"/>
        <v>21.835999999999999</v>
      </c>
    </row>
    <row r="51" spans="1:23" x14ac:dyDescent="0.25">
      <c r="A51" s="111"/>
      <c r="B51" s="294" t="s">
        <v>228</v>
      </c>
      <c r="C51" s="294"/>
      <c r="D51" s="142" t="s">
        <v>204</v>
      </c>
      <c r="E51" s="113">
        <v>0</v>
      </c>
      <c r="F51" s="113">
        <v>0</v>
      </c>
      <c r="G51" s="113">
        <v>0</v>
      </c>
      <c r="H51" s="116">
        <f t="shared" si="0"/>
        <v>0</v>
      </c>
      <c r="I51" s="113">
        <v>0</v>
      </c>
      <c r="J51" s="113">
        <v>0</v>
      </c>
      <c r="K51" s="113">
        <v>0</v>
      </c>
      <c r="L51" s="116">
        <f t="shared" si="1"/>
        <v>0</v>
      </c>
      <c r="M51" s="115">
        <f t="shared" si="2"/>
        <v>0</v>
      </c>
      <c r="N51" s="113">
        <v>0</v>
      </c>
      <c r="O51" s="113">
        <v>0</v>
      </c>
      <c r="P51" s="113">
        <v>0</v>
      </c>
      <c r="Q51" s="116">
        <f t="shared" si="3"/>
        <v>0</v>
      </c>
      <c r="R51" s="115">
        <f t="shared" si="4"/>
        <v>0</v>
      </c>
      <c r="S51" s="113"/>
      <c r="T51" s="113"/>
      <c r="U51" s="113"/>
      <c r="V51" s="116">
        <f t="shared" si="5"/>
        <v>0</v>
      </c>
      <c r="W51" s="117">
        <f t="shared" si="6"/>
        <v>0</v>
      </c>
    </row>
    <row r="52" spans="1:23" x14ac:dyDescent="0.25">
      <c r="A52" s="111"/>
      <c r="B52" s="291" t="s">
        <v>229</v>
      </c>
      <c r="C52" s="292"/>
      <c r="D52" s="142" t="s">
        <v>204</v>
      </c>
      <c r="E52" s="113">
        <v>0</v>
      </c>
      <c r="F52" s="113">
        <v>0</v>
      </c>
      <c r="G52" s="113">
        <v>0</v>
      </c>
      <c r="H52" s="116">
        <f t="shared" si="0"/>
        <v>0</v>
      </c>
      <c r="I52" s="113">
        <v>0</v>
      </c>
      <c r="J52" s="113">
        <v>0</v>
      </c>
      <c r="K52" s="113">
        <v>0</v>
      </c>
      <c r="L52" s="116">
        <f t="shared" si="1"/>
        <v>0</v>
      </c>
      <c r="M52" s="115">
        <f t="shared" si="2"/>
        <v>0</v>
      </c>
      <c r="N52" s="113">
        <v>0</v>
      </c>
      <c r="O52" s="113">
        <v>0</v>
      </c>
      <c r="P52" s="113">
        <v>0</v>
      </c>
      <c r="Q52" s="116">
        <f t="shared" si="3"/>
        <v>0</v>
      </c>
      <c r="R52" s="115">
        <f t="shared" si="4"/>
        <v>0</v>
      </c>
      <c r="S52" s="113"/>
      <c r="T52" s="113">
        <v>0</v>
      </c>
      <c r="U52" s="113">
        <v>0</v>
      </c>
      <c r="V52" s="116">
        <f t="shared" si="5"/>
        <v>0</v>
      </c>
      <c r="W52" s="117">
        <f t="shared" si="6"/>
        <v>0</v>
      </c>
    </row>
    <row r="53" spans="1:23" x14ac:dyDescent="0.25">
      <c r="A53" s="111"/>
      <c r="B53" s="291" t="s">
        <v>230</v>
      </c>
      <c r="C53" s="292"/>
      <c r="D53" s="142" t="s">
        <v>204</v>
      </c>
      <c r="E53" s="113">
        <v>0</v>
      </c>
      <c r="F53" s="113">
        <v>0</v>
      </c>
      <c r="G53" s="113">
        <v>0</v>
      </c>
      <c r="H53" s="116">
        <f t="shared" si="0"/>
        <v>0</v>
      </c>
      <c r="I53" s="113">
        <v>0</v>
      </c>
      <c r="J53" s="113">
        <v>0</v>
      </c>
      <c r="K53" s="113">
        <v>0</v>
      </c>
      <c r="L53" s="116">
        <f t="shared" si="1"/>
        <v>0</v>
      </c>
      <c r="M53" s="115">
        <f t="shared" si="2"/>
        <v>0</v>
      </c>
      <c r="N53" s="113">
        <v>0</v>
      </c>
      <c r="O53" s="113">
        <v>0</v>
      </c>
      <c r="P53" s="113">
        <v>0</v>
      </c>
      <c r="Q53" s="116">
        <f t="shared" si="3"/>
        <v>0</v>
      </c>
      <c r="R53" s="115">
        <f t="shared" si="4"/>
        <v>0</v>
      </c>
      <c r="S53" s="113">
        <v>0</v>
      </c>
      <c r="T53" s="113"/>
      <c r="U53" s="113"/>
      <c r="V53" s="116">
        <f t="shared" si="5"/>
        <v>0</v>
      </c>
      <c r="W53" s="117">
        <f t="shared" si="6"/>
        <v>0</v>
      </c>
    </row>
    <row r="54" spans="1:23" x14ac:dyDescent="0.25">
      <c r="A54" s="111"/>
      <c r="B54" s="166" t="s">
        <v>231</v>
      </c>
      <c r="C54" s="167"/>
      <c r="D54" s="142" t="s">
        <v>204</v>
      </c>
      <c r="E54" s="113">
        <f>4.378-1.02</f>
        <v>3.3580000000000001</v>
      </c>
      <c r="F54" s="113">
        <f>4.378-1.02</f>
        <v>3.3580000000000001</v>
      </c>
      <c r="G54" s="113">
        <f>4.378-1.02</f>
        <v>3.3580000000000001</v>
      </c>
      <c r="H54" s="116">
        <f t="shared" si="0"/>
        <v>10.074</v>
      </c>
      <c r="I54" s="113">
        <f>4.378-1.02</f>
        <v>3.3580000000000001</v>
      </c>
      <c r="J54" s="113">
        <v>0</v>
      </c>
      <c r="K54" s="113">
        <v>0</v>
      </c>
      <c r="L54" s="116">
        <f t="shared" si="1"/>
        <v>3.3580000000000001</v>
      </c>
      <c r="M54" s="115">
        <f t="shared" si="2"/>
        <v>13.432</v>
      </c>
      <c r="N54" s="113">
        <v>0</v>
      </c>
      <c r="O54" s="113">
        <v>0</v>
      </c>
      <c r="P54" s="113">
        <v>0</v>
      </c>
      <c r="Q54" s="116">
        <f t="shared" si="3"/>
        <v>0</v>
      </c>
      <c r="R54" s="115">
        <f t="shared" si="4"/>
        <v>13.432</v>
      </c>
      <c r="S54" s="113">
        <f>2.189-0.509+0.008</f>
        <v>1.6880000000000002</v>
      </c>
      <c r="T54" s="113">
        <f>4.378-1.02</f>
        <v>3.3580000000000001</v>
      </c>
      <c r="U54" s="113">
        <f>4.378-1.02</f>
        <v>3.3580000000000001</v>
      </c>
      <c r="V54" s="116">
        <f t="shared" si="5"/>
        <v>8.4039999999999999</v>
      </c>
      <c r="W54" s="117">
        <f t="shared" si="6"/>
        <v>21.835999999999999</v>
      </c>
    </row>
    <row r="55" spans="1:23" x14ac:dyDescent="0.25">
      <c r="A55" s="122" t="s">
        <v>232</v>
      </c>
      <c r="B55" s="288" t="s">
        <v>233</v>
      </c>
      <c r="C55" s="288"/>
      <c r="D55" s="142" t="s">
        <v>204</v>
      </c>
      <c r="E55" s="113">
        <f>SUM(E56)</f>
        <v>0</v>
      </c>
      <c r="F55" s="113">
        <f>SUM(F56)</f>
        <v>0</v>
      </c>
      <c r="G55" s="113">
        <f>SUM(G56)</f>
        <v>0</v>
      </c>
      <c r="H55" s="116">
        <f t="shared" si="0"/>
        <v>0</v>
      </c>
      <c r="I55" s="113">
        <f>SUM(I56)</f>
        <v>0</v>
      </c>
      <c r="J55" s="113">
        <f>SUM(J56)</f>
        <v>0</v>
      </c>
      <c r="K55" s="113">
        <f>SUM(K56)</f>
        <v>0</v>
      </c>
      <c r="L55" s="116">
        <f t="shared" si="1"/>
        <v>0</v>
      </c>
      <c r="M55" s="115">
        <f t="shared" si="2"/>
        <v>0</v>
      </c>
      <c r="N55" s="113">
        <f>SUM(N56)</f>
        <v>0</v>
      </c>
      <c r="O55" s="113">
        <f>SUM(O56)</f>
        <v>0</v>
      </c>
      <c r="P55" s="113">
        <f>SUM(P56)</f>
        <v>0</v>
      </c>
      <c r="Q55" s="116">
        <f t="shared" si="3"/>
        <v>0</v>
      </c>
      <c r="R55" s="115">
        <f t="shared" si="4"/>
        <v>0</v>
      </c>
      <c r="S55" s="113">
        <f>SUM(S56)</f>
        <v>0</v>
      </c>
      <c r="T55" s="113">
        <f>SUM(T56)</f>
        <v>0</v>
      </c>
      <c r="U55" s="113">
        <f>SUM(U56)</f>
        <v>0</v>
      </c>
      <c r="V55" s="116">
        <f t="shared" si="5"/>
        <v>0</v>
      </c>
      <c r="W55" s="117">
        <f t="shared" si="6"/>
        <v>0</v>
      </c>
    </row>
    <row r="56" spans="1:23" x14ac:dyDescent="0.25">
      <c r="A56" s="111"/>
      <c r="B56" s="288" t="s">
        <v>234</v>
      </c>
      <c r="C56" s="288"/>
      <c r="D56" s="142" t="s">
        <v>204</v>
      </c>
      <c r="E56" s="113">
        <v>0</v>
      </c>
      <c r="F56" s="113">
        <v>0</v>
      </c>
      <c r="G56" s="113">
        <v>0</v>
      </c>
      <c r="H56" s="116">
        <f t="shared" si="0"/>
        <v>0</v>
      </c>
      <c r="I56" s="113">
        <v>0</v>
      </c>
      <c r="J56" s="113">
        <v>0</v>
      </c>
      <c r="K56" s="113">
        <v>0</v>
      </c>
      <c r="L56" s="116">
        <f t="shared" si="1"/>
        <v>0</v>
      </c>
      <c r="M56" s="115">
        <f t="shared" si="2"/>
        <v>0</v>
      </c>
      <c r="N56" s="113">
        <v>0</v>
      </c>
      <c r="O56" s="113">
        <v>0</v>
      </c>
      <c r="P56" s="113">
        <v>0</v>
      </c>
      <c r="Q56" s="116">
        <f t="shared" si="3"/>
        <v>0</v>
      </c>
      <c r="R56" s="115">
        <f t="shared" si="4"/>
        <v>0</v>
      </c>
      <c r="S56" s="113">
        <v>0</v>
      </c>
      <c r="T56" s="113"/>
      <c r="U56" s="113">
        <v>0</v>
      </c>
      <c r="V56" s="116">
        <f t="shared" si="5"/>
        <v>0</v>
      </c>
      <c r="W56" s="117">
        <f t="shared" si="6"/>
        <v>0</v>
      </c>
    </row>
    <row r="57" spans="1:23" x14ac:dyDescent="0.25">
      <c r="A57" s="111" t="s">
        <v>235</v>
      </c>
      <c r="B57" s="288" t="s">
        <v>236</v>
      </c>
      <c r="C57" s="288"/>
      <c r="D57" s="142" t="s">
        <v>204</v>
      </c>
      <c r="E57" s="113">
        <v>0</v>
      </c>
      <c r="F57" s="113">
        <v>0</v>
      </c>
      <c r="G57" s="113">
        <v>0</v>
      </c>
      <c r="H57" s="116">
        <f t="shared" si="0"/>
        <v>0</v>
      </c>
      <c r="I57" s="113">
        <v>0</v>
      </c>
      <c r="J57" s="113">
        <v>0</v>
      </c>
      <c r="K57" s="113">
        <v>0</v>
      </c>
      <c r="L57" s="116">
        <f t="shared" si="1"/>
        <v>0</v>
      </c>
      <c r="M57" s="115">
        <f t="shared" si="2"/>
        <v>0</v>
      </c>
      <c r="N57" s="113">
        <v>0</v>
      </c>
      <c r="O57" s="113">
        <v>0</v>
      </c>
      <c r="P57" s="113">
        <v>0</v>
      </c>
      <c r="Q57" s="116">
        <f t="shared" si="3"/>
        <v>0</v>
      </c>
      <c r="R57" s="115">
        <f t="shared" si="4"/>
        <v>0</v>
      </c>
      <c r="S57" s="113">
        <v>0</v>
      </c>
      <c r="T57" s="113">
        <v>0</v>
      </c>
      <c r="U57" s="113"/>
      <c r="V57" s="116">
        <f t="shared" si="5"/>
        <v>0</v>
      </c>
      <c r="W57" s="117">
        <f t="shared" si="6"/>
        <v>0</v>
      </c>
    </row>
    <row r="58" spans="1:23" x14ac:dyDescent="0.25">
      <c r="A58" s="111">
        <v>11</v>
      </c>
      <c r="B58" s="279" t="s">
        <v>237</v>
      </c>
      <c r="C58" s="280"/>
      <c r="D58" s="142" t="s">
        <v>204</v>
      </c>
      <c r="E58" s="120">
        <f>SUM(E59:E61)</f>
        <v>0</v>
      </c>
      <c r="F58" s="120">
        <f>SUM(F59:F61)</f>
        <v>0</v>
      </c>
      <c r="G58" s="120">
        <f>SUM(G59:G61)</f>
        <v>0</v>
      </c>
      <c r="H58" s="116">
        <f t="shared" si="0"/>
        <v>0</v>
      </c>
      <c r="I58" s="120">
        <f>SUM(I59:I61)</f>
        <v>0</v>
      </c>
      <c r="J58" s="120">
        <f>SUM(J59:J61)</f>
        <v>0</v>
      </c>
      <c r="K58" s="120">
        <f>SUM(K59:K61)</f>
        <v>0</v>
      </c>
      <c r="L58" s="116">
        <f t="shared" si="1"/>
        <v>0</v>
      </c>
      <c r="M58" s="115">
        <f t="shared" si="2"/>
        <v>0</v>
      </c>
      <c r="N58" s="120">
        <f>SUM(N59:N61)</f>
        <v>0</v>
      </c>
      <c r="O58" s="120">
        <v>0</v>
      </c>
      <c r="P58" s="120">
        <f>SUM(P59:P61)</f>
        <v>0</v>
      </c>
      <c r="Q58" s="116">
        <f t="shared" si="3"/>
        <v>0</v>
      </c>
      <c r="R58" s="115">
        <f t="shared" si="4"/>
        <v>0</v>
      </c>
      <c r="S58" s="120">
        <f>S59+S60+S61</f>
        <v>0</v>
      </c>
      <c r="T58" s="120">
        <f>T59+T60+T61</f>
        <v>0</v>
      </c>
      <c r="U58" s="120">
        <f>U59+U60+U61</f>
        <v>0</v>
      </c>
      <c r="V58" s="116">
        <f t="shared" si="5"/>
        <v>0</v>
      </c>
      <c r="W58" s="117">
        <f t="shared" si="6"/>
        <v>0</v>
      </c>
    </row>
    <row r="59" spans="1:23" x14ac:dyDescent="0.25">
      <c r="A59" s="122" t="s">
        <v>238</v>
      </c>
      <c r="B59" s="279" t="s">
        <v>239</v>
      </c>
      <c r="C59" s="280" t="s">
        <v>240</v>
      </c>
      <c r="D59" s="142" t="s">
        <v>204</v>
      </c>
      <c r="E59" s="113">
        <v>0</v>
      </c>
      <c r="F59" s="113">
        <v>0</v>
      </c>
      <c r="G59" s="113">
        <v>0</v>
      </c>
      <c r="H59" s="116">
        <f t="shared" si="0"/>
        <v>0</v>
      </c>
      <c r="I59" s="113">
        <v>0</v>
      </c>
      <c r="J59" s="113">
        <v>0</v>
      </c>
      <c r="K59" s="113">
        <v>0</v>
      </c>
      <c r="L59" s="116">
        <f t="shared" si="1"/>
        <v>0</v>
      </c>
      <c r="M59" s="115">
        <f t="shared" si="2"/>
        <v>0</v>
      </c>
      <c r="N59" s="113">
        <v>0</v>
      </c>
      <c r="O59" s="113">
        <v>0</v>
      </c>
      <c r="P59" s="113">
        <v>0</v>
      </c>
      <c r="Q59" s="116">
        <f t="shared" si="3"/>
        <v>0</v>
      </c>
      <c r="R59" s="115">
        <f t="shared" si="4"/>
        <v>0</v>
      </c>
      <c r="S59" s="113">
        <v>0</v>
      </c>
      <c r="T59" s="113">
        <v>0</v>
      </c>
      <c r="U59" s="113">
        <v>0</v>
      </c>
      <c r="V59" s="116">
        <f t="shared" si="5"/>
        <v>0</v>
      </c>
      <c r="W59" s="117">
        <f t="shared" si="6"/>
        <v>0</v>
      </c>
    </row>
    <row r="60" spans="1:23" x14ac:dyDescent="0.25">
      <c r="A60" s="122" t="s">
        <v>241</v>
      </c>
      <c r="B60" s="277" t="s">
        <v>242</v>
      </c>
      <c r="C60" s="278"/>
      <c r="D60" s="142" t="s">
        <v>204</v>
      </c>
      <c r="E60" s="113">
        <v>0</v>
      </c>
      <c r="F60" s="113">
        <v>0</v>
      </c>
      <c r="G60" s="113">
        <v>0</v>
      </c>
      <c r="H60" s="116">
        <f t="shared" si="0"/>
        <v>0</v>
      </c>
      <c r="I60" s="113">
        <v>0</v>
      </c>
      <c r="J60" s="113">
        <v>0</v>
      </c>
      <c r="K60" s="113">
        <v>0</v>
      </c>
      <c r="L60" s="116">
        <f t="shared" si="1"/>
        <v>0</v>
      </c>
      <c r="M60" s="115">
        <f t="shared" si="2"/>
        <v>0</v>
      </c>
      <c r="N60" s="113">
        <v>0</v>
      </c>
      <c r="O60" s="113">
        <v>0</v>
      </c>
      <c r="P60" s="113">
        <v>0</v>
      </c>
      <c r="Q60" s="116">
        <f t="shared" si="3"/>
        <v>0</v>
      </c>
      <c r="R60" s="115">
        <f t="shared" si="4"/>
        <v>0</v>
      </c>
      <c r="S60" s="113"/>
      <c r="T60" s="113">
        <v>0</v>
      </c>
      <c r="U60" s="113">
        <v>0</v>
      </c>
      <c r="V60" s="116">
        <f t="shared" si="5"/>
        <v>0</v>
      </c>
      <c r="W60" s="117">
        <f t="shared" si="6"/>
        <v>0</v>
      </c>
    </row>
    <row r="61" spans="1:23" x14ac:dyDescent="0.25">
      <c r="A61" s="122" t="s">
        <v>243</v>
      </c>
      <c r="B61" s="279" t="s">
        <v>244</v>
      </c>
      <c r="C61" s="280" t="s">
        <v>245</v>
      </c>
      <c r="D61" s="142" t="s">
        <v>204</v>
      </c>
      <c r="E61" s="113">
        <v>0</v>
      </c>
      <c r="F61" s="113">
        <v>0</v>
      </c>
      <c r="G61" s="113">
        <v>0</v>
      </c>
      <c r="H61" s="116">
        <f t="shared" si="0"/>
        <v>0</v>
      </c>
      <c r="I61" s="113">
        <v>0</v>
      </c>
      <c r="J61" s="113">
        <v>0</v>
      </c>
      <c r="K61" s="113">
        <v>0</v>
      </c>
      <c r="L61" s="116">
        <f t="shared" si="1"/>
        <v>0</v>
      </c>
      <c r="M61" s="115">
        <f t="shared" si="2"/>
        <v>0</v>
      </c>
      <c r="N61" s="113">
        <v>0</v>
      </c>
      <c r="O61" s="113">
        <v>0</v>
      </c>
      <c r="P61" s="113">
        <v>0</v>
      </c>
      <c r="Q61" s="116">
        <f t="shared" si="3"/>
        <v>0</v>
      </c>
      <c r="R61" s="115">
        <f t="shared" si="4"/>
        <v>0</v>
      </c>
      <c r="S61" s="113">
        <v>0</v>
      </c>
      <c r="T61" s="113">
        <v>0</v>
      </c>
      <c r="U61" s="113">
        <v>0</v>
      </c>
      <c r="V61" s="116">
        <f t="shared" si="5"/>
        <v>0</v>
      </c>
      <c r="W61" s="117">
        <f t="shared" si="6"/>
        <v>0</v>
      </c>
    </row>
    <row r="62" spans="1:23" x14ac:dyDescent="0.25">
      <c r="A62" s="111">
        <v>12</v>
      </c>
      <c r="B62" s="279" t="s">
        <v>246</v>
      </c>
      <c r="C62" s="280"/>
      <c r="D62" s="142" t="s">
        <v>204</v>
      </c>
      <c r="E62" s="120">
        <f>SUM(E63:E69,E70,E71:E73,E78,E72)</f>
        <v>4.9440000000000008</v>
      </c>
      <c r="F62" s="120">
        <f>SUM(F63:F69,F70,F71:F73,F78,F72)</f>
        <v>4.9440000000000008</v>
      </c>
      <c r="G62" s="120">
        <f>SUM(G63:G69,G70,G71:G73,G78,G72)</f>
        <v>5.9340000000000002</v>
      </c>
      <c r="H62" s="116">
        <f t="shared" si="0"/>
        <v>15.822000000000003</v>
      </c>
      <c r="I62" s="120">
        <f>SUM(I63:I69,I70,I71:I73,I78,I72)</f>
        <v>4.9440000000000008</v>
      </c>
      <c r="J62" s="120">
        <f>SUM(J63:J69,J70,J71:J73,J78,J72)</f>
        <v>0</v>
      </c>
      <c r="K62" s="120">
        <f>SUM(K63:K69,K70,K71:K73,K78,K72)</f>
        <v>0</v>
      </c>
      <c r="L62" s="116">
        <f t="shared" si="1"/>
        <v>4.9440000000000008</v>
      </c>
      <c r="M62" s="115">
        <f t="shared" si="2"/>
        <v>20.766000000000005</v>
      </c>
      <c r="N62" s="120">
        <f>SUM(N63:N69,N70,N71:N73,N78,N72)</f>
        <v>0</v>
      </c>
      <c r="O62" s="120">
        <f>SUM(O63:O69,O70,O71:O73,O78,O72)</f>
        <v>0</v>
      </c>
      <c r="P62" s="120">
        <f>SUM(P63:P69,P70,P71:P73,P78,P72)</f>
        <v>0</v>
      </c>
      <c r="Q62" s="116">
        <f t="shared" si="3"/>
        <v>0</v>
      </c>
      <c r="R62" s="115">
        <f t="shared" si="4"/>
        <v>20.766000000000005</v>
      </c>
      <c r="S62" s="120">
        <f>SUM(S63:S69,S70,S71:S73,S78,S72)</f>
        <v>2.4711999999999996</v>
      </c>
      <c r="T62" s="120">
        <f>SUM(T63:T69,T70,T71:T73,T78,T72)</f>
        <v>4.9440000000000008</v>
      </c>
      <c r="U62" s="120">
        <f>SUM(U63:U69,U70,U71:U73,U78,U72)</f>
        <v>4.9440000000000008</v>
      </c>
      <c r="V62" s="116">
        <f t="shared" si="5"/>
        <v>12.359200000000001</v>
      </c>
      <c r="W62" s="117">
        <f t="shared" si="6"/>
        <v>33.125200000000007</v>
      </c>
    </row>
    <row r="63" spans="1:23" x14ac:dyDescent="0.25">
      <c r="A63" s="122" t="s">
        <v>247</v>
      </c>
      <c r="B63" s="279" t="s">
        <v>248</v>
      </c>
      <c r="C63" s="280" t="s">
        <v>248</v>
      </c>
      <c r="D63" s="142" t="s">
        <v>204</v>
      </c>
      <c r="E63" s="113">
        <v>0.82199999999999995</v>
      </c>
      <c r="F63" s="113">
        <v>0.82199999999999995</v>
      </c>
      <c r="G63" s="113">
        <v>0.82199999999999995</v>
      </c>
      <c r="H63" s="116">
        <f t="shared" si="0"/>
        <v>2.4659999999999997</v>
      </c>
      <c r="I63" s="113">
        <v>0.82199999999999995</v>
      </c>
      <c r="J63" s="113"/>
      <c r="K63" s="113"/>
      <c r="L63" s="116">
        <f t="shared" si="1"/>
        <v>0.82199999999999995</v>
      </c>
      <c r="M63" s="115">
        <f t="shared" si="2"/>
        <v>3.2879999999999998</v>
      </c>
      <c r="N63" s="113"/>
      <c r="O63" s="113"/>
      <c r="P63" s="113"/>
      <c r="Q63" s="116">
        <f t="shared" si="3"/>
        <v>0</v>
      </c>
      <c r="R63" s="115">
        <f t="shared" si="4"/>
        <v>3.2879999999999998</v>
      </c>
      <c r="S63" s="113">
        <v>0.41099999999999998</v>
      </c>
      <c r="T63" s="113">
        <v>0.82199999999999995</v>
      </c>
      <c r="U63" s="113">
        <v>0.82199999999999995</v>
      </c>
      <c r="V63" s="116">
        <f t="shared" si="5"/>
        <v>2.0549999999999997</v>
      </c>
      <c r="W63" s="117">
        <f t="shared" si="6"/>
        <v>5.343</v>
      </c>
    </row>
    <row r="64" spans="1:23" x14ac:dyDescent="0.25">
      <c r="A64" s="122" t="s">
        <v>249</v>
      </c>
      <c r="B64" s="277" t="s">
        <v>250</v>
      </c>
      <c r="C64" s="278" t="s">
        <v>250</v>
      </c>
      <c r="D64" s="142" t="s">
        <v>204</v>
      </c>
      <c r="E64" s="113"/>
      <c r="F64" s="113"/>
      <c r="G64" s="113"/>
      <c r="H64" s="116">
        <f t="shared" si="0"/>
        <v>0</v>
      </c>
      <c r="I64" s="113"/>
      <c r="J64" s="113"/>
      <c r="K64" s="113"/>
      <c r="L64" s="116">
        <f t="shared" si="1"/>
        <v>0</v>
      </c>
      <c r="M64" s="115">
        <f t="shared" si="2"/>
        <v>0</v>
      </c>
      <c r="N64" s="113"/>
      <c r="O64" s="113"/>
      <c r="P64" s="113"/>
      <c r="Q64" s="116">
        <f t="shared" si="3"/>
        <v>0</v>
      </c>
      <c r="R64" s="115">
        <f t="shared" si="4"/>
        <v>0</v>
      </c>
      <c r="S64" s="113"/>
      <c r="T64" s="113"/>
      <c r="U64" s="113"/>
      <c r="V64" s="116">
        <f t="shared" si="5"/>
        <v>0</v>
      </c>
      <c r="W64" s="117">
        <f t="shared" si="6"/>
        <v>0</v>
      </c>
    </row>
    <row r="65" spans="1:23" x14ac:dyDescent="0.25">
      <c r="A65" s="122" t="s">
        <v>251</v>
      </c>
      <c r="B65" s="279" t="s">
        <v>58</v>
      </c>
      <c r="C65" s="280" t="s">
        <v>58</v>
      </c>
      <c r="D65" s="142" t="s">
        <v>204</v>
      </c>
      <c r="E65" s="113"/>
      <c r="F65" s="113"/>
      <c r="G65" s="113"/>
      <c r="H65" s="116">
        <f t="shared" si="0"/>
        <v>0</v>
      </c>
      <c r="I65" s="113"/>
      <c r="J65" s="113"/>
      <c r="K65" s="113"/>
      <c r="L65" s="116">
        <f t="shared" si="1"/>
        <v>0</v>
      </c>
      <c r="M65" s="115">
        <f t="shared" si="2"/>
        <v>0</v>
      </c>
      <c r="N65" s="113"/>
      <c r="O65" s="113"/>
      <c r="P65" s="113"/>
      <c r="Q65" s="116">
        <f t="shared" si="3"/>
        <v>0</v>
      </c>
      <c r="R65" s="115">
        <f t="shared" si="4"/>
        <v>0</v>
      </c>
      <c r="S65" s="113"/>
      <c r="T65" s="113"/>
      <c r="U65" s="113"/>
      <c r="V65" s="116">
        <f t="shared" si="5"/>
        <v>0</v>
      </c>
      <c r="W65" s="117">
        <f t="shared" si="6"/>
        <v>0</v>
      </c>
    </row>
    <row r="66" spans="1:23" x14ac:dyDescent="0.25">
      <c r="A66" s="122" t="s">
        <v>252</v>
      </c>
      <c r="B66" s="164" t="s">
        <v>253</v>
      </c>
      <c r="C66" s="165"/>
      <c r="D66" s="142" t="s">
        <v>132</v>
      </c>
      <c r="E66" s="113"/>
      <c r="F66" s="113"/>
      <c r="G66" s="113"/>
      <c r="H66" s="116">
        <f t="shared" si="0"/>
        <v>0</v>
      </c>
      <c r="I66" s="113"/>
      <c r="J66" s="168"/>
      <c r="K66" s="113"/>
      <c r="L66" s="116">
        <f t="shared" si="1"/>
        <v>0</v>
      </c>
      <c r="M66" s="115">
        <f t="shared" si="2"/>
        <v>0</v>
      </c>
      <c r="N66" s="113"/>
      <c r="O66" s="113"/>
      <c r="P66" s="113"/>
      <c r="Q66" s="116">
        <f t="shared" si="3"/>
        <v>0</v>
      </c>
      <c r="R66" s="115">
        <f t="shared" si="4"/>
        <v>0</v>
      </c>
      <c r="S66" s="113"/>
      <c r="T66" s="113"/>
      <c r="U66" s="113"/>
      <c r="V66" s="116">
        <f t="shared" si="5"/>
        <v>0</v>
      </c>
      <c r="W66" s="117">
        <f t="shared" si="6"/>
        <v>0</v>
      </c>
    </row>
    <row r="67" spans="1:23" x14ac:dyDescent="0.25">
      <c r="A67" s="122" t="s">
        <v>254</v>
      </c>
      <c r="B67" s="277" t="s">
        <v>255</v>
      </c>
      <c r="C67" s="278" t="s">
        <v>255</v>
      </c>
      <c r="D67" s="142" t="s">
        <v>204</v>
      </c>
      <c r="E67" s="113">
        <v>1.1850000000000001</v>
      </c>
      <c r="F67" s="113">
        <v>1.1850000000000001</v>
      </c>
      <c r="G67" s="113">
        <v>1.1850000000000001</v>
      </c>
      <c r="H67" s="116">
        <f t="shared" si="0"/>
        <v>3.5550000000000002</v>
      </c>
      <c r="I67" s="113">
        <v>1.1850000000000001</v>
      </c>
      <c r="J67" s="113"/>
      <c r="K67" s="113"/>
      <c r="L67" s="116">
        <f t="shared" si="1"/>
        <v>1.1850000000000001</v>
      </c>
      <c r="M67" s="115">
        <f t="shared" si="2"/>
        <v>4.74</v>
      </c>
      <c r="N67" s="113"/>
      <c r="O67" s="113"/>
      <c r="P67" s="113"/>
      <c r="Q67" s="116">
        <f t="shared" si="3"/>
        <v>0</v>
      </c>
      <c r="R67" s="115">
        <f t="shared" si="4"/>
        <v>4.74</v>
      </c>
      <c r="S67" s="113">
        <v>0.59199999999999997</v>
      </c>
      <c r="T67" s="113">
        <v>1.1850000000000001</v>
      </c>
      <c r="U67" s="113">
        <v>1.1850000000000001</v>
      </c>
      <c r="V67" s="116">
        <f t="shared" si="5"/>
        <v>2.9620000000000002</v>
      </c>
      <c r="W67" s="117">
        <f t="shared" si="6"/>
        <v>7.702</v>
      </c>
    </row>
    <row r="68" spans="1:23" x14ac:dyDescent="0.25">
      <c r="A68" s="122" t="s">
        <v>256</v>
      </c>
      <c r="B68" s="277" t="s">
        <v>257</v>
      </c>
      <c r="C68" s="278" t="s">
        <v>257</v>
      </c>
      <c r="D68" s="142" t="s">
        <v>204</v>
      </c>
      <c r="E68" s="113">
        <v>0.751</v>
      </c>
      <c r="F68" s="113">
        <v>0.751</v>
      </c>
      <c r="G68" s="113">
        <v>0.751</v>
      </c>
      <c r="H68" s="116">
        <f t="shared" si="0"/>
        <v>2.2530000000000001</v>
      </c>
      <c r="I68" s="113">
        <v>0.751</v>
      </c>
      <c r="J68" s="113"/>
      <c r="K68" s="113"/>
      <c r="L68" s="116">
        <f t="shared" si="1"/>
        <v>0.751</v>
      </c>
      <c r="M68" s="115">
        <f t="shared" si="2"/>
        <v>3.004</v>
      </c>
      <c r="N68" s="113"/>
      <c r="O68" s="113"/>
      <c r="P68" s="113"/>
      <c r="Q68" s="116">
        <f t="shared" si="3"/>
        <v>0</v>
      </c>
      <c r="R68" s="115">
        <f t="shared" si="4"/>
        <v>3.004</v>
      </c>
      <c r="S68" s="113">
        <v>0.375</v>
      </c>
      <c r="T68" s="113">
        <v>0.751</v>
      </c>
      <c r="U68" s="113">
        <v>0.751</v>
      </c>
      <c r="V68" s="116">
        <f t="shared" si="5"/>
        <v>1.8769999999999998</v>
      </c>
      <c r="W68" s="117">
        <f t="shared" si="6"/>
        <v>4.8810000000000002</v>
      </c>
    </row>
    <row r="69" spans="1:23" x14ac:dyDescent="0.25">
      <c r="A69" s="122" t="s">
        <v>258</v>
      </c>
      <c r="B69" s="279" t="s">
        <v>259</v>
      </c>
      <c r="C69" s="280" t="s">
        <v>260</v>
      </c>
      <c r="D69" s="142" t="s">
        <v>204</v>
      </c>
      <c r="E69" s="113"/>
      <c r="F69" s="113"/>
      <c r="G69" s="113"/>
      <c r="H69" s="116">
        <f t="shared" si="0"/>
        <v>0</v>
      </c>
      <c r="I69" s="113"/>
      <c r="J69" s="113"/>
      <c r="K69" s="113"/>
      <c r="L69" s="116">
        <f t="shared" si="1"/>
        <v>0</v>
      </c>
      <c r="M69" s="115">
        <f t="shared" si="2"/>
        <v>0</v>
      </c>
      <c r="N69" s="113"/>
      <c r="O69" s="113"/>
      <c r="P69" s="113"/>
      <c r="Q69" s="116">
        <f t="shared" si="3"/>
        <v>0</v>
      </c>
      <c r="R69" s="115">
        <f t="shared" si="4"/>
        <v>0</v>
      </c>
      <c r="S69" s="113"/>
      <c r="T69" s="113"/>
      <c r="U69" s="113"/>
      <c r="V69" s="116">
        <f t="shared" si="5"/>
        <v>0</v>
      </c>
      <c r="W69" s="117">
        <f t="shared" si="6"/>
        <v>0</v>
      </c>
    </row>
    <row r="70" spans="1:23" x14ac:dyDescent="0.25">
      <c r="A70" s="122" t="s">
        <v>261</v>
      </c>
      <c r="B70" s="277" t="s">
        <v>262</v>
      </c>
      <c r="C70" s="278" t="s">
        <v>263</v>
      </c>
      <c r="D70" s="142" t="s">
        <v>204</v>
      </c>
      <c r="E70" s="113"/>
      <c r="F70" s="113"/>
      <c r="G70" s="113"/>
      <c r="H70" s="116">
        <f t="shared" si="0"/>
        <v>0</v>
      </c>
      <c r="I70" s="113"/>
      <c r="J70" s="113"/>
      <c r="K70" s="113"/>
      <c r="L70" s="116">
        <f t="shared" si="1"/>
        <v>0</v>
      </c>
      <c r="M70" s="115">
        <f t="shared" si="2"/>
        <v>0</v>
      </c>
      <c r="N70" s="113"/>
      <c r="O70" s="113"/>
      <c r="P70" s="113"/>
      <c r="Q70" s="116">
        <f t="shared" si="3"/>
        <v>0</v>
      </c>
      <c r="R70" s="115">
        <f t="shared" si="4"/>
        <v>0</v>
      </c>
      <c r="S70" s="113"/>
      <c r="T70" s="113"/>
      <c r="U70" s="113"/>
      <c r="V70" s="116">
        <f t="shared" si="5"/>
        <v>0</v>
      </c>
      <c r="W70" s="117">
        <f t="shared" si="6"/>
        <v>0</v>
      </c>
    </row>
    <row r="71" spans="1:23" x14ac:dyDescent="0.25">
      <c r="A71" s="122" t="s">
        <v>264</v>
      </c>
      <c r="B71" s="277" t="s">
        <v>265</v>
      </c>
      <c r="C71" s="293"/>
      <c r="D71" s="142" t="s">
        <v>204</v>
      </c>
      <c r="E71" s="113"/>
      <c r="F71" s="113"/>
      <c r="G71" s="113"/>
      <c r="H71" s="116">
        <f t="shared" si="0"/>
        <v>0</v>
      </c>
      <c r="I71" s="113"/>
      <c r="J71" s="113"/>
      <c r="K71" s="113"/>
      <c r="L71" s="116">
        <f t="shared" si="1"/>
        <v>0</v>
      </c>
      <c r="M71" s="115">
        <f t="shared" si="2"/>
        <v>0</v>
      </c>
      <c r="N71" s="113"/>
      <c r="O71" s="113"/>
      <c r="P71" s="113"/>
      <c r="Q71" s="116">
        <f t="shared" si="3"/>
        <v>0</v>
      </c>
      <c r="R71" s="115">
        <f t="shared" si="4"/>
        <v>0</v>
      </c>
      <c r="S71" s="113"/>
      <c r="T71" s="113"/>
      <c r="U71" s="113"/>
      <c r="V71" s="116">
        <f t="shared" si="5"/>
        <v>0</v>
      </c>
      <c r="W71" s="117">
        <f t="shared" si="6"/>
        <v>0</v>
      </c>
    </row>
    <row r="72" spans="1:23" x14ac:dyDescent="0.25">
      <c r="A72" s="122" t="s">
        <v>266</v>
      </c>
      <c r="B72" s="279" t="s">
        <v>267</v>
      </c>
      <c r="C72" s="280" t="s">
        <v>268</v>
      </c>
      <c r="D72" s="142" t="s">
        <v>204</v>
      </c>
      <c r="E72" s="113"/>
      <c r="F72" s="113"/>
      <c r="G72" s="113"/>
      <c r="H72" s="116">
        <f t="shared" si="0"/>
        <v>0</v>
      </c>
      <c r="I72" s="113"/>
      <c r="J72" s="113"/>
      <c r="K72" s="113"/>
      <c r="L72" s="116">
        <f t="shared" si="1"/>
        <v>0</v>
      </c>
      <c r="M72" s="115">
        <f t="shared" si="2"/>
        <v>0</v>
      </c>
      <c r="N72" s="113"/>
      <c r="O72" s="113"/>
      <c r="P72" s="113"/>
      <c r="Q72" s="116">
        <f t="shared" si="3"/>
        <v>0</v>
      </c>
      <c r="R72" s="115">
        <f t="shared" si="4"/>
        <v>0</v>
      </c>
      <c r="S72" s="113"/>
      <c r="T72" s="113"/>
      <c r="U72" s="113"/>
      <c r="V72" s="116">
        <f t="shared" si="5"/>
        <v>0</v>
      </c>
      <c r="W72" s="117">
        <f t="shared" si="6"/>
        <v>0</v>
      </c>
    </row>
    <row r="73" spans="1:23" x14ac:dyDescent="0.25">
      <c r="A73" s="122" t="s">
        <v>269</v>
      </c>
      <c r="B73" s="279" t="s">
        <v>233</v>
      </c>
      <c r="C73" s="280" t="s">
        <v>233</v>
      </c>
      <c r="D73" s="142" t="s">
        <v>204</v>
      </c>
      <c r="E73" s="113">
        <f>SUM(E74:E77)</f>
        <v>8.3000000000000004E-2</v>
      </c>
      <c r="F73" s="113">
        <f>SUM(F74:F77)</f>
        <v>8.3000000000000004E-2</v>
      </c>
      <c r="G73" s="113">
        <f>SUM(G74:G77)</f>
        <v>8.3000000000000004E-2</v>
      </c>
      <c r="H73" s="116">
        <f t="shared" si="0"/>
        <v>0.249</v>
      </c>
      <c r="I73" s="113">
        <f>SUM(I74:I77)</f>
        <v>8.3000000000000004E-2</v>
      </c>
      <c r="J73" s="113">
        <v>0</v>
      </c>
      <c r="K73" s="113">
        <f>SUM(K74:K77)</f>
        <v>0</v>
      </c>
      <c r="L73" s="116">
        <f t="shared" si="1"/>
        <v>8.3000000000000004E-2</v>
      </c>
      <c r="M73" s="115">
        <f t="shared" si="2"/>
        <v>0.33200000000000002</v>
      </c>
      <c r="N73" s="113">
        <f>SUM(N74:N77)</f>
        <v>0</v>
      </c>
      <c r="O73" s="113">
        <f>SUM(O74:O77)</f>
        <v>0</v>
      </c>
      <c r="P73" s="113">
        <f>SUM(P74:P77)</f>
        <v>0</v>
      </c>
      <c r="Q73" s="116">
        <f t="shared" si="3"/>
        <v>0</v>
      </c>
      <c r="R73" s="115">
        <f t="shared" si="4"/>
        <v>0.33200000000000002</v>
      </c>
      <c r="S73" s="113">
        <f>SUM(S74:S77)</f>
        <v>4.1200000000000001E-2</v>
      </c>
      <c r="T73" s="113">
        <f>SUM(T74:T77)</f>
        <v>8.3000000000000004E-2</v>
      </c>
      <c r="U73" s="113">
        <f>SUM(U74:U77)</f>
        <v>8.3000000000000004E-2</v>
      </c>
      <c r="V73" s="116">
        <f t="shared" si="5"/>
        <v>0.2072</v>
      </c>
      <c r="W73" s="117">
        <f t="shared" si="6"/>
        <v>0.53920000000000001</v>
      </c>
    </row>
    <row r="74" spans="1:23" x14ac:dyDescent="0.25">
      <c r="A74" s="122"/>
      <c r="B74" s="279" t="s">
        <v>270</v>
      </c>
      <c r="C74" s="280" t="s">
        <v>270</v>
      </c>
      <c r="D74" s="142" t="s">
        <v>204</v>
      </c>
      <c r="E74" s="113">
        <v>8.3000000000000004E-2</v>
      </c>
      <c r="F74" s="113">
        <v>8.3000000000000004E-2</v>
      </c>
      <c r="G74" s="113">
        <v>8.3000000000000004E-2</v>
      </c>
      <c r="H74" s="116">
        <f t="shared" ref="H74:H89" si="9">SUM(E74:G74)</f>
        <v>0.249</v>
      </c>
      <c r="I74" s="113">
        <v>8.3000000000000004E-2</v>
      </c>
      <c r="J74" s="113"/>
      <c r="K74" s="113"/>
      <c r="L74" s="116">
        <f t="shared" ref="L74:L89" si="10">SUM(I74:K74)</f>
        <v>8.3000000000000004E-2</v>
      </c>
      <c r="M74" s="115">
        <f t="shared" ref="M74:M89" si="11">L74+H74</f>
        <v>0.33200000000000002</v>
      </c>
      <c r="N74" s="113"/>
      <c r="O74" s="113"/>
      <c r="P74" s="113"/>
      <c r="Q74" s="116">
        <f t="shared" ref="Q74:Q89" si="12">SUM(N74:P74)</f>
        <v>0</v>
      </c>
      <c r="R74" s="115">
        <f t="shared" ref="R74:R89" si="13">Q74+M74</f>
        <v>0.33200000000000002</v>
      </c>
      <c r="S74" s="113">
        <v>4.1200000000000001E-2</v>
      </c>
      <c r="T74" s="113">
        <v>8.3000000000000004E-2</v>
      </c>
      <c r="U74" s="113">
        <v>8.3000000000000004E-2</v>
      </c>
      <c r="V74" s="116">
        <f t="shared" ref="V74:V89" si="14">SUM(S74:U74)</f>
        <v>0.2072</v>
      </c>
      <c r="W74" s="117">
        <f t="shared" ref="W74:W89" si="15">V74+R74</f>
        <v>0.53920000000000001</v>
      </c>
    </row>
    <row r="75" spans="1:23" x14ac:dyDescent="0.25">
      <c r="A75" s="122"/>
      <c r="B75" s="279" t="s">
        <v>271</v>
      </c>
      <c r="C75" s="280" t="s">
        <v>271</v>
      </c>
      <c r="D75" s="142" t="s">
        <v>204</v>
      </c>
      <c r="E75" s="113"/>
      <c r="F75" s="113"/>
      <c r="G75" s="113"/>
      <c r="H75" s="116">
        <f t="shared" si="9"/>
        <v>0</v>
      </c>
      <c r="I75" s="113"/>
      <c r="J75" s="113"/>
      <c r="K75" s="113"/>
      <c r="L75" s="116">
        <f t="shared" si="10"/>
        <v>0</v>
      </c>
      <c r="M75" s="115">
        <f t="shared" si="11"/>
        <v>0</v>
      </c>
      <c r="N75" s="113"/>
      <c r="O75" s="113"/>
      <c r="P75" s="113"/>
      <c r="Q75" s="116">
        <f t="shared" si="12"/>
        <v>0</v>
      </c>
      <c r="R75" s="115">
        <f t="shared" si="13"/>
        <v>0</v>
      </c>
      <c r="S75" s="113"/>
      <c r="T75" s="113"/>
      <c r="U75" s="113"/>
      <c r="V75" s="116">
        <f t="shared" si="14"/>
        <v>0</v>
      </c>
      <c r="W75" s="117">
        <f t="shared" si="15"/>
        <v>0</v>
      </c>
    </row>
    <row r="76" spans="1:23" x14ac:dyDescent="0.25">
      <c r="A76" s="122"/>
      <c r="B76" s="279" t="s">
        <v>272</v>
      </c>
      <c r="C76" s="280" t="s">
        <v>273</v>
      </c>
      <c r="D76" s="142" t="s">
        <v>204</v>
      </c>
      <c r="E76" s="113"/>
      <c r="F76" s="113"/>
      <c r="G76" s="113"/>
      <c r="H76" s="116">
        <f t="shared" si="9"/>
        <v>0</v>
      </c>
      <c r="I76" s="113"/>
      <c r="J76" s="113"/>
      <c r="K76" s="113"/>
      <c r="L76" s="116">
        <f t="shared" si="10"/>
        <v>0</v>
      </c>
      <c r="M76" s="115">
        <f t="shared" si="11"/>
        <v>0</v>
      </c>
      <c r="N76" s="113"/>
      <c r="O76" s="113"/>
      <c r="P76" s="113"/>
      <c r="Q76" s="116">
        <f t="shared" si="12"/>
        <v>0</v>
      </c>
      <c r="R76" s="115">
        <f t="shared" si="13"/>
        <v>0</v>
      </c>
      <c r="S76" s="113"/>
      <c r="T76" s="113"/>
      <c r="U76" s="113"/>
      <c r="V76" s="116">
        <f t="shared" si="14"/>
        <v>0</v>
      </c>
      <c r="W76" s="117">
        <f t="shared" si="15"/>
        <v>0</v>
      </c>
    </row>
    <row r="77" spans="1:23" x14ac:dyDescent="0.25">
      <c r="A77" s="122"/>
      <c r="B77" s="164" t="s">
        <v>274</v>
      </c>
      <c r="C77" s="165"/>
      <c r="D77" s="142" t="s">
        <v>204</v>
      </c>
      <c r="E77" s="113"/>
      <c r="F77" s="113"/>
      <c r="G77" s="113"/>
      <c r="H77" s="116">
        <f t="shared" si="9"/>
        <v>0</v>
      </c>
      <c r="I77" s="113"/>
      <c r="J77" s="113"/>
      <c r="K77" s="113"/>
      <c r="L77" s="116">
        <f t="shared" si="10"/>
        <v>0</v>
      </c>
      <c r="M77" s="115">
        <f t="shared" si="11"/>
        <v>0</v>
      </c>
      <c r="N77" s="113"/>
      <c r="O77" s="113"/>
      <c r="P77" s="113"/>
      <c r="Q77" s="116">
        <f t="shared" si="12"/>
        <v>0</v>
      </c>
      <c r="R77" s="115">
        <f t="shared" si="13"/>
        <v>0</v>
      </c>
      <c r="S77" s="113"/>
      <c r="T77" s="113"/>
      <c r="U77" s="113"/>
      <c r="V77" s="116">
        <f t="shared" si="14"/>
        <v>0</v>
      </c>
      <c r="W77" s="117">
        <f t="shared" si="15"/>
        <v>0</v>
      </c>
    </row>
    <row r="78" spans="1:23" x14ac:dyDescent="0.25">
      <c r="A78" s="122" t="s">
        <v>275</v>
      </c>
      <c r="B78" s="279" t="s">
        <v>276</v>
      </c>
      <c r="C78" s="280" t="s">
        <v>276</v>
      </c>
      <c r="D78" s="142" t="s">
        <v>204</v>
      </c>
      <c r="E78" s="120">
        <f>SUM(E79:E81)</f>
        <v>2.1030000000000002</v>
      </c>
      <c r="F78" s="120">
        <f>SUM(F79:F81)</f>
        <v>2.1030000000000002</v>
      </c>
      <c r="G78" s="120">
        <f>SUM(G79:G81)</f>
        <v>3.093</v>
      </c>
      <c r="H78" s="116">
        <f t="shared" si="9"/>
        <v>7.2990000000000004</v>
      </c>
      <c r="I78" s="120">
        <f>SUM(I79:I81)</f>
        <v>2.1030000000000002</v>
      </c>
      <c r="J78" s="120">
        <f>SUM(J79:J81)</f>
        <v>0</v>
      </c>
      <c r="K78" s="120">
        <f>SUM(K79:K81)</f>
        <v>0</v>
      </c>
      <c r="L78" s="116">
        <f t="shared" si="10"/>
        <v>2.1030000000000002</v>
      </c>
      <c r="M78" s="115">
        <f t="shared" si="11"/>
        <v>9.402000000000001</v>
      </c>
      <c r="N78" s="120">
        <f>SUM(N79:N81)</f>
        <v>0</v>
      </c>
      <c r="O78" s="120">
        <f>SUM(O79:O81)</f>
        <v>0</v>
      </c>
      <c r="P78" s="120">
        <f>SUM(P79:P81)</f>
        <v>0</v>
      </c>
      <c r="Q78" s="116">
        <f t="shared" si="12"/>
        <v>0</v>
      </c>
      <c r="R78" s="115">
        <f t="shared" si="13"/>
        <v>9.402000000000001</v>
      </c>
      <c r="S78" s="120">
        <f>SUM(S79:S81)</f>
        <v>1.052</v>
      </c>
      <c r="T78" s="120">
        <f>SUM(T79:T81)</f>
        <v>2.1030000000000002</v>
      </c>
      <c r="U78" s="120">
        <f>SUM(U79:U81)</f>
        <v>2.1030000000000002</v>
      </c>
      <c r="V78" s="116">
        <f t="shared" si="14"/>
        <v>5.2580000000000009</v>
      </c>
      <c r="W78" s="117">
        <f t="shared" si="15"/>
        <v>14.660000000000002</v>
      </c>
    </row>
    <row r="79" spans="1:23" x14ac:dyDescent="0.25">
      <c r="A79" s="122" t="s">
        <v>277</v>
      </c>
      <c r="B79" s="279" t="s">
        <v>278</v>
      </c>
      <c r="C79" s="280" t="s">
        <v>278</v>
      </c>
      <c r="D79" s="142" t="s">
        <v>204</v>
      </c>
      <c r="E79" s="113"/>
      <c r="F79" s="113"/>
      <c r="G79" s="113"/>
      <c r="H79" s="116">
        <f t="shared" si="9"/>
        <v>0</v>
      </c>
      <c r="I79" s="113"/>
      <c r="J79" s="113"/>
      <c r="K79" s="113"/>
      <c r="L79" s="116">
        <f t="shared" si="10"/>
        <v>0</v>
      </c>
      <c r="M79" s="115">
        <f t="shared" si="11"/>
        <v>0</v>
      </c>
      <c r="N79" s="113"/>
      <c r="O79" s="113"/>
      <c r="P79" s="113"/>
      <c r="Q79" s="116">
        <f t="shared" si="12"/>
        <v>0</v>
      </c>
      <c r="R79" s="115">
        <f t="shared" si="13"/>
        <v>0</v>
      </c>
      <c r="S79" s="113"/>
      <c r="T79" s="113"/>
      <c r="U79" s="113"/>
      <c r="V79" s="116">
        <f t="shared" si="14"/>
        <v>0</v>
      </c>
      <c r="W79" s="117">
        <f t="shared" si="15"/>
        <v>0</v>
      </c>
    </row>
    <row r="80" spans="1:23" x14ac:dyDescent="0.25">
      <c r="A80" s="122" t="s">
        <v>279</v>
      </c>
      <c r="B80" s="279" t="s">
        <v>280</v>
      </c>
      <c r="C80" s="280" t="s">
        <v>281</v>
      </c>
      <c r="D80" s="142" t="s">
        <v>204</v>
      </c>
      <c r="E80" s="113"/>
      <c r="F80" s="113"/>
      <c r="G80" s="113">
        <v>0.99</v>
      </c>
      <c r="H80" s="116">
        <f t="shared" si="9"/>
        <v>0.99</v>
      </c>
      <c r="I80" s="113"/>
      <c r="J80" s="113"/>
      <c r="K80" s="113"/>
      <c r="L80" s="116">
        <f t="shared" si="10"/>
        <v>0</v>
      </c>
      <c r="M80" s="115">
        <f t="shared" si="11"/>
        <v>0.99</v>
      </c>
      <c r="N80" s="113"/>
      <c r="O80" s="113"/>
      <c r="P80" s="113"/>
      <c r="Q80" s="116">
        <f t="shared" si="12"/>
        <v>0</v>
      </c>
      <c r="R80" s="115">
        <f t="shared" si="13"/>
        <v>0.99</v>
      </c>
      <c r="S80" s="113"/>
      <c r="T80" s="113"/>
      <c r="U80" s="113"/>
      <c r="V80" s="116">
        <f t="shared" si="14"/>
        <v>0</v>
      </c>
      <c r="W80" s="117">
        <f t="shared" si="15"/>
        <v>0.99</v>
      </c>
    </row>
    <row r="81" spans="1:23" x14ac:dyDescent="0.25">
      <c r="A81" s="122" t="s">
        <v>282</v>
      </c>
      <c r="B81" s="164" t="s">
        <v>283</v>
      </c>
      <c r="C81" s="165"/>
      <c r="D81" s="142" t="s">
        <v>204</v>
      </c>
      <c r="E81" s="113">
        <v>2.1030000000000002</v>
      </c>
      <c r="F81" s="113">
        <v>2.1030000000000002</v>
      </c>
      <c r="G81" s="113">
        <v>2.1030000000000002</v>
      </c>
      <c r="H81" s="116">
        <f t="shared" si="9"/>
        <v>6.3090000000000011</v>
      </c>
      <c r="I81" s="113">
        <v>2.1030000000000002</v>
      </c>
      <c r="J81" s="113"/>
      <c r="K81" s="113"/>
      <c r="L81" s="116">
        <f t="shared" si="10"/>
        <v>2.1030000000000002</v>
      </c>
      <c r="M81" s="115">
        <f t="shared" si="11"/>
        <v>8.4120000000000008</v>
      </c>
      <c r="N81" s="113"/>
      <c r="O81" s="113"/>
      <c r="P81" s="113"/>
      <c r="Q81" s="116">
        <f t="shared" si="12"/>
        <v>0</v>
      </c>
      <c r="R81" s="115">
        <f t="shared" si="13"/>
        <v>8.4120000000000008</v>
      </c>
      <c r="S81" s="113">
        <v>1.052</v>
      </c>
      <c r="T81" s="113">
        <v>2.1030000000000002</v>
      </c>
      <c r="U81" s="113">
        <v>2.1030000000000002</v>
      </c>
      <c r="V81" s="116">
        <f t="shared" si="14"/>
        <v>5.2580000000000009</v>
      </c>
      <c r="W81" s="117">
        <f t="shared" si="15"/>
        <v>13.670000000000002</v>
      </c>
    </row>
    <row r="82" spans="1:23" x14ac:dyDescent="0.25">
      <c r="A82" s="111" t="s">
        <v>284</v>
      </c>
      <c r="B82" s="277" t="s">
        <v>285</v>
      </c>
      <c r="C82" s="278"/>
      <c r="D82" s="142" t="s">
        <v>204</v>
      </c>
      <c r="E82" s="113">
        <v>0</v>
      </c>
      <c r="F82" s="113">
        <v>0</v>
      </c>
      <c r="G82" s="114">
        <v>0</v>
      </c>
      <c r="H82" s="116">
        <f t="shared" si="9"/>
        <v>0</v>
      </c>
      <c r="I82" s="113">
        <v>0</v>
      </c>
      <c r="J82" s="113">
        <v>0</v>
      </c>
      <c r="K82" s="113">
        <v>0</v>
      </c>
      <c r="L82" s="116">
        <f t="shared" si="10"/>
        <v>0</v>
      </c>
      <c r="M82" s="115">
        <f t="shared" si="11"/>
        <v>0</v>
      </c>
      <c r="N82" s="113"/>
      <c r="O82" s="113"/>
      <c r="P82" s="113"/>
      <c r="Q82" s="116">
        <f t="shared" si="12"/>
        <v>0</v>
      </c>
      <c r="R82" s="115">
        <f t="shared" si="13"/>
        <v>0</v>
      </c>
      <c r="S82" s="113"/>
      <c r="T82" s="113"/>
      <c r="U82" s="113"/>
      <c r="V82" s="116">
        <f t="shared" si="14"/>
        <v>0</v>
      </c>
      <c r="W82" s="117">
        <f t="shared" si="15"/>
        <v>0</v>
      </c>
    </row>
    <row r="83" spans="1:23" x14ac:dyDescent="0.25">
      <c r="A83" s="111"/>
      <c r="B83" s="164"/>
      <c r="C83" s="165"/>
      <c r="D83" s="142"/>
      <c r="E83" s="113"/>
      <c r="F83" s="113"/>
      <c r="G83" s="114"/>
      <c r="H83" s="116">
        <f t="shared" si="9"/>
        <v>0</v>
      </c>
      <c r="I83" s="113"/>
      <c r="J83" s="113"/>
      <c r="K83" s="113"/>
      <c r="L83" s="116">
        <f t="shared" si="10"/>
        <v>0</v>
      </c>
      <c r="M83" s="115">
        <f t="shared" si="11"/>
        <v>0</v>
      </c>
      <c r="N83" s="113"/>
      <c r="O83" s="113"/>
      <c r="P83" s="113"/>
      <c r="Q83" s="116">
        <f t="shared" si="12"/>
        <v>0</v>
      </c>
      <c r="R83" s="115">
        <f t="shared" si="13"/>
        <v>0</v>
      </c>
      <c r="S83" s="113"/>
      <c r="T83" s="113"/>
      <c r="U83" s="113"/>
      <c r="V83" s="116">
        <f t="shared" si="14"/>
        <v>0</v>
      </c>
      <c r="W83" s="117">
        <f t="shared" si="15"/>
        <v>0</v>
      </c>
    </row>
    <row r="84" spans="1:23" x14ac:dyDescent="0.25">
      <c r="A84" s="118">
        <v>16</v>
      </c>
      <c r="B84" s="275" t="s">
        <v>286</v>
      </c>
      <c r="C84" s="276"/>
      <c r="D84" s="169" t="s">
        <v>204</v>
      </c>
      <c r="E84" s="170">
        <f>E30+E32+E33+E34+E35+E38+E41+E42+E43+E58+E62+E82+E57</f>
        <v>410.86481671506851</v>
      </c>
      <c r="F84" s="170">
        <f>F30+F32+F33+F34+F35+F38+F41+F42+F43+F58+F62+F82+F57</f>
        <v>248.18230350958905</v>
      </c>
      <c r="G84" s="170">
        <f>G30+G32+G33+G34+G35+G38+G41+G42+G43++G58+G62+G82+G57</f>
        <v>236.35551394246576</v>
      </c>
      <c r="H84" s="170">
        <f t="shared" si="9"/>
        <v>895.40263416712332</v>
      </c>
      <c r="I84" s="170">
        <f>I30+I32+I33+I34+I35+I38+I41+I42+I43+I58+I62+I82+I57</f>
        <v>249.15103699726026</v>
      </c>
      <c r="J84" s="170">
        <f>J30+J32+J33+J34+J35+J38+J41+J42+J43+J58+J62+J82+J57</f>
        <v>18.521208999999999</v>
      </c>
      <c r="K84" s="170">
        <f>K30+K32+K33+K34+K35+K38+K41+K42+K43+K58+K62+K82+K57</f>
        <v>18.521208999999999</v>
      </c>
      <c r="L84" s="170">
        <f t="shared" si="10"/>
        <v>286.19345499726023</v>
      </c>
      <c r="M84" s="170">
        <f t="shared" si="11"/>
        <v>1181.5960891643836</v>
      </c>
      <c r="N84" s="170">
        <f t="shared" ref="N84:U84" si="16">SUM(N30,N32:N35,N38,N42:N43,N58:N58,N62:N62,N82,N57)</f>
        <v>18.521208999999999</v>
      </c>
      <c r="O84" s="170">
        <f t="shared" si="16"/>
        <v>18.521208999999999</v>
      </c>
      <c r="P84" s="170">
        <f t="shared" si="16"/>
        <v>18.521208999999999</v>
      </c>
      <c r="Q84" s="170">
        <f t="shared" si="12"/>
        <v>55.563626999999997</v>
      </c>
      <c r="R84" s="170">
        <f t="shared" si="13"/>
        <v>1237.1597161643836</v>
      </c>
      <c r="S84" s="170">
        <f t="shared" si="16"/>
        <v>118.90761914041096</v>
      </c>
      <c r="T84" s="170">
        <f t="shared" si="16"/>
        <v>231.09325075342463</v>
      </c>
      <c r="U84" s="170">
        <f t="shared" si="16"/>
        <v>298.68330677808223</v>
      </c>
      <c r="V84" s="170">
        <f t="shared" si="14"/>
        <v>648.68417667191784</v>
      </c>
      <c r="W84" s="170">
        <f t="shared" si="15"/>
        <v>1885.8438928363014</v>
      </c>
    </row>
    <row r="85" spans="1:23" x14ac:dyDescent="0.25">
      <c r="A85" s="111">
        <v>17</v>
      </c>
      <c r="B85" s="277"/>
      <c r="C85" s="278"/>
      <c r="D85" s="142"/>
      <c r="E85" s="120"/>
      <c r="F85" s="120"/>
      <c r="G85" s="120"/>
      <c r="H85" s="171"/>
      <c r="I85" s="120"/>
      <c r="J85" s="120"/>
      <c r="K85" s="120"/>
      <c r="L85" s="171"/>
      <c r="M85" s="171"/>
      <c r="N85" s="120"/>
      <c r="O85" s="120"/>
      <c r="P85" s="120"/>
      <c r="Q85" s="171"/>
      <c r="R85" s="171"/>
      <c r="S85" s="120"/>
      <c r="T85" s="120"/>
      <c r="U85" s="120"/>
      <c r="V85" s="171"/>
      <c r="W85" s="171"/>
    </row>
    <row r="86" spans="1:23" x14ac:dyDescent="0.25">
      <c r="A86" s="118">
        <v>18</v>
      </c>
      <c r="B86" s="297" t="s">
        <v>287</v>
      </c>
      <c r="C86" s="297"/>
      <c r="D86" s="169" t="s">
        <v>204</v>
      </c>
      <c r="E86" s="172">
        <f>E14*E88</f>
        <v>583.44608160000007</v>
      </c>
      <c r="F86" s="173">
        <f>F14*F88</f>
        <v>247.38113859839999</v>
      </c>
      <c r="G86" s="173">
        <f>G14*G88</f>
        <v>219.37572668159999</v>
      </c>
      <c r="H86" s="173">
        <f>H88*H14</f>
        <v>1050.2029468799999</v>
      </c>
      <c r="I86" s="173">
        <f>I14*I88</f>
        <v>172.8458</v>
      </c>
      <c r="J86" s="173">
        <f>J14*J88</f>
        <v>0</v>
      </c>
      <c r="K86" s="173">
        <f>K14*K88</f>
        <v>0</v>
      </c>
      <c r="L86" s="174">
        <f>L88*L14</f>
        <v>172.8458</v>
      </c>
      <c r="M86" s="175">
        <f>M88*M14</f>
        <v>1223.04874688</v>
      </c>
      <c r="N86" s="173">
        <f>N14*N88</f>
        <v>0</v>
      </c>
      <c r="O86" s="173">
        <f>O14*O88</f>
        <v>0</v>
      </c>
      <c r="P86" s="173">
        <f>P14*P88</f>
        <v>0</v>
      </c>
      <c r="Q86" s="174">
        <f>Q88*Q14</f>
        <v>0</v>
      </c>
      <c r="R86" s="175">
        <f>R88*R14</f>
        <v>1223.04874688</v>
      </c>
      <c r="S86" s="173">
        <f>S14*S88</f>
        <v>93.351373055999986</v>
      </c>
      <c r="T86" s="173">
        <f>T14*T88</f>
        <v>210.04058937600001</v>
      </c>
      <c r="U86" s="173">
        <f>U14*U88</f>
        <v>359.40278626559996</v>
      </c>
      <c r="V86" s="174">
        <f>V88*V14</f>
        <v>662.79474869759986</v>
      </c>
      <c r="W86" s="176">
        <f>W88*W14</f>
        <v>1885.8434955775999</v>
      </c>
    </row>
    <row r="87" spans="1:23" x14ac:dyDescent="0.25">
      <c r="A87" s="111">
        <v>19</v>
      </c>
      <c r="B87" s="277" t="s">
        <v>288</v>
      </c>
      <c r="C87" s="278"/>
      <c r="D87" s="142" t="s">
        <v>204</v>
      </c>
      <c r="E87" s="177">
        <v>0</v>
      </c>
      <c r="F87" s="177">
        <v>0</v>
      </c>
      <c r="G87" s="177">
        <v>0</v>
      </c>
      <c r="H87" s="116">
        <f t="shared" si="9"/>
        <v>0</v>
      </c>
      <c r="I87" s="177">
        <v>0</v>
      </c>
      <c r="J87" s="177">
        <v>0</v>
      </c>
      <c r="K87" s="177">
        <v>0</v>
      </c>
      <c r="L87" s="116">
        <f t="shared" si="10"/>
        <v>0</v>
      </c>
      <c r="M87" s="115">
        <f t="shared" si="11"/>
        <v>0</v>
      </c>
      <c r="N87" s="177">
        <v>0</v>
      </c>
      <c r="O87" s="177">
        <v>0</v>
      </c>
      <c r="P87" s="177"/>
      <c r="Q87" s="116">
        <f t="shared" si="12"/>
        <v>0</v>
      </c>
      <c r="R87" s="115">
        <f t="shared" si="13"/>
        <v>0</v>
      </c>
      <c r="S87" s="177"/>
      <c r="T87" s="177"/>
      <c r="U87" s="177"/>
      <c r="V87" s="116">
        <f t="shared" si="14"/>
        <v>0</v>
      </c>
      <c r="W87" s="117">
        <f t="shared" si="15"/>
        <v>0</v>
      </c>
    </row>
    <row r="88" spans="1:23" x14ac:dyDescent="0.25">
      <c r="A88" s="111">
        <v>20</v>
      </c>
      <c r="B88" s="277" t="s">
        <v>289</v>
      </c>
      <c r="C88" s="278"/>
      <c r="D88" s="142" t="s">
        <v>290</v>
      </c>
      <c r="E88" s="178">
        <v>5083.7</v>
      </c>
      <c r="F88" s="178">
        <v>5083.7</v>
      </c>
      <c r="G88" s="178">
        <v>5083.7</v>
      </c>
      <c r="H88" s="179">
        <v>5083.7</v>
      </c>
      <c r="I88" s="178">
        <v>5083.7</v>
      </c>
      <c r="J88" s="178">
        <v>5083.7</v>
      </c>
      <c r="K88" s="178">
        <v>5083.7</v>
      </c>
      <c r="L88" s="179">
        <v>5083.7</v>
      </c>
      <c r="M88" s="179">
        <v>5083.7</v>
      </c>
      <c r="N88" s="178">
        <v>5083.7</v>
      </c>
      <c r="O88" s="178">
        <v>5083.7</v>
      </c>
      <c r="P88" s="178">
        <v>5083.7</v>
      </c>
      <c r="Q88" s="179">
        <v>5083.7</v>
      </c>
      <c r="R88" s="179">
        <v>5083.7</v>
      </c>
      <c r="S88" s="178">
        <v>5083.7</v>
      </c>
      <c r="T88" s="178">
        <v>5083.7</v>
      </c>
      <c r="U88" s="178">
        <v>5083.7</v>
      </c>
      <c r="V88" s="179">
        <v>5083.7</v>
      </c>
      <c r="W88" s="115">
        <v>5083.7</v>
      </c>
    </row>
    <row r="89" spans="1:23" x14ac:dyDescent="0.25">
      <c r="A89" s="118">
        <v>21</v>
      </c>
      <c r="B89" s="295" t="s">
        <v>291</v>
      </c>
      <c r="C89" s="296"/>
      <c r="D89" s="169" t="s">
        <v>204</v>
      </c>
      <c r="E89" s="180">
        <f>(E86+E87)-E84</f>
        <v>172.58126488493156</v>
      </c>
      <c r="F89" s="180">
        <f t="shared" ref="F89:U89" si="17">(F86+F87)-F84</f>
        <v>-0.80116491118906197</v>
      </c>
      <c r="G89" s="180">
        <f t="shared" si="17"/>
        <v>-16.979787260865777</v>
      </c>
      <c r="H89" s="180">
        <f t="shared" si="9"/>
        <v>154.80031271287672</v>
      </c>
      <c r="I89" s="180">
        <f t="shared" si="17"/>
        <v>-76.305236997260266</v>
      </c>
      <c r="J89" s="180">
        <f t="shared" si="17"/>
        <v>-18.521208999999999</v>
      </c>
      <c r="K89" s="180">
        <f t="shared" si="17"/>
        <v>-18.521208999999999</v>
      </c>
      <c r="L89" s="180">
        <f t="shared" si="10"/>
        <v>-113.34765499726026</v>
      </c>
      <c r="M89" s="180">
        <f t="shared" si="11"/>
        <v>41.452657715616454</v>
      </c>
      <c r="N89" s="180">
        <f t="shared" si="17"/>
        <v>-18.521208999999999</v>
      </c>
      <c r="O89" s="180">
        <f t="shared" si="17"/>
        <v>-18.521208999999999</v>
      </c>
      <c r="P89" s="180">
        <f t="shared" si="17"/>
        <v>-18.521208999999999</v>
      </c>
      <c r="Q89" s="180">
        <f t="shared" si="12"/>
        <v>-55.563626999999997</v>
      </c>
      <c r="R89" s="180">
        <f t="shared" si="13"/>
        <v>-14.110969284383543</v>
      </c>
      <c r="S89" s="180">
        <f t="shared" si="17"/>
        <v>-25.556246084410972</v>
      </c>
      <c r="T89" s="180">
        <f t="shared" si="17"/>
        <v>-21.052661377424613</v>
      </c>
      <c r="U89" s="180">
        <f t="shared" si="17"/>
        <v>60.719479487517731</v>
      </c>
      <c r="V89" s="180">
        <f t="shared" si="14"/>
        <v>14.110572025682146</v>
      </c>
      <c r="W89" s="180">
        <f t="shared" si="15"/>
        <v>-3.972587013976181E-4</v>
      </c>
    </row>
    <row r="90" spans="1:23" x14ac:dyDescent="0.25">
      <c r="A90" s="181"/>
      <c r="B90" s="181"/>
      <c r="C90" s="181"/>
      <c r="D90" s="181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3"/>
      <c r="Q90" s="182"/>
      <c r="R90" s="182"/>
      <c r="S90" s="182"/>
      <c r="T90" s="182"/>
      <c r="U90" s="182"/>
      <c r="V90" s="182"/>
      <c r="W90" s="182"/>
    </row>
    <row r="91" spans="1:23" x14ac:dyDescent="0.25">
      <c r="A91" s="185" t="s">
        <v>111</v>
      </c>
      <c r="B91" s="181"/>
      <c r="C91" s="181"/>
      <c r="D91" s="181"/>
      <c r="E91" s="186"/>
      <c r="F91" s="186"/>
      <c r="G91" s="186" t="s">
        <v>119</v>
      </c>
      <c r="H91" s="186"/>
      <c r="I91" s="186"/>
      <c r="J91" s="186"/>
      <c r="K91" s="186"/>
      <c r="L91" s="186"/>
      <c r="M91" s="186"/>
      <c r="N91" s="186"/>
      <c r="O91" s="186"/>
      <c r="P91" s="187"/>
      <c r="Q91" s="186"/>
      <c r="R91" s="186"/>
      <c r="S91" s="186"/>
      <c r="T91" s="186"/>
      <c r="U91" s="186"/>
      <c r="V91" s="186"/>
      <c r="W91" s="186"/>
    </row>
  </sheetData>
  <mergeCells count="89">
    <mergeCell ref="B89:C89"/>
    <mergeCell ref="B82:C82"/>
    <mergeCell ref="B84:C84"/>
    <mergeCell ref="B85:C85"/>
    <mergeCell ref="B86:C86"/>
    <mergeCell ref="B87:C87"/>
    <mergeCell ref="B88:C88"/>
    <mergeCell ref="B80:C80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8:C78"/>
    <mergeCell ref="B79:C79"/>
    <mergeCell ref="B67:C67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3:C53"/>
    <mergeCell ref="B40:C4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8:C38"/>
    <mergeCell ref="B21:B22"/>
    <mergeCell ref="B23:B25"/>
    <mergeCell ref="B26:B28"/>
    <mergeCell ref="B30:C30"/>
    <mergeCell ref="B31:C31"/>
    <mergeCell ref="B32:C32"/>
    <mergeCell ref="B33:C33"/>
    <mergeCell ref="B34:C34"/>
    <mergeCell ref="B35:C35"/>
    <mergeCell ref="B36:C36"/>
    <mergeCell ref="B37:C3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U6:U7"/>
    <mergeCell ref="M5:M7"/>
    <mergeCell ref="R5:R7"/>
    <mergeCell ref="V5:V7"/>
    <mergeCell ref="W5:W7"/>
    <mergeCell ref="N6:N7"/>
    <mergeCell ref="O6:O7"/>
    <mergeCell ref="P6:P7"/>
    <mergeCell ref="S6:S7"/>
    <mergeCell ref="T6:T7"/>
    <mergeCell ref="L5:L7"/>
    <mergeCell ref="K6:K7"/>
    <mergeCell ref="A3:E3"/>
    <mergeCell ref="A5:A7"/>
    <mergeCell ref="B5:C7"/>
    <mergeCell ref="D5:D7"/>
    <mergeCell ref="H5:H7"/>
    <mergeCell ref="E6:E7"/>
    <mergeCell ref="F6:F7"/>
    <mergeCell ref="G6:G7"/>
    <mergeCell ref="I6:I7"/>
    <mergeCell ref="J6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opLeftCell="A32" workbookViewId="0">
      <selection activeCell="J16" sqref="J16"/>
    </sheetView>
  </sheetViews>
  <sheetFormatPr defaultRowHeight="15" x14ac:dyDescent="0.25"/>
  <sheetData>
    <row r="1" spans="1:23" x14ac:dyDescent="0.25">
      <c r="A1" s="85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7"/>
      <c r="Q1" s="85"/>
      <c r="R1" s="85"/>
      <c r="S1" s="85"/>
      <c r="T1" s="85"/>
      <c r="U1" s="85"/>
      <c r="V1" s="85"/>
      <c r="W1" s="88"/>
    </row>
    <row r="2" spans="1:23" x14ac:dyDescent="0.25">
      <c r="A2" s="89" t="s">
        <v>141</v>
      </c>
      <c r="B2" s="90"/>
      <c r="C2" s="90"/>
      <c r="D2" s="90"/>
      <c r="E2" s="90"/>
      <c r="F2" s="90"/>
      <c r="G2" s="90"/>
      <c r="H2" s="90"/>
      <c r="I2" s="90"/>
      <c r="J2" s="90"/>
      <c r="K2" s="85"/>
      <c r="L2" s="85"/>
      <c r="M2" s="85"/>
      <c r="N2" s="85"/>
      <c r="O2" s="85"/>
      <c r="P2" s="87"/>
      <c r="Q2" s="85"/>
      <c r="R2" s="85"/>
      <c r="S2" s="85"/>
      <c r="T2" s="85"/>
      <c r="U2" s="85"/>
      <c r="V2" s="85"/>
      <c r="W2" s="88"/>
    </row>
    <row r="3" spans="1:23" x14ac:dyDescent="0.25">
      <c r="A3" s="252" t="s">
        <v>295</v>
      </c>
      <c r="B3" s="253"/>
      <c r="C3" s="253"/>
      <c r="D3" s="253"/>
      <c r="E3" s="253"/>
      <c r="F3" s="90"/>
      <c r="G3" s="90"/>
      <c r="H3" s="90"/>
      <c r="I3" s="90"/>
      <c r="J3" s="90"/>
      <c r="K3" s="85"/>
      <c r="L3" s="85"/>
      <c r="M3" s="85"/>
      <c r="N3" s="85"/>
      <c r="O3" s="85"/>
      <c r="P3" s="87"/>
      <c r="Q3" s="85"/>
      <c r="R3" s="85"/>
      <c r="S3" s="85"/>
      <c r="T3" s="85"/>
      <c r="U3" s="85"/>
      <c r="V3" s="85"/>
      <c r="W3" s="88"/>
    </row>
    <row r="4" spans="1:23" ht="57.75" x14ac:dyDescent="0.25">
      <c r="A4" s="91"/>
      <c r="B4" s="92"/>
      <c r="C4" s="92" t="s">
        <v>296</v>
      </c>
      <c r="D4" s="92"/>
      <c r="E4" s="90"/>
      <c r="F4" s="90"/>
      <c r="G4" s="90"/>
      <c r="H4" s="85"/>
      <c r="I4" s="85"/>
      <c r="J4" s="85"/>
      <c r="K4" s="85"/>
      <c r="L4" s="85"/>
      <c r="M4" s="85"/>
      <c r="N4" s="85"/>
      <c r="O4" s="85"/>
      <c r="P4" s="87"/>
      <c r="Q4" s="85"/>
      <c r="R4" s="85"/>
      <c r="S4" s="85"/>
      <c r="T4" s="85"/>
      <c r="U4" s="85"/>
      <c r="V4" s="85"/>
      <c r="W4" s="88"/>
    </row>
    <row r="5" spans="1:23" ht="42.75" x14ac:dyDescent="0.25">
      <c r="A5" s="254" t="s">
        <v>144</v>
      </c>
      <c r="B5" s="250" t="s">
        <v>22</v>
      </c>
      <c r="C5" s="257"/>
      <c r="D5" s="254" t="s">
        <v>145</v>
      </c>
      <c r="E5" s="93"/>
      <c r="F5" s="94"/>
      <c r="G5" s="94"/>
      <c r="H5" s="247" t="s">
        <v>146</v>
      </c>
      <c r="I5" s="94"/>
      <c r="J5" s="94"/>
      <c r="K5" s="94"/>
      <c r="L5" s="247" t="s">
        <v>147</v>
      </c>
      <c r="M5" s="247" t="s">
        <v>148</v>
      </c>
      <c r="N5" s="94"/>
      <c r="O5" s="94"/>
      <c r="P5" s="95"/>
      <c r="Q5" s="96" t="s">
        <v>149</v>
      </c>
      <c r="R5" s="247" t="s">
        <v>150</v>
      </c>
      <c r="S5" s="94"/>
      <c r="T5" s="94"/>
      <c r="U5" s="94"/>
      <c r="V5" s="247" t="s">
        <v>151</v>
      </c>
      <c r="W5" s="268" t="s">
        <v>152</v>
      </c>
    </row>
    <row r="6" spans="1:23" x14ac:dyDescent="0.25">
      <c r="A6" s="255"/>
      <c r="B6" s="258"/>
      <c r="C6" s="259"/>
      <c r="D6" s="262"/>
      <c r="E6" s="254" t="s">
        <v>2</v>
      </c>
      <c r="F6" s="254" t="s">
        <v>3</v>
      </c>
      <c r="G6" s="254" t="s">
        <v>4</v>
      </c>
      <c r="H6" s="248"/>
      <c r="I6" s="264" t="s">
        <v>11</v>
      </c>
      <c r="J6" s="254" t="s">
        <v>12</v>
      </c>
      <c r="K6" s="250" t="s">
        <v>13</v>
      </c>
      <c r="L6" s="248"/>
      <c r="M6" s="266"/>
      <c r="N6" s="264" t="s">
        <v>14</v>
      </c>
      <c r="O6" s="254" t="s">
        <v>15</v>
      </c>
      <c r="P6" s="270" t="s">
        <v>16</v>
      </c>
      <c r="Q6" s="97"/>
      <c r="R6" s="266"/>
      <c r="S6" s="264" t="s">
        <v>17</v>
      </c>
      <c r="T6" s="254" t="s">
        <v>18</v>
      </c>
      <c r="U6" s="250" t="s">
        <v>19</v>
      </c>
      <c r="V6" s="248"/>
      <c r="W6" s="269"/>
    </row>
    <row r="7" spans="1:23" x14ac:dyDescent="0.25">
      <c r="A7" s="256"/>
      <c r="B7" s="260"/>
      <c r="C7" s="261"/>
      <c r="D7" s="263"/>
      <c r="E7" s="256"/>
      <c r="F7" s="256"/>
      <c r="G7" s="256"/>
      <c r="H7" s="249"/>
      <c r="I7" s="265"/>
      <c r="J7" s="256"/>
      <c r="K7" s="251"/>
      <c r="L7" s="249"/>
      <c r="M7" s="267"/>
      <c r="N7" s="265"/>
      <c r="O7" s="256"/>
      <c r="P7" s="271"/>
      <c r="Q7" s="98"/>
      <c r="R7" s="267"/>
      <c r="S7" s="265"/>
      <c r="T7" s="256"/>
      <c r="U7" s="251"/>
      <c r="V7" s="249"/>
      <c r="W7" s="269"/>
    </row>
    <row r="8" spans="1:23" x14ac:dyDescent="0.25">
      <c r="A8" s="99" t="s">
        <v>153</v>
      </c>
      <c r="B8" s="100"/>
      <c r="C8" s="100"/>
      <c r="D8" s="100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2"/>
      <c r="R8" s="102"/>
      <c r="S8" s="102"/>
      <c r="T8" s="102"/>
      <c r="U8" s="102"/>
      <c r="V8" s="102"/>
      <c r="W8" s="104"/>
    </row>
    <row r="9" spans="1:23" x14ac:dyDescent="0.25">
      <c r="A9" s="111" t="s">
        <v>154</v>
      </c>
      <c r="B9" s="274" t="s">
        <v>155</v>
      </c>
      <c r="C9" s="274"/>
      <c r="D9" s="112" t="s">
        <v>156</v>
      </c>
      <c r="E9" s="113">
        <f>0.084+0.01508</f>
        <v>9.9080000000000001E-2</v>
      </c>
      <c r="F9" s="113">
        <f>0.043+0.01508</f>
        <v>5.8079999999999993E-2</v>
      </c>
      <c r="G9" s="113">
        <f>0.038+0.01508</f>
        <v>5.3080000000000002E-2</v>
      </c>
      <c r="H9" s="113">
        <f>SUM(E9:G9)</f>
        <v>0.21023999999999998</v>
      </c>
      <c r="I9" s="113">
        <f>0.033+0.01508</f>
        <v>4.8079999999999998E-2</v>
      </c>
      <c r="J9" s="113">
        <f>J11+J10</f>
        <v>0</v>
      </c>
      <c r="K9" s="113">
        <f>K11+K10</f>
        <v>0</v>
      </c>
      <c r="L9" s="115">
        <f>SUM(I9:K9)</f>
        <v>4.8079999999999998E-2</v>
      </c>
      <c r="M9" s="115">
        <f>L9+H9</f>
        <v>0.25831999999999999</v>
      </c>
      <c r="N9" s="113">
        <f>N11+N10</f>
        <v>0</v>
      </c>
      <c r="O9" s="113">
        <f>O11+O10</f>
        <v>0</v>
      </c>
      <c r="P9" s="113">
        <f>P11+P10</f>
        <v>0</v>
      </c>
      <c r="Q9" s="115">
        <f>SUM(N9:P9)</f>
        <v>0</v>
      </c>
      <c r="R9" s="115">
        <f>Q9+M9</f>
        <v>0.25831999999999999</v>
      </c>
      <c r="S9" s="113">
        <f>0.011+0.00754</f>
        <v>1.8540000000000001E-2</v>
      </c>
      <c r="T9" s="113">
        <f>0.011+0.01508</f>
        <v>2.6079999999999999E-2</v>
      </c>
      <c r="U9" s="113">
        <f>0.06+0.01508</f>
        <v>7.5079999999999994E-2</v>
      </c>
      <c r="V9" s="115">
        <f>SUM(S9:U9)</f>
        <v>0.1197</v>
      </c>
      <c r="W9" s="117">
        <f>V9+R9</f>
        <v>0.37802000000000002</v>
      </c>
    </row>
    <row r="10" spans="1:23" x14ac:dyDescent="0.25">
      <c r="A10" s="111" t="s">
        <v>157</v>
      </c>
      <c r="B10" s="274" t="s">
        <v>158</v>
      </c>
      <c r="C10" s="274"/>
      <c r="D10" s="112" t="s">
        <v>156</v>
      </c>
      <c r="E10" s="113">
        <f>E9*4.36%</f>
        <v>4.319888E-3</v>
      </c>
      <c r="F10" s="113">
        <f>F9*4.36%</f>
        <v>2.5322879999999997E-3</v>
      </c>
      <c r="G10" s="114">
        <f>G9*4.36%</f>
        <v>2.3142880000000003E-3</v>
      </c>
      <c r="H10" s="115">
        <f t="shared" ref="H10:H75" si="0">SUM(E10:G10)</f>
        <v>9.1664639999999992E-3</v>
      </c>
      <c r="I10" s="113">
        <f>I9*4.36%</f>
        <v>2.096288E-3</v>
      </c>
      <c r="J10" s="113">
        <v>0</v>
      </c>
      <c r="K10" s="114">
        <v>0</v>
      </c>
      <c r="L10" s="115">
        <f t="shared" ref="L10:L75" si="1">SUM(I10:K10)</f>
        <v>2.096288E-3</v>
      </c>
      <c r="M10" s="115">
        <f t="shared" ref="M10:M75" si="2">L10+H10</f>
        <v>1.1262751999999999E-2</v>
      </c>
      <c r="N10" s="113">
        <v>0</v>
      </c>
      <c r="O10" s="113">
        <v>0</v>
      </c>
      <c r="P10" s="114">
        <v>0</v>
      </c>
      <c r="Q10" s="115">
        <f t="shared" ref="Q10:Q75" si="3">SUM(N10:P10)</f>
        <v>0</v>
      </c>
      <c r="R10" s="116">
        <f t="shared" ref="R10:R75" si="4">Q10+M10</f>
        <v>1.1262751999999999E-2</v>
      </c>
      <c r="S10" s="113">
        <f>S9*4.36%</f>
        <v>8.0834400000000001E-4</v>
      </c>
      <c r="T10" s="113">
        <f>T9*4.36%</f>
        <v>1.1370879999999999E-3</v>
      </c>
      <c r="U10" s="114">
        <f>U9*4.36%</f>
        <v>3.2734879999999997E-3</v>
      </c>
      <c r="V10" s="115">
        <f t="shared" ref="V10:V75" si="5">SUM(S10:U10)</f>
        <v>5.2189200000000002E-3</v>
      </c>
      <c r="W10" s="117">
        <f t="shared" ref="W10:W75" si="6">V10+R10</f>
        <v>1.6481671999999999E-2</v>
      </c>
    </row>
    <row r="11" spans="1:23" x14ac:dyDescent="0.25">
      <c r="A11" s="118" t="s">
        <v>159</v>
      </c>
      <c r="B11" s="275" t="s">
        <v>160</v>
      </c>
      <c r="C11" s="276"/>
      <c r="D11" s="112" t="s">
        <v>156</v>
      </c>
      <c r="E11" s="116">
        <f>E9-E10</f>
        <v>9.4760112000000007E-2</v>
      </c>
      <c r="F11" s="116">
        <f>F9-F10</f>
        <v>5.5547711999999992E-2</v>
      </c>
      <c r="G11" s="116">
        <f>G9-G10</f>
        <v>5.0765712000000005E-2</v>
      </c>
      <c r="H11" s="116">
        <f t="shared" si="0"/>
        <v>0.201073536</v>
      </c>
      <c r="I11" s="116">
        <f>I9-I10</f>
        <v>4.5983711999999996E-2</v>
      </c>
      <c r="J11" s="116">
        <f>J14+J12</f>
        <v>0</v>
      </c>
      <c r="K11" s="116">
        <f>K14+K12</f>
        <v>0</v>
      </c>
      <c r="L11" s="116">
        <f t="shared" si="1"/>
        <v>4.5983711999999996E-2</v>
      </c>
      <c r="M11" s="116">
        <f t="shared" si="2"/>
        <v>0.24705724800000001</v>
      </c>
      <c r="N11" s="116">
        <v>0</v>
      </c>
      <c r="O11" s="116">
        <v>0</v>
      </c>
      <c r="P11" s="116">
        <v>0</v>
      </c>
      <c r="Q11" s="116">
        <f t="shared" si="3"/>
        <v>0</v>
      </c>
      <c r="R11" s="116">
        <f t="shared" si="4"/>
        <v>0.24705724800000001</v>
      </c>
      <c r="S11" s="116">
        <f>S9-S10</f>
        <v>1.7731656000000002E-2</v>
      </c>
      <c r="T11" s="116">
        <f>T9-T10</f>
        <v>2.4942911999999998E-2</v>
      </c>
      <c r="U11" s="116">
        <f>U9-U10</f>
        <v>7.1806511999999989E-2</v>
      </c>
      <c r="V11" s="116">
        <f t="shared" si="5"/>
        <v>0.11448107999999999</v>
      </c>
      <c r="W11" s="119">
        <f t="shared" si="6"/>
        <v>0.36153832799999996</v>
      </c>
    </row>
    <row r="12" spans="1:23" x14ac:dyDescent="0.25">
      <c r="A12" s="111" t="s">
        <v>161</v>
      </c>
      <c r="B12" s="277" t="s">
        <v>162</v>
      </c>
      <c r="C12" s="278"/>
      <c r="D12" s="112" t="s">
        <v>156</v>
      </c>
      <c r="E12" s="120">
        <f>E11*3%</f>
        <v>2.8428033599999999E-3</v>
      </c>
      <c r="F12" s="120">
        <f>F11*3%</f>
        <v>1.6664313599999998E-3</v>
      </c>
      <c r="G12" s="120">
        <f>G11*3%</f>
        <v>1.52297136E-3</v>
      </c>
      <c r="H12" s="121">
        <f t="shared" si="0"/>
        <v>6.0322060799999997E-3</v>
      </c>
      <c r="I12" s="120">
        <f>I11*3%</f>
        <v>1.3795113599999998E-3</v>
      </c>
      <c r="J12" s="120">
        <v>0</v>
      </c>
      <c r="K12" s="120">
        <v>0</v>
      </c>
      <c r="L12" s="115">
        <f t="shared" si="1"/>
        <v>1.3795113599999998E-3</v>
      </c>
      <c r="M12" s="115">
        <f t="shared" si="2"/>
        <v>7.4117174399999999E-3</v>
      </c>
      <c r="N12" s="120">
        <v>0</v>
      </c>
      <c r="O12" s="120">
        <v>0</v>
      </c>
      <c r="P12" s="120">
        <v>0</v>
      </c>
      <c r="Q12" s="115">
        <f t="shared" si="3"/>
        <v>0</v>
      </c>
      <c r="R12" s="116">
        <f t="shared" si="4"/>
        <v>7.4117174399999999E-3</v>
      </c>
      <c r="S12" s="120">
        <f>S11*3%</f>
        <v>5.3194968000000009E-4</v>
      </c>
      <c r="T12" s="120">
        <f>T11*3%</f>
        <v>7.482873599999999E-4</v>
      </c>
      <c r="U12" s="120">
        <f>U11*3%+0.002</f>
        <v>4.1541953599999997E-3</v>
      </c>
      <c r="V12" s="115">
        <f t="shared" si="5"/>
        <v>5.4344323999999996E-3</v>
      </c>
      <c r="W12" s="117">
        <f t="shared" si="6"/>
        <v>1.284614984E-2</v>
      </c>
    </row>
    <row r="13" spans="1:23" x14ac:dyDescent="0.25">
      <c r="A13" s="111" t="s">
        <v>163</v>
      </c>
      <c r="B13" s="277" t="s">
        <v>164</v>
      </c>
      <c r="C13" s="278"/>
      <c r="D13" s="112" t="s">
        <v>156</v>
      </c>
      <c r="E13" s="116">
        <f>E11-E12</f>
        <v>9.1917308640000001E-2</v>
      </c>
      <c r="F13" s="116">
        <f>F11-F12</f>
        <v>5.3881280639999994E-2</v>
      </c>
      <c r="G13" s="116">
        <f>G11-G12</f>
        <v>4.9242740640000005E-2</v>
      </c>
      <c r="H13" s="116">
        <f t="shared" si="0"/>
        <v>0.19504132992000001</v>
      </c>
      <c r="I13" s="116">
        <f>I11-I12</f>
        <v>4.4604200639999994E-2</v>
      </c>
      <c r="J13" s="116"/>
      <c r="K13" s="116"/>
      <c r="L13" s="121">
        <f t="shared" si="1"/>
        <v>4.4604200639999994E-2</v>
      </c>
      <c r="M13" s="121">
        <f t="shared" si="2"/>
        <v>0.23964553055999999</v>
      </c>
      <c r="N13" s="116"/>
      <c r="O13" s="116"/>
      <c r="P13" s="116"/>
      <c r="Q13" s="121">
        <f t="shared" si="3"/>
        <v>0</v>
      </c>
      <c r="R13" s="121">
        <f t="shared" si="4"/>
        <v>0.23964553055999999</v>
      </c>
      <c r="S13" s="116">
        <f>S11-S12</f>
        <v>1.7199706320000001E-2</v>
      </c>
      <c r="T13" s="116">
        <f>T11-T12</f>
        <v>2.4194624639999999E-2</v>
      </c>
      <c r="U13" s="116">
        <f>U11-U12</f>
        <v>6.7652316639999988E-2</v>
      </c>
      <c r="V13" s="116">
        <f t="shared" si="5"/>
        <v>0.10904664759999999</v>
      </c>
      <c r="W13" s="119">
        <f>V13+R13</f>
        <v>0.34869217815999998</v>
      </c>
    </row>
    <row r="14" spans="1:23" x14ac:dyDescent="0.25">
      <c r="A14" s="118" t="s">
        <v>165</v>
      </c>
      <c r="B14" s="275" t="s">
        <v>166</v>
      </c>
      <c r="C14" s="276"/>
      <c r="D14" s="112" t="s">
        <v>156</v>
      </c>
      <c r="E14" s="116">
        <f>E15+E16</f>
        <v>9.1917308640000001E-2</v>
      </c>
      <c r="F14" s="116">
        <f>F15+F16</f>
        <v>5.3881280639999994E-2</v>
      </c>
      <c r="G14" s="116">
        <f>G15+G16</f>
        <v>4.9242740640000005E-2</v>
      </c>
      <c r="H14" s="116">
        <f t="shared" si="0"/>
        <v>0.19504132992000001</v>
      </c>
      <c r="I14" s="116">
        <f>I15+I16</f>
        <v>4.4999999999999998E-2</v>
      </c>
      <c r="J14" s="116">
        <v>0</v>
      </c>
      <c r="K14" s="116">
        <v>0</v>
      </c>
      <c r="L14" s="116">
        <f t="shared" si="1"/>
        <v>4.4999999999999998E-2</v>
      </c>
      <c r="M14" s="116">
        <f t="shared" si="2"/>
        <v>0.24004132991999999</v>
      </c>
      <c r="N14" s="116">
        <v>0</v>
      </c>
      <c r="O14" s="116">
        <v>0</v>
      </c>
      <c r="P14" s="116">
        <v>0</v>
      </c>
      <c r="Q14" s="116">
        <f t="shared" si="3"/>
        <v>0</v>
      </c>
      <c r="R14" s="116">
        <f t="shared" si="4"/>
        <v>0.24004132991999999</v>
      </c>
      <c r="S14" s="116">
        <f>S16+S15</f>
        <v>1.7199706320000001E-2</v>
      </c>
      <c r="T14" s="116">
        <f>T16+T15</f>
        <v>2.4194624639999999E-2</v>
      </c>
      <c r="U14" s="116">
        <f>U16+U15</f>
        <v>6.8000000000000005E-2</v>
      </c>
      <c r="V14" s="116">
        <f t="shared" si="5"/>
        <v>0.10939433096000001</v>
      </c>
      <c r="W14" s="116">
        <f t="shared" si="6"/>
        <v>0.34943566088</v>
      </c>
    </row>
    <row r="15" spans="1:23" x14ac:dyDescent="0.25">
      <c r="A15" s="122" t="s">
        <v>167</v>
      </c>
      <c r="B15" s="274" t="s">
        <v>168</v>
      </c>
      <c r="C15" s="274"/>
      <c r="D15" s="112" t="s">
        <v>156</v>
      </c>
      <c r="E15" s="113">
        <v>0</v>
      </c>
      <c r="F15" s="113">
        <v>0</v>
      </c>
      <c r="G15" s="114">
        <v>0</v>
      </c>
      <c r="H15" s="115">
        <f t="shared" si="0"/>
        <v>0</v>
      </c>
      <c r="I15" s="113">
        <v>0</v>
      </c>
      <c r="J15" s="113">
        <v>0</v>
      </c>
      <c r="K15" s="114">
        <v>0</v>
      </c>
      <c r="L15" s="115">
        <f t="shared" si="1"/>
        <v>0</v>
      </c>
      <c r="M15" s="115">
        <f t="shared" si="2"/>
        <v>0</v>
      </c>
      <c r="N15" s="113">
        <v>0</v>
      </c>
      <c r="O15" s="113">
        <v>0</v>
      </c>
      <c r="P15" s="113">
        <v>0</v>
      </c>
      <c r="Q15" s="115">
        <f t="shared" si="3"/>
        <v>0</v>
      </c>
      <c r="R15" s="115">
        <f t="shared" si="4"/>
        <v>0</v>
      </c>
      <c r="S15" s="113">
        <v>0</v>
      </c>
      <c r="T15" s="113">
        <v>0</v>
      </c>
      <c r="U15" s="114">
        <v>0</v>
      </c>
      <c r="V15" s="115">
        <f t="shared" si="5"/>
        <v>0</v>
      </c>
      <c r="W15" s="117">
        <f t="shared" si="6"/>
        <v>0</v>
      </c>
    </row>
    <row r="16" spans="1:23" x14ac:dyDescent="0.25">
      <c r="A16" s="122" t="s">
        <v>169</v>
      </c>
      <c r="B16" s="274" t="s">
        <v>170</v>
      </c>
      <c r="C16" s="274"/>
      <c r="D16" s="112" t="s">
        <v>156</v>
      </c>
      <c r="E16" s="120">
        <f t="shared" ref="E16:U16" si="7">E17+E18+E19</f>
        <v>9.1917308640000001E-2</v>
      </c>
      <c r="F16" s="120">
        <f t="shared" si="7"/>
        <v>5.3881280639999994E-2</v>
      </c>
      <c r="G16" s="120">
        <f t="shared" si="7"/>
        <v>4.9242740640000005E-2</v>
      </c>
      <c r="H16" s="120">
        <f t="shared" si="0"/>
        <v>0.19504132992000001</v>
      </c>
      <c r="I16" s="120">
        <f t="shared" si="7"/>
        <v>4.4999999999999998E-2</v>
      </c>
      <c r="J16" s="120">
        <f t="shared" si="7"/>
        <v>0</v>
      </c>
      <c r="K16" s="120">
        <v>0</v>
      </c>
      <c r="L16" s="120">
        <f t="shared" si="1"/>
        <v>4.4999999999999998E-2</v>
      </c>
      <c r="M16" s="120">
        <f t="shared" si="2"/>
        <v>0.24004132991999999</v>
      </c>
      <c r="N16" s="120">
        <v>0</v>
      </c>
      <c r="O16" s="120">
        <v>0</v>
      </c>
      <c r="P16" s="120">
        <f t="shared" si="7"/>
        <v>0</v>
      </c>
      <c r="Q16" s="120">
        <f t="shared" si="3"/>
        <v>0</v>
      </c>
      <c r="R16" s="120">
        <f t="shared" si="4"/>
        <v>0.24004132991999999</v>
      </c>
      <c r="S16" s="120">
        <f t="shared" si="7"/>
        <v>1.7199706320000001E-2</v>
      </c>
      <c r="T16" s="120">
        <f t="shared" si="7"/>
        <v>2.4194624639999999E-2</v>
      </c>
      <c r="U16" s="120">
        <f t="shared" si="7"/>
        <v>6.8000000000000005E-2</v>
      </c>
      <c r="V16" s="120">
        <f t="shared" si="5"/>
        <v>0.10939433096000001</v>
      </c>
      <c r="W16" s="120">
        <f t="shared" si="6"/>
        <v>0.34943566088</v>
      </c>
    </row>
    <row r="17" spans="1:23" x14ac:dyDescent="0.25">
      <c r="A17" s="122" t="s">
        <v>171</v>
      </c>
      <c r="B17" s="277" t="s">
        <v>172</v>
      </c>
      <c r="C17" s="278"/>
      <c r="D17" s="112" t="s">
        <v>156</v>
      </c>
      <c r="E17" s="113">
        <v>9.1917308640000001E-2</v>
      </c>
      <c r="F17" s="113">
        <v>5.3881280639999994E-2</v>
      </c>
      <c r="G17" s="114">
        <v>4.9242740640000005E-2</v>
      </c>
      <c r="H17" s="115">
        <f t="shared" si="0"/>
        <v>0.19504132992000001</v>
      </c>
      <c r="I17" s="113">
        <v>4.4999999999999998E-2</v>
      </c>
      <c r="J17" s="113">
        <v>0</v>
      </c>
      <c r="K17" s="114">
        <v>0</v>
      </c>
      <c r="L17" s="115">
        <f t="shared" si="1"/>
        <v>4.4999999999999998E-2</v>
      </c>
      <c r="M17" s="115">
        <f t="shared" si="2"/>
        <v>0.24004132991999999</v>
      </c>
      <c r="N17" s="113">
        <v>0</v>
      </c>
      <c r="O17" s="113">
        <v>0</v>
      </c>
      <c r="P17" s="113">
        <v>0</v>
      </c>
      <c r="Q17" s="115">
        <f t="shared" si="3"/>
        <v>0</v>
      </c>
      <c r="R17" s="115">
        <f t="shared" si="4"/>
        <v>0.24004132991999999</v>
      </c>
      <c r="S17" s="113">
        <v>1.7199706320000001E-2</v>
      </c>
      <c r="T17" s="113">
        <v>2.4194624639999999E-2</v>
      </c>
      <c r="U17" s="114">
        <v>6.8000000000000005E-2</v>
      </c>
      <c r="V17" s="115">
        <f t="shared" si="5"/>
        <v>0.10939433096000001</v>
      </c>
      <c r="W17" s="117">
        <f t="shared" si="6"/>
        <v>0.34943566088</v>
      </c>
    </row>
    <row r="18" spans="1:23" x14ac:dyDescent="0.25">
      <c r="A18" s="122" t="s">
        <v>173</v>
      </c>
      <c r="B18" s="277" t="s">
        <v>174</v>
      </c>
      <c r="C18" s="278"/>
      <c r="D18" s="112" t="s">
        <v>156</v>
      </c>
      <c r="E18" s="113">
        <v>0</v>
      </c>
      <c r="F18" s="113">
        <v>0</v>
      </c>
      <c r="G18" s="114">
        <v>0</v>
      </c>
      <c r="H18" s="115">
        <f t="shared" si="0"/>
        <v>0</v>
      </c>
      <c r="I18" s="113">
        <v>0</v>
      </c>
      <c r="J18" s="113">
        <v>0</v>
      </c>
      <c r="K18" s="114">
        <v>0</v>
      </c>
      <c r="L18" s="115">
        <f t="shared" si="1"/>
        <v>0</v>
      </c>
      <c r="M18" s="115">
        <f t="shared" si="2"/>
        <v>0</v>
      </c>
      <c r="N18" s="113">
        <v>0</v>
      </c>
      <c r="O18" s="113">
        <v>0</v>
      </c>
      <c r="P18" s="113">
        <v>0</v>
      </c>
      <c r="Q18" s="115">
        <f t="shared" si="3"/>
        <v>0</v>
      </c>
      <c r="R18" s="115">
        <f t="shared" si="4"/>
        <v>0</v>
      </c>
      <c r="S18" s="113">
        <v>0</v>
      </c>
      <c r="T18" s="113">
        <v>0</v>
      </c>
      <c r="U18" s="114">
        <v>0</v>
      </c>
      <c r="V18" s="115">
        <f t="shared" si="5"/>
        <v>0</v>
      </c>
      <c r="W18" s="117">
        <f t="shared" si="6"/>
        <v>0</v>
      </c>
    </row>
    <row r="19" spans="1:23" x14ac:dyDescent="0.25">
      <c r="A19" s="122" t="s">
        <v>175</v>
      </c>
      <c r="B19" s="277" t="s">
        <v>176</v>
      </c>
      <c r="C19" s="278"/>
      <c r="D19" s="112" t="s">
        <v>156</v>
      </c>
      <c r="E19" s="113">
        <v>0</v>
      </c>
      <c r="F19" s="113">
        <v>0</v>
      </c>
      <c r="G19" s="114">
        <v>0</v>
      </c>
      <c r="H19" s="115">
        <f t="shared" si="0"/>
        <v>0</v>
      </c>
      <c r="I19" s="113">
        <v>0</v>
      </c>
      <c r="J19" s="113">
        <v>0</v>
      </c>
      <c r="K19" s="114">
        <v>0</v>
      </c>
      <c r="L19" s="115">
        <f t="shared" si="1"/>
        <v>0</v>
      </c>
      <c r="M19" s="115">
        <f t="shared" si="2"/>
        <v>0</v>
      </c>
      <c r="N19" s="113">
        <v>0</v>
      </c>
      <c r="O19" s="113">
        <v>0</v>
      </c>
      <c r="P19" s="113">
        <v>0</v>
      </c>
      <c r="Q19" s="115">
        <f t="shared" si="3"/>
        <v>0</v>
      </c>
      <c r="R19" s="115">
        <f t="shared" si="4"/>
        <v>0</v>
      </c>
      <c r="S19" s="113">
        <v>0</v>
      </c>
      <c r="T19" s="113">
        <v>0</v>
      </c>
      <c r="U19" s="114">
        <v>0</v>
      </c>
      <c r="V19" s="115">
        <f t="shared" si="5"/>
        <v>0</v>
      </c>
      <c r="W19" s="117">
        <f t="shared" si="6"/>
        <v>0</v>
      </c>
    </row>
    <row r="20" spans="1:23" ht="15.75" thickBot="1" x14ac:dyDescent="0.3">
      <c r="A20" s="123" t="s">
        <v>177</v>
      </c>
      <c r="B20" s="272" t="s">
        <v>178</v>
      </c>
      <c r="C20" s="272"/>
      <c r="D20" s="112" t="s">
        <v>156</v>
      </c>
      <c r="E20" s="124">
        <v>0</v>
      </c>
      <c r="F20" s="124">
        <v>0</v>
      </c>
      <c r="G20" s="124">
        <v>0</v>
      </c>
      <c r="H20" s="125">
        <f t="shared" si="0"/>
        <v>0</v>
      </c>
      <c r="I20" s="124">
        <v>0</v>
      </c>
      <c r="J20" s="124">
        <v>0</v>
      </c>
      <c r="K20" s="124">
        <f>K14-K15-K16</f>
        <v>0</v>
      </c>
      <c r="L20" s="125">
        <f t="shared" si="1"/>
        <v>0</v>
      </c>
      <c r="M20" s="125">
        <f t="shared" si="2"/>
        <v>0</v>
      </c>
      <c r="N20" s="124">
        <f>N14-N15-N16</f>
        <v>0</v>
      </c>
      <c r="O20" s="124">
        <f>O14-O15-O16</f>
        <v>0</v>
      </c>
      <c r="P20" s="124">
        <f>P14-P15-P16</f>
        <v>0</v>
      </c>
      <c r="Q20" s="125">
        <f t="shared" si="3"/>
        <v>0</v>
      </c>
      <c r="R20" s="125">
        <f t="shared" si="4"/>
        <v>0</v>
      </c>
      <c r="S20" s="124">
        <v>0</v>
      </c>
      <c r="T20" s="124">
        <v>0</v>
      </c>
      <c r="U20" s="124">
        <v>0</v>
      </c>
      <c r="V20" s="125">
        <f t="shared" si="5"/>
        <v>0</v>
      </c>
      <c r="W20" s="126">
        <f t="shared" si="6"/>
        <v>0</v>
      </c>
    </row>
    <row r="21" spans="1:23" ht="15.75" thickBot="1" x14ac:dyDescent="0.3">
      <c r="A21" s="127" t="s">
        <v>179</v>
      </c>
      <c r="B21" s="281" t="s">
        <v>34</v>
      </c>
      <c r="C21" s="128" t="s">
        <v>180</v>
      </c>
      <c r="D21" s="129" t="s">
        <v>181</v>
      </c>
      <c r="E21" s="130">
        <f>E9*44.1</f>
        <v>4.3694280000000001</v>
      </c>
      <c r="F21" s="130">
        <f>F9*44.1</f>
        <v>2.5613279999999996</v>
      </c>
      <c r="G21" s="114">
        <f>G9*44.1</f>
        <v>2.3408280000000001</v>
      </c>
      <c r="H21" s="125">
        <f t="shared" si="0"/>
        <v>9.2715840000000007</v>
      </c>
      <c r="I21" s="130">
        <f>I9*44.1</f>
        <v>2.1203279999999998</v>
      </c>
      <c r="J21" s="130">
        <v>0</v>
      </c>
      <c r="K21" s="114">
        <v>0</v>
      </c>
      <c r="L21" s="125">
        <f t="shared" si="1"/>
        <v>2.1203279999999998</v>
      </c>
      <c r="M21" s="131">
        <f t="shared" si="2"/>
        <v>11.391912000000001</v>
      </c>
      <c r="N21" s="130">
        <v>0</v>
      </c>
      <c r="O21" s="130">
        <v>0</v>
      </c>
      <c r="P21" s="130">
        <v>0</v>
      </c>
      <c r="Q21" s="125">
        <f t="shared" si="3"/>
        <v>0</v>
      </c>
      <c r="R21" s="131">
        <f t="shared" si="4"/>
        <v>11.391912000000001</v>
      </c>
      <c r="S21" s="130">
        <f>S9*44.1</f>
        <v>0.81761400000000006</v>
      </c>
      <c r="T21" s="130">
        <f>T9*44.1</f>
        <v>1.150128</v>
      </c>
      <c r="U21" s="114">
        <f>U9*44.1</f>
        <v>3.3110279999999999</v>
      </c>
      <c r="V21" s="125">
        <f t="shared" si="5"/>
        <v>5.2787699999999997</v>
      </c>
      <c r="W21" s="131">
        <f t="shared" si="6"/>
        <v>16.670681999999999</v>
      </c>
    </row>
    <row r="22" spans="1:23" ht="15.75" thickBot="1" x14ac:dyDescent="0.3">
      <c r="A22" s="132" t="s">
        <v>182</v>
      </c>
      <c r="B22" s="282"/>
      <c r="C22" s="133" t="s">
        <v>183</v>
      </c>
      <c r="D22" s="134" t="s">
        <v>184</v>
      </c>
      <c r="E22" s="135">
        <v>6.34</v>
      </c>
      <c r="F22" s="135">
        <v>6.34</v>
      </c>
      <c r="G22" s="135">
        <v>6.34</v>
      </c>
      <c r="H22" s="135">
        <v>6.34</v>
      </c>
      <c r="I22" s="135">
        <v>6.34</v>
      </c>
      <c r="J22" s="135">
        <v>0</v>
      </c>
      <c r="K22" s="135">
        <v>0</v>
      </c>
      <c r="L22" s="135">
        <f t="shared" si="1"/>
        <v>6.34</v>
      </c>
      <c r="M22" s="135">
        <f t="shared" si="2"/>
        <v>12.68</v>
      </c>
      <c r="N22" s="135">
        <v>0</v>
      </c>
      <c r="O22" s="135">
        <v>0</v>
      </c>
      <c r="P22" s="135">
        <v>0</v>
      </c>
      <c r="Q22" s="135">
        <f t="shared" si="3"/>
        <v>0</v>
      </c>
      <c r="R22" s="136">
        <v>6.34</v>
      </c>
      <c r="S22" s="135">
        <v>6.34</v>
      </c>
      <c r="T22" s="135">
        <v>6.34</v>
      </c>
      <c r="U22" s="135">
        <v>6.34</v>
      </c>
      <c r="V22" s="136">
        <v>6.34</v>
      </c>
      <c r="W22" s="136">
        <v>6.34</v>
      </c>
    </row>
    <row r="23" spans="1:23" ht="45" x14ac:dyDescent="0.25">
      <c r="A23" s="127" t="s">
        <v>185</v>
      </c>
      <c r="B23" s="283" t="s">
        <v>186</v>
      </c>
      <c r="C23" s="128" t="s">
        <v>187</v>
      </c>
      <c r="D23" s="129" t="s">
        <v>188</v>
      </c>
      <c r="E23" s="137">
        <f>((E9*238.1*0.001)/0.365)*1000</f>
        <v>64.632734246575339</v>
      </c>
      <c r="F23" s="137">
        <f>((F9*238.1*0.001)/0.365)*1000</f>
        <v>37.887254794520544</v>
      </c>
      <c r="G23" s="138">
        <f>((G9*238.1*0.001)/0.365)*1000</f>
        <v>34.625610958904112</v>
      </c>
      <c r="H23" s="139">
        <f t="shared" si="0"/>
        <v>137.1456</v>
      </c>
      <c r="I23" s="130">
        <f>((I9*238.1*0.001)/0.365)*1000</f>
        <v>31.363967123287665</v>
      </c>
      <c r="J23" s="130">
        <f>((J9*238.1*0.001)/0.365)*1000</f>
        <v>0</v>
      </c>
      <c r="K23" s="140">
        <f>((K9*238.1*0.001)/0.365)*1000</f>
        <v>0</v>
      </c>
      <c r="L23" s="139">
        <f t="shared" si="1"/>
        <v>31.363967123287665</v>
      </c>
      <c r="M23" s="131">
        <f t="shared" si="2"/>
        <v>168.50956712328767</v>
      </c>
      <c r="N23" s="130">
        <f>((N9*238.1*0.001)/0.365)*1000</f>
        <v>0</v>
      </c>
      <c r="O23" s="130">
        <f>((O9*238.1*0.001)/0.365)*1000</f>
        <v>0</v>
      </c>
      <c r="P23" s="130">
        <f>((P9*238.1*0.001)/0.365)*1000</f>
        <v>0</v>
      </c>
      <c r="Q23" s="139">
        <f t="shared" si="3"/>
        <v>0</v>
      </c>
      <c r="R23" s="131">
        <f t="shared" si="4"/>
        <v>168.50956712328767</v>
      </c>
      <c r="S23" s="130">
        <f>((S9*238.1*0.001)/0.365)*1000</f>
        <v>12.094175342465753</v>
      </c>
      <c r="T23" s="130">
        <f>((T9*238.1*0.001)/0.365)*1000</f>
        <v>17.012734246575342</v>
      </c>
      <c r="U23" s="140">
        <f>((U9*238.1*0.001)/0.365)*1000-0.26</f>
        <v>48.716843835616437</v>
      </c>
      <c r="V23" s="131">
        <f t="shared" si="5"/>
        <v>77.823753424657525</v>
      </c>
      <c r="W23" s="131">
        <f t="shared" si="6"/>
        <v>246.33332054794519</v>
      </c>
    </row>
    <row r="24" spans="1:23" ht="15.75" thickBot="1" x14ac:dyDescent="0.3">
      <c r="A24" s="111" t="s">
        <v>189</v>
      </c>
      <c r="B24" s="284"/>
      <c r="C24" s="141" t="s">
        <v>183</v>
      </c>
      <c r="D24" s="142" t="s">
        <v>190</v>
      </c>
      <c r="E24" s="143">
        <v>2461.25</v>
      </c>
      <c r="F24" s="143">
        <v>2461.25</v>
      </c>
      <c r="G24" s="143">
        <v>2461.25</v>
      </c>
      <c r="H24" s="143">
        <v>2461.25</v>
      </c>
      <c r="I24" s="143">
        <v>2461.25</v>
      </c>
      <c r="J24" s="143">
        <v>2461.25</v>
      </c>
      <c r="K24" s="143">
        <v>2461.25</v>
      </c>
      <c r="L24" s="143">
        <v>2461.25</v>
      </c>
      <c r="M24" s="143">
        <v>2461.25</v>
      </c>
      <c r="N24" s="143">
        <v>2461.25</v>
      </c>
      <c r="O24" s="143">
        <v>2461.25</v>
      </c>
      <c r="P24" s="143">
        <v>2461.25</v>
      </c>
      <c r="Q24" s="143">
        <v>2461.25</v>
      </c>
      <c r="R24" s="143">
        <v>2461.25</v>
      </c>
      <c r="S24" s="143">
        <v>2461.25</v>
      </c>
      <c r="T24" s="143">
        <v>2461.25</v>
      </c>
      <c r="U24" s="143">
        <v>2461.25</v>
      </c>
      <c r="V24" s="143">
        <v>2461.25</v>
      </c>
      <c r="W24" s="143">
        <v>2461.25</v>
      </c>
    </row>
    <row r="25" spans="1:23" ht="45.75" thickBot="1" x14ac:dyDescent="0.3">
      <c r="A25" s="144" t="s">
        <v>191</v>
      </c>
      <c r="B25" s="285"/>
      <c r="C25" s="145" t="s">
        <v>192</v>
      </c>
      <c r="D25" s="146" t="s">
        <v>193</v>
      </c>
      <c r="E25" s="147"/>
      <c r="F25" s="147"/>
      <c r="G25" s="148"/>
      <c r="H25" s="131">
        <f t="shared" si="0"/>
        <v>0</v>
      </c>
      <c r="I25" s="147"/>
      <c r="J25" s="147"/>
      <c r="K25" s="148"/>
      <c r="L25" s="149">
        <f t="shared" si="1"/>
        <v>0</v>
      </c>
      <c r="M25" s="131">
        <f t="shared" si="2"/>
        <v>0</v>
      </c>
      <c r="N25" s="147"/>
      <c r="O25" s="147"/>
      <c r="P25" s="147">
        <v>0</v>
      </c>
      <c r="Q25" s="149">
        <f t="shared" si="3"/>
        <v>0</v>
      </c>
      <c r="R25" s="131">
        <f t="shared" si="4"/>
        <v>0</v>
      </c>
      <c r="S25" s="147"/>
      <c r="T25" s="147"/>
      <c r="U25" s="148"/>
      <c r="V25" s="149">
        <f t="shared" si="5"/>
        <v>0</v>
      </c>
      <c r="W25" s="131">
        <f t="shared" si="6"/>
        <v>0</v>
      </c>
    </row>
    <row r="26" spans="1:23" ht="60" x14ac:dyDescent="0.25">
      <c r="A26" s="150" t="s">
        <v>194</v>
      </c>
      <c r="B26" s="286" t="s">
        <v>195</v>
      </c>
      <c r="C26" s="151" t="s">
        <v>196</v>
      </c>
      <c r="D26" s="112" t="s">
        <v>197</v>
      </c>
      <c r="E26" s="152">
        <f>0.19*E9</f>
        <v>1.88252E-2</v>
      </c>
      <c r="F26" s="152">
        <f>0.19*F9</f>
        <v>1.1035199999999998E-2</v>
      </c>
      <c r="G26" s="114">
        <f>0.19*G9</f>
        <v>1.0085200000000001E-2</v>
      </c>
      <c r="H26" s="153">
        <f t="shared" si="0"/>
        <v>3.9945599999999998E-2</v>
      </c>
      <c r="I26" s="152">
        <f>0.19*I9</f>
        <v>9.1351999999999996E-3</v>
      </c>
      <c r="J26" s="152">
        <f>0.26*J9</f>
        <v>0</v>
      </c>
      <c r="K26" s="114">
        <f>0.26*K9</f>
        <v>0</v>
      </c>
      <c r="L26" s="153">
        <f t="shared" si="1"/>
        <v>9.1351999999999996E-3</v>
      </c>
      <c r="M26" s="131">
        <f t="shared" si="2"/>
        <v>4.9080799999999994E-2</v>
      </c>
      <c r="N26" s="152">
        <f>0.26*N9</f>
        <v>0</v>
      </c>
      <c r="O26" s="152">
        <f>0.26*O9</f>
        <v>0</v>
      </c>
      <c r="P26" s="152">
        <f>0.26*P9</f>
        <v>0</v>
      </c>
      <c r="Q26" s="153">
        <f t="shared" si="3"/>
        <v>0</v>
      </c>
      <c r="R26" s="153">
        <f t="shared" si="4"/>
        <v>4.9080799999999994E-2</v>
      </c>
      <c r="S26" s="152">
        <f>0.19*S9</f>
        <v>3.5226000000000003E-3</v>
      </c>
      <c r="T26" s="152">
        <f>0.19*T9</f>
        <v>4.9551999999999999E-3</v>
      </c>
      <c r="U26" s="114">
        <f>0.19*U9</f>
        <v>1.4265199999999999E-2</v>
      </c>
      <c r="V26" s="153">
        <f t="shared" si="5"/>
        <v>2.2742999999999999E-2</v>
      </c>
      <c r="W26" s="131">
        <f t="shared" si="6"/>
        <v>7.1823799999999993E-2</v>
      </c>
    </row>
    <row r="27" spans="1:23" ht="30" x14ac:dyDescent="0.25">
      <c r="A27" s="150" t="s">
        <v>198</v>
      </c>
      <c r="B27" s="286"/>
      <c r="C27" s="151" t="s">
        <v>199</v>
      </c>
      <c r="D27" s="112" t="s">
        <v>197</v>
      </c>
      <c r="E27" s="152"/>
      <c r="F27" s="152"/>
      <c r="G27" s="114"/>
      <c r="H27" s="153">
        <f t="shared" si="0"/>
        <v>0</v>
      </c>
      <c r="I27" s="152">
        <v>0</v>
      </c>
      <c r="J27" s="152">
        <v>0</v>
      </c>
      <c r="K27" s="114">
        <v>0</v>
      </c>
      <c r="L27" s="153">
        <f t="shared" si="1"/>
        <v>0</v>
      </c>
      <c r="M27" s="153">
        <f t="shared" si="2"/>
        <v>0</v>
      </c>
      <c r="N27" s="152"/>
      <c r="O27" s="152"/>
      <c r="P27" s="152">
        <v>0</v>
      </c>
      <c r="Q27" s="153">
        <f t="shared" si="3"/>
        <v>0</v>
      </c>
      <c r="R27" s="153">
        <f t="shared" si="4"/>
        <v>0</v>
      </c>
      <c r="S27" s="152">
        <v>0</v>
      </c>
      <c r="T27" s="152">
        <v>0</v>
      </c>
      <c r="U27" s="114">
        <f>W27-R27-S27-T27</f>
        <v>0</v>
      </c>
      <c r="V27" s="153">
        <f t="shared" si="5"/>
        <v>0</v>
      </c>
      <c r="W27" s="154"/>
    </row>
    <row r="28" spans="1:23" ht="18" x14ac:dyDescent="0.25">
      <c r="A28" s="150" t="s">
        <v>200</v>
      </c>
      <c r="B28" s="287"/>
      <c r="C28" s="141" t="s">
        <v>183</v>
      </c>
      <c r="D28" s="142" t="s">
        <v>201</v>
      </c>
      <c r="E28" s="113">
        <v>28.67</v>
      </c>
      <c r="F28" s="113">
        <v>28.67</v>
      </c>
      <c r="G28" s="113">
        <v>28.67</v>
      </c>
      <c r="H28" s="113">
        <v>28.67</v>
      </c>
      <c r="I28" s="113">
        <v>28.67</v>
      </c>
      <c r="J28" s="113">
        <v>28.67</v>
      </c>
      <c r="K28" s="113">
        <v>28.67</v>
      </c>
      <c r="L28" s="113">
        <v>28.67</v>
      </c>
      <c r="M28" s="113">
        <v>28.67</v>
      </c>
      <c r="N28" s="113">
        <v>28.67</v>
      </c>
      <c r="O28" s="113">
        <v>28.67</v>
      </c>
      <c r="P28" s="113">
        <v>28.67</v>
      </c>
      <c r="Q28" s="113">
        <v>28.67</v>
      </c>
      <c r="R28" s="113">
        <v>28.67</v>
      </c>
      <c r="S28" s="113">
        <v>28.67</v>
      </c>
      <c r="T28" s="113">
        <v>28.67</v>
      </c>
      <c r="U28" s="113">
        <v>28.67</v>
      </c>
      <c r="V28" s="113">
        <v>28.67</v>
      </c>
      <c r="W28" s="113">
        <v>28.67</v>
      </c>
    </row>
    <row r="29" spans="1:23" x14ac:dyDescent="0.25">
      <c r="A29" s="155" t="s">
        <v>202</v>
      </c>
      <c r="B29" s="156"/>
      <c r="C29" s="157"/>
      <c r="D29" s="158"/>
      <c r="E29" s="159"/>
      <c r="F29" s="159"/>
      <c r="G29" s="159"/>
      <c r="H29" s="160">
        <f t="shared" si="0"/>
        <v>0</v>
      </c>
      <c r="I29" s="159"/>
      <c r="J29" s="159"/>
      <c r="K29" s="159"/>
      <c r="L29" s="160">
        <f t="shared" si="1"/>
        <v>0</v>
      </c>
      <c r="M29" s="160">
        <f t="shared" si="2"/>
        <v>0</v>
      </c>
      <c r="N29" s="161"/>
      <c r="O29" s="159"/>
      <c r="P29" s="159"/>
      <c r="Q29" s="160">
        <f t="shared" si="3"/>
        <v>0</v>
      </c>
      <c r="R29" s="161">
        <f t="shared" si="4"/>
        <v>0</v>
      </c>
      <c r="S29" s="161"/>
      <c r="T29" s="159"/>
      <c r="U29" s="159"/>
      <c r="V29" s="160">
        <f t="shared" si="5"/>
        <v>0</v>
      </c>
      <c r="W29" s="162">
        <f t="shared" si="6"/>
        <v>0</v>
      </c>
    </row>
    <row r="30" spans="1:23" x14ac:dyDescent="0.25">
      <c r="A30" s="111">
        <v>1</v>
      </c>
      <c r="B30" s="288" t="s">
        <v>203</v>
      </c>
      <c r="C30" s="288"/>
      <c r="D30" s="142" t="s">
        <v>204</v>
      </c>
      <c r="E30" s="120">
        <f>E23*E24/1000</f>
        <v>159.07731716438357</v>
      </c>
      <c r="F30" s="120">
        <f>F23*F24/1000</f>
        <v>93.250005863013698</v>
      </c>
      <c r="G30" s="120">
        <f>G23*G24/1000</f>
        <v>85.22228497260275</v>
      </c>
      <c r="H30" s="116">
        <f t="shared" si="0"/>
        <v>337.54960800000003</v>
      </c>
      <c r="I30" s="120">
        <f>I23*I24/1000</f>
        <v>77.194564082191761</v>
      </c>
      <c r="J30" s="120">
        <f>J23*J24/1000</f>
        <v>0</v>
      </c>
      <c r="K30" s="120">
        <f>K23*K24/1000</f>
        <v>0</v>
      </c>
      <c r="L30" s="115">
        <f t="shared" si="1"/>
        <v>77.194564082191761</v>
      </c>
      <c r="M30" s="115">
        <f t="shared" si="2"/>
        <v>414.74417208219177</v>
      </c>
      <c r="N30" s="120">
        <f>N23*N24/1000</f>
        <v>0</v>
      </c>
      <c r="O30" s="120">
        <f>O23*O24/1000</f>
        <v>0</v>
      </c>
      <c r="P30" s="120">
        <f>P23*P24/1000</f>
        <v>0</v>
      </c>
      <c r="Q30" s="115">
        <f t="shared" si="3"/>
        <v>0</v>
      </c>
      <c r="R30" s="115">
        <f t="shared" si="4"/>
        <v>414.74417208219177</v>
      </c>
      <c r="S30" s="120">
        <f>S23*S24/1000</f>
        <v>29.766789061643834</v>
      </c>
      <c r="T30" s="120">
        <f>T23*T24/1000</f>
        <v>41.872592164383562</v>
      </c>
      <c r="U30" s="120">
        <f>U23*U24/1000</f>
        <v>119.90433189041096</v>
      </c>
      <c r="V30" s="116">
        <f t="shared" si="5"/>
        <v>191.54371311643837</v>
      </c>
      <c r="W30" s="117">
        <f t="shared" si="6"/>
        <v>606.28788519863019</v>
      </c>
    </row>
    <row r="31" spans="1:23" x14ac:dyDescent="0.25">
      <c r="A31" s="122" t="s">
        <v>205</v>
      </c>
      <c r="B31" s="289" t="s">
        <v>186</v>
      </c>
      <c r="C31" s="290"/>
      <c r="D31" s="142" t="s">
        <v>204</v>
      </c>
      <c r="E31" s="113">
        <v>159.07731716438357</v>
      </c>
      <c r="F31" s="113">
        <v>93.250005863013698</v>
      </c>
      <c r="G31" s="113">
        <v>85.22228497260275</v>
      </c>
      <c r="H31" s="116">
        <f t="shared" si="0"/>
        <v>337.54960800000003</v>
      </c>
      <c r="I31" s="113">
        <v>77.194564082191761</v>
      </c>
      <c r="J31" s="113">
        <v>0</v>
      </c>
      <c r="K31" s="113">
        <v>0</v>
      </c>
      <c r="L31" s="115">
        <f t="shared" si="1"/>
        <v>77.194564082191761</v>
      </c>
      <c r="M31" s="115">
        <f t="shared" si="2"/>
        <v>414.74417208219177</v>
      </c>
      <c r="N31" s="113">
        <v>0</v>
      </c>
      <c r="O31" s="113">
        <v>0</v>
      </c>
      <c r="P31" s="113">
        <v>0</v>
      </c>
      <c r="Q31" s="115">
        <f t="shared" si="3"/>
        <v>0</v>
      </c>
      <c r="R31" s="115">
        <f t="shared" si="4"/>
        <v>414.74417208219177</v>
      </c>
      <c r="S31" s="113">
        <v>29.766789061643834</v>
      </c>
      <c r="T31" s="113">
        <v>41.872592164383562</v>
      </c>
      <c r="U31" s="113">
        <v>119.90433189041096</v>
      </c>
      <c r="V31" s="116">
        <f t="shared" si="5"/>
        <v>191.54371311643837</v>
      </c>
      <c r="W31" s="117">
        <f t="shared" si="6"/>
        <v>606.28788519863019</v>
      </c>
    </row>
    <row r="32" spans="1:23" x14ac:dyDescent="0.25">
      <c r="A32" s="111">
        <v>2</v>
      </c>
      <c r="B32" s="288" t="s">
        <v>34</v>
      </c>
      <c r="C32" s="288"/>
      <c r="D32" s="142" t="s">
        <v>204</v>
      </c>
      <c r="E32" s="113">
        <f>E21*E22</f>
        <v>27.702173519999999</v>
      </c>
      <c r="F32" s="113">
        <f>F21*F22</f>
        <v>16.238819519999996</v>
      </c>
      <c r="G32" s="114">
        <f>G21*G22</f>
        <v>14.840849520000001</v>
      </c>
      <c r="H32" s="116">
        <f t="shared" si="0"/>
        <v>58.781842559999994</v>
      </c>
      <c r="I32" s="113">
        <f>I21*I22</f>
        <v>13.442879519999998</v>
      </c>
      <c r="J32" s="113">
        <v>0</v>
      </c>
      <c r="K32" s="113">
        <v>0</v>
      </c>
      <c r="L32" s="116">
        <f t="shared" si="1"/>
        <v>13.442879519999998</v>
      </c>
      <c r="M32" s="115">
        <f t="shared" si="2"/>
        <v>72.224722079999992</v>
      </c>
      <c r="N32" s="113">
        <v>0</v>
      </c>
      <c r="O32" s="113">
        <v>0</v>
      </c>
      <c r="P32" s="113">
        <v>0</v>
      </c>
      <c r="Q32" s="116">
        <f t="shared" si="3"/>
        <v>0</v>
      </c>
      <c r="R32" s="115">
        <f t="shared" si="4"/>
        <v>72.224722079999992</v>
      </c>
      <c r="S32" s="113">
        <f>S21*S22</f>
        <v>5.1836727600000003</v>
      </c>
      <c r="T32" s="113">
        <f>T21*T22</f>
        <v>7.2918115200000004</v>
      </c>
      <c r="U32" s="113">
        <f>U21*U22</f>
        <v>20.991917519999998</v>
      </c>
      <c r="V32" s="116">
        <f t="shared" si="5"/>
        <v>33.467401799999998</v>
      </c>
      <c r="W32" s="117">
        <f t="shared" si="6"/>
        <v>105.69212388</v>
      </c>
    </row>
    <row r="33" spans="1:23" x14ac:dyDescent="0.25">
      <c r="A33" s="111">
        <v>3</v>
      </c>
      <c r="B33" s="279" t="s">
        <v>206</v>
      </c>
      <c r="C33" s="280"/>
      <c r="D33" s="142" t="s">
        <v>204</v>
      </c>
      <c r="E33" s="113">
        <v>1.8049999999999999</v>
      </c>
      <c r="F33" s="113">
        <v>1.8049999999999999</v>
      </c>
      <c r="G33" s="114">
        <v>1.8049999999999999</v>
      </c>
      <c r="H33" s="116">
        <f t="shared" si="0"/>
        <v>5.415</v>
      </c>
      <c r="I33" s="113">
        <v>1.8049999999999999</v>
      </c>
      <c r="J33" s="113">
        <v>1.8049999999999999</v>
      </c>
      <c r="K33" s="113">
        <v>1.8049999999999999</v>
      </c>
      <c r="L33" s="116">
        <f t="shared" si="1"/>
        <v>5.415</v>
      </c>
      <c r="M33" s="115">
        <f t="shared" si="2"/>
        <v>10.83</v>
      </c>
      <c r="N33" s="113">
        <v>1.804</v>
      </c>
      <c r="O33" s="113">
        <v>1.804</v>
      </c>
      <c r="P33" s="113">
        <v>1.804</v>
      </c>
      <c r="Q33" s="116">
        <f t="shared" si="3"/>
        <v>5.4119999999999999</v>
      </c>
      <c r="R33" s="115">
        <f t="shared" si="4"/>
        <v>16.242000000000001</v>
      </c>
      <c r="S33" s="113">
        <v>1.804</v>
      </c>
      <c r="T33" s="113">
        <v>1.804</v>
      </c>
      <c r="U33" s="113">
        <v>1.804</v>
      </c>
      <c r="V33" s="116">
        <f t="shared" si="5"/>
        <v>5.4119999999999999</v>
      </c>
      <c r="W33" s="117">
        <f t="shared" si="6"/>
        <v>21.654</v>
      </c>
    </row>
    <row r="34" spans="1:23" x14ac:dyDescent="0.25">
      <c r="A34" s="111">
        <v>4</v>
      </c>
      <c r="B34" s="288" t="s">
        <v>207</v>
      </c>
      <c r="C34" s="288"/>
      <c r="D34" s="142" t="s">
        <v>204</v>
      </c>
      <c r="E34" s="113"/>
      <c r="F34" s="113"/>
      <c r="G34" s="114"/>
      <c r="H34" s="116">
        <f t="shared" si="0"/>
        <v>0</v>
      </c>
      <c r="I34" s="113"/>
      <c r="J34" s="113"/>
      <c r="K34" s="113"/>
      <c r="L34" s="116">
        <f t="shared" si="1"/>
        <v>0</v>
      </c>
      <c r="M34" s="115">
        <f t="shared" si="2"/>
        <v>0</v>
      </c>
      <c r="N34" s="113"/>
      <c r="O34" s="113"/>
      <c r="P34" s="113"/>
      <c r="Q34" s="116">
        <f t="shared" si="3"/>
        <v>0</v>
      </c>
      <c r="R34" s="115">
        <f t="shared" si="4"/>
        <v>0</v>
      </c>
      <c r="S34" s="113"/>
      <c r="T34" s="113"/>
      <c r="U34" s="113"/>
      <c r="V34" s="116">
        <f t="shared" si="5"/>
        <v>0</v>
      </c>
      <c r="W34" s="117">
        <f t="shared" si="6"/>
        <v>0</v>
      </c>
    </row>
    <row r="35" spans="1:23" x14ac:dyDescent="0.25">
      <c r="A35" s="111">
        <v>5</v>
      </c>
      <c r="B35" s="288" t="s">
        <v>208</v>
      </c>
      <c r="C35" s="288"/>
      <c r="D35" s="142" t="s">
        <v>204</v>
      </c>
      <c r="E35" s="113">
        <f>E36+E37</f>
        <v>103.26249799999999</v>
      </c>
      <c r="F35" s="113">
        <f>F36+F37</f>
        <v>96.430930000000004</v>
      </c>
      <c r="G35" s="114">
        <f>G36+G37</f>
        <v>96.430930000000004</v>
      </c>
      <c r="H35" s="116">
        <f>H36+H37</f>
        <v>296.12435800000003</v>
      </c>
      <c r="I35" s="113">
        <f t="shared" ref="I35:W35" si="8">I36+I37</f>
        <v>123.42543000000001</v>
      </c>
      <c r="J35" s="113">
        <f t="shared" si="8"/>
        <v>13.37093</v>
      </c>
      <c r="K35" s="113">
        <f t="shared" si="8"/>
        <v>13.37093</v>
      </c>
      <c r="L35" s="116">
        <f t="shared" si="8"/>
        <v>150.16729000000001</v>
      </c>
      <c r="M35" s="115">
        <f t="shared" si="8"/>
        <v>446.29164800000001</v>
      </c>
      <c r="N35" s="113">
        <f t="shared" si="8"/>
        <v>13.37093</v>
      </c>
      <c r="O35" s="113">
        <f t="shared" si="8"/>
        <v>13.37093</v>
      </c>
      <c r="P35" s="113">
        <f t="shared" si="8"/>
        <v>13.37093</v>
      </c>
      <c r="Q35" s="116">
        <f t="shared" si="8"/>
        <v>40.112789999999997</v>
      </c>
      <c r="R35" s="115">
        <f t="shared" si="8"/>
        <v>486.40443800000003</v>
      </c>
      <c r="S35" s="113">
        <f t="shared" si="8"/>
        <v>54.900930000000002</v>
      </c>
      <c r="T35" s="113">
        <f t="shared" si="8"/>
        <v>96.430930000000004</v>
      </c>
      <c r="U35" s="113">
        <f t="shared" si="8"/>
        <v>96.430930000000004</v>
      </c>
      <c r="V35" s="116">
        <f t="shared" si="8"/>
        <v>247.76279</v>
      </c>
      <c r="W35" s="117">
        <f t="shared" si="8"/>
        <v>734.16722800000002</v>
      </c>
    </row>
    <row r="36" spans="1:23" x14ac:dyDescent="0.25">
      <c r="A36" s="111"/>
      <c r="B36" s="279" t="s">
        <v>209</v>
      </c>
      <c r="C36" s="280"/>
      <c r="D36" s="142" t="s">
        <v>204</v>
      </c>
      <c r="E36" s="113">
        <v>83.06</v>
      </c>
      <c r="F36" s="113">
        <v>83.06</v>
      </c>
      <c r="G36" s="114">
        <v>83.06</v>
      </c>
      <c r="H36" s="116">
        <f t="shared" si="0"/>
        <v>249.18</v>
      </c>
      <c r="I36" s="113">
        <f>83.06+26.9945</f>
        <v>110.0545</v>
      </c>
      <c r="J36" s="113"/>
      <c r="K36" s="113"/>
      <c r="L36" s="116">
        <f t="shared" si="1"/>
        <v>110.0545</v>
      </c>
      <c r="M36" s="115">
        <f>L36+H36</f>
        <v>359.23450000000003</v>
      </c>
      <c r="N36" s="113"/>
      <c r="O36" s="113"/>
      <c r="P36" s="113"/>
      <c r="Q36" s="116">
        <f>SUM(N36:P36)</f>
        <v>0</v>
      </c>
      <c r="R36" s="115">
        <f>Q36+M36</f>
        <v>359.23450000000003</v>
      </c>
      <c r="S36" s="113">
        <v>41.53</v>
      </c>
      <c r="T36" s="113">
        <v>83.06</v>
      </c>
      <c r="U36" s="113">
        <v>83.06</v>
      </c>
      <c r="V36" s="116">
        <f>SUM(S36:U36)</f>
        <v>207.65</v>
      </c>
      <c r="W36" s="117">
        <f>V36+R36</f>
        <v>566.8845</v>
      </c>
    </row>
    <row r="37" spans="1:23" x14ac:dyDescent="0.25">
      <c r="A37" s="163"/>
      <c r="B37" s="279" t="s">
        <v>210</v>
      </c>
      <c r="C37" s="280" t="s">
        <v>211</v>
      </c>
      <c r="D37" s="142" t="s">
        <v>204</v>
      </c>
      <c r="E37" s="113">
        <v>20.202497999999999</v>
      </c>
      <c r="F37" s="113">
        <v>13.37093</v>
      </c>
      <c r="G37" s="114">
        <v>13.37093</v>
      </c>
      <c r="H37" s="116">
        <f t="shared" si="0"/>
        <v>46.944358000000001</v>
      </c>
      <c r="I37" s="113">
        <v>13.37093</v>
      </c>
      <c r="J37" s="113">
        <v>13.37093</v>
      </c>
      <c r="K37" s="113">
        <v>13.37093</v>
      </c>
      <c r="L37" s="116">
        <f t="shared" si="1"/>
        <v>40.112789999999997</v>
      </c>
      <c r="M37" s="115">
        <f>L37+H37</f>
        <v>87.057147999999998</v>
      </c>
      <c r="N37" s="113">
        <v>13.37093</v>
      </c>
      <c r="O37" s="113">
        <v>13.37093</v>
      </c>
      <c r="P37" s="113">
        <v>13.37093</v>
      </c>
      <c r="Q37" s="116">
        <f t="shared" si="3"/>
        <v>40.112789999999997</v>
      </c>
      <c r="R37" s="115">
        <f t="shared" si="4"/>
        <v>127.169938</v>
      </c>
      <c r="S37" s="113">
        <v>13.37093</v>
      </c>
      <c r="T37" s="113">
        <v>13.37093</v>
      </c>
      <c r="U37" s="113">
        <v>13.37093</v>
      </c>
      <c r="V37" s="116">
        <f t="shared" si="5"/>
        <v>40.112789999999997</v>
      </c>
      <c r="W37" s="117">
        <f t="shared" si="6"/>
        <v>167.28272799999999</v>
      </c>
    </row>
    <row r="38" spans="1:23" x14ac:dyDescent="0.25">
      <c r="A38" s="163" t="s">
        <v>163</v>
      </c>
      <c r="B38" s="279" t="s">
        <v>212</v>
      </c>
      <c r="C38" s="280"/>
      <c r="D38" s="142" t="s">
        <v>204</v>
      </c>
      <c r="E38" s="113">
        <f>E39+E40</f>
        <v>31.144869399999997</v>
      </c>
      <c r="F38" s="113">
        <f>F39+F40</f>
        <v>29.095399</v>
      </c>
      <c r="G38" s="114">
        <f>G39+G40</f>
        <v>29.095399</v>
      </c>
      <c r="H38" s="116">
        <f t="shared" si="0"/>
        <v>89.335667400000006</v>
      </c>
      <c r="I38" s="113">
        <f>I39+I40</f>
        <v>37.247738000000005</v>
      </c>
      <c r="J38" s="113">
        <f>J39+J40</f>
        <v>4.011279</v>
      </c>
      <c r="K38" s="113">
        <f>K39+K40</f>
        <v>4.011279</v>
      </c>
      <c r="L38" s="116">
        <f t="shared" si="1"/>
        <v>45.270296000000009</v>
      </c>
      <c r="M38" s="115">
        <f t="shared" si="2"/>
        <v>134.60596340000001</v>
      </c>
      <c r="N38" s="113">
        <f>N39+N40</f>
        <v>4.011279</v>
      </c>
      <c r="O38" s="113">
        <f>O39+O40</f>
        <v>4.011279</v>
      </c>
      <c r="P38" s="113">
        <f>P39+P40</f>
        <v>4.011279</v>
      </c>
      <c r="Q38" s="116">
        <f t="shared" si="3"/>
        <v>12.033837</v>
      </c>
      <c r="R38" s="115">
        <f t="shared" si="4"/>
        <v>146.63980040000001</v>
      </c>
      <c r="S38" s="113">
        <f>S39+S40</f>
        <v>16.553339000000001</v>
      </c>
      <c r="T38" s="113">
        <f>T39+T40</f>
        <v>29.095399</v>
      </c>
      <c r="U38" s="113">
        <f>U39+U40</f>
        <v>29.095399</v>
      </c>
      <c r="V38" s="116">
        <f t="shared" si="5"/>
        <v>74.744136999999995</v>
      </c>
      <c r="W38" s="117">
        <f t="shared" si="6"/>
        <v>221.38393740000001</v>
      </c>
    </row>
    <row r="39" spans="1:23" x14ac:dyDescent="0.25">
      <c r="A39" s="163"/>
      <c r="B39" s="164" t="s">
        <v>209</v>
      </c>
      <c r="C39" s="165"/>
      <c r="D39" s="142" t="s">
        <v>204</v>
      </c>
      <c r="E39" s="113">
        <f>E36*30.2%</f>
        <v>25.084119999999999</v>
      </c>
      <c r="F39" s="113">
        <f>F36*30.2%</f>
        <v>25.084119999999999</v>
      </c>
      <c r="G39" s="114">
        <f>G36*30.2%</f>
        <v>25.084119999999999</v>
      </c>
      <c r="H39" s="116">
        <f t="shared" si="0"/>
        <v>75.252359999999996</v>
      </c>
      <c r="I39" s="113">
        <f>I36*30.2%</f>
        <v>33.236459000000004</v>
      </c>
      <c r="J39" s="113">
        <f>J36*30.2%</f>
        <v>0</v>
      </c>
      <c r="K39" s="113">
        <f>K36*30.2%</f>
        <v>0</v>
      </c>
      <c r="L39" s="116">
        <f>SUM(I39:K39)</f>
        <v>33.236459000000004</v>
      </c>
      <c r="M39" s="115">
        <f>L39+H39</f>
        <v>108.48881900000001</v>
      </c>
      <c r="N39" s="113">
        <f>N36*30.2%</f>
        <v>0</v>
      </c>
      <c r="O39" s="113">
        <f>O36*30.2%</f>
        <v>0</v>
      </c>
      <c r="P39" s="113">
        <f>P36*30.2%</f>
        <v>0</v>
      </c>
      <c r="Q39" s="116">
        <f>SUM(N39:P39)</f>
        <v>0</v>
      </c>
      <c r="R39" s="115">
        <f>Q39+M39</f>
        <v>108.48881900000001</v>
      </c>
      <c r="S39" s="113">
        <f>S36*30.2%</f>
        <v>12.542059999999999</v>
      </c>
      <c r="T39" s="113">
        <f>T36*30.2%</f>
        <v>25.084119999999999</v>
      </c>
      <c r="U39" s="113">
        <f>U36*30.2%</f>
        <v>25.084119999999999</v>
      </c>
      <c r="V39" s="116">
        <f>SUM(S39:U39)</f>
        <v>62.710299999999997</v>
      </c>
      <c r="W39" s="117">
        <f>V39+R39</f>
        <v>171.199119</v>
      </c>
    </row>
    <row r="40" spans="1:23" x14ac:dyDescent="0.25">
      <c r="A40" s="111"/>
      <c r="B40" s="279" t="s">
        <v>213</v>
      </c>
      <c r="C40" s="280" t="s">
        <v>211</v>
      </c>
      <c r="D40" s="142" t="s">
        <v>204</v>
      </c>
      <c r="E40" s="113">
        <f>E37*30%</f>
        <v>6.0607493999999997</v>
      </c>
      <c r="F40" s="113">
        <f>F37*30%</f>
        <v>4.011279</v>
      </c>
      <c r="G40" s="114">
        <f>G37*30%</f>
        <v>4.011279</v>
      </c>
      <c r="H40" s="116">
        <f t="shared" si="0"/>
        <v>14.083307400000001</v>
      </c>
      <c r="I40" s="113">
        <f>I37*30%</f>
        <v>4.011279</v>
      </c>
      <c r="J40" s="113">
        <f>J37*30%</f>
        <v>4.011279</v>
      </c>
      <c r="K40" s="113">
        <f>K37*30%</f>
        <v>4.011279</v>
      </c>
      <c r="L40" s="116">
        <f t="shared" si="1"/>
        <v>12.033837</v>
      </c>
      <c r="M40" s="115">
        <f t="shared" si="2"/>
        <v>26.117144400000001</v>
      </c>
      <c r="N40" s="113">
        <f>N37*30%</f>
        <v>4.011279</v>
      </c>
      <c r="O40" s="113">
        <f>O37*30%</f>
        <v>4.011279</v>
      </c>
      <c r="P40" s="113">
        <f>P37*30%</f>
        <v>4.011279</v>
      </c>
      <c r="Q40" s="116">
        <f t="shared" si="3"/>
        <v>12.033837</v>
      </c>
      <c r="R40" s="115">
        <f t="shared" si="4"/>
        <v>38.150981399999999</v>
      </c>
      <c r="S40" s="113">
        <f>S37*30%</f>
        <v>4.011279</v>
      </c>
      <c r="T40" s="113">
        <f>T37*30%</f>
        <v>4.011279</v>
      </c>
      <c r="U40" s="113">
        <f>U37*30%</f>
        <v>4.011279</v>
      </c>
      <c r="V40" s="116">
        <f t="shared" si="5"/>
        <v>12.033837</v>
      </c>
      <c r="W40" s="117">
        <f t="shared" si="6"/>
        <v>50.184818399999997</v>
      </c>
    </row>
    <row r="41" spans="1:23" x14ac:dyDescent="0.25">
      <c r="A41" s="111">
        <v>7</v>
      </c>
      <c r="B41" s="164" t="s">
        <v>103</v>
      </c>
      <c r="C41" s="165"/>
      <c r="D41" s="142" t="s">
        <v>132</v>
      </c>
      <c r="E41" s="113">
        <v>0</v>
      </c>
      <c r="F41" s="113">
        <v>0</v>
      </c>
      <c r="G41" s="114">
        <v>0</v>
      </c>
      <c r="H41" s="116">
        <f t="shared" si="0"/>
        <v>0</v>
      </c>
      <c r="I41" s="113">
        <v>0</v>
      </c>
      <c r="J41" s="113">
        <v>0</v>
      </c>
      <c r="K41" s="113">
        <v>0</v>
      </c>
      <c r="L41" s="116">
        <f t="shared" si="1"/>
        <v>0</v>
      </c>
      <c r="M41" s="115">
        <f t="shared" si="2"/>
        <v>0</v>
      </c>
      <c r="N41" s="113">
        <v>0</v>
      </c>
      <c r="O41" s="113">
        <v>0</v>
      </c>
      <c r="P41" s="113">
        <v>0</v>
      </c>
      <c r="Q41" s="116">
        <f t="shared" si="3"/>
        <v>0</v>
      </c>
      <c r="R41" s="115">
        <f t="shared" si="4"/>
        <v>0</v>
      </c>
      <c r="S41" s="113"/>
      <c r="T41" s="113"/>
      <c r="U41" s="113">
        <v>0</v>
      </c>
      <c r="V41" s="116">
        <f t="shared" si="5"/>
        <v>0</v>
      </c>
      <c r="W41" s="117">
        <f t="shared" si="6"/>
        <v>0</v>
      </c>
    </row>
    <row r="42" spans="1:23" x14ac:dyDescent="0.25">
      <c r="A42" s="111">
        <v>8</v>
      </c>
      <c r="B42" s="164" t="s">
        <v>195</v>
      </c>
      <c r="C42" s="165"/>
      <c r="D42" s="142" t="s">
        <v>132</v>
      </c>
      <c r="E42" s="113">
        <f>E26*E28</f>
        <v>0.539718484</v>
      </c>
      <c r="F42" s="113">
        <f>F26*F28</f>
        <v>0.31637918399999998</v>
      </c>
      <c r="G42" s="114">
        <f>G26*G28</f>
        <v>0.28914268400000004</v>
      </c>
      <c r="H42" s="116">
        <f t="shared" si="0"/>
        <v>1.1452403520000001</v>
      </c>
      <c r="I42" s="113">
        <f>I26*I28</f>
        <v>0.26190618399999999</v>
      </c>
      <c r="J42" s="113">
        <f>J26*J28</f>
        <v>0</v>
      </c>
      <c r="K42" s="113">
        <f>K26*K28</f>
        <v>0</v>
      </c>
      <c r="L42" s="116">
        <f t="shared" si="1"/>
        <v>0.26190618399999999</v>
      </c>
      <c r="M42" s="115">
        <f t="shared" si="2"/>
        <v>1.4071465359999999</v>
      </c>
      <c r="N42" s="113">
        <f>N26*N28</f>
        <v>0</v>
      </c>
      <c r="O42" s="113">
        <f>O26*O28</f>
        <v>0</v>
      </c>
      <c r="P42" s="113">
        <f>P26*P28</f>
        <v>0</v>
      </c>
      <c r="Q42" s="116">
        <f t="shared" si="3"/>
        <v>0</v>
      </c>
      <c r="R42" s="115">
        <f t="shared" si="4"/>
        <v>1.4071465359999999</v>
      </c>
      <c r="S42" s="113">
        <f>S26*S28</f>
        <v>0.10099294200000002</v>
      </c>
      <c r="T42" s="113">
        <f>T26*T28</f>
        <v>0.14206558399999999</v>
      </c>
      <c r="U42" s="113">
        <f>U26*U28</f>
        <v>0.408983284</v>
      </c>
      <c r="V42" s="116">
        <f t="shared" si="5"/>
        <v>0.65204181000000005</v>
      </c>
      <c r="W42" s="117">
        <f t="shared" si="6"/>
        <v>2.059188346</v>
      </c>
    </row>
    <row r="43" spans="1:23" x14ac:dyDescent="0.25">
      <c r="A43" s="111">
        <v>9</v>
      </c>
      <c r="B43" s="288" t="s">
        <v>214</v>
      </c>
      <c r="C43" s="288"/>
      <c r="D43" s="142" t="s">
        <v>204</v>
      </c>
      <c r="E43" s="120">
        <f>SUM(E44:E47,E49:E50,E55)</f>
        <v>35.271192476712329</v>
      </c>
      <c r="F43" s="120">
        <f>SUM(F44:F47,F49:F50,F55)</f>
        <v>22.286262202739721</v>
      </c>
      <c r="G43" s="120">
        <f>SUM(G44:G47,G49:G50,G55)</f>
        <v>20.702734120547944</v>
      </c>
      <c r="H43" s="116">
        <f t="shared" si="0"/>
        <v>78.260188799999995</v>
      </c>
      <c r="I43" s="120">
        <f>SUM(I44:I47,I49:I50,I55)</f>
        <v>19.119206038356161</v>
      </c>
      <c r="J43" s="120">
        <f>SUM(J44:J47,J49:J50,J55)</f>
        <v>0</v>
      </c>
      <c r="K43" s="120">
        <f>SUM(K44:K47,K49:K50,K55)</f>
        <v>0</v>
      </c>
      <c r="L43" s="116">
        <f t="shared" si="1"/>
        <v>19.119206038356161</v>
      </c>
      <c r="M43" s="115">
        <f t="shared" si="2"/>
        <v>97.379394838356149</v>
      </c>
      <c r="N43" s="120">
        <f>SUM(N44,N47,N49,N50,N55)</f>
        <v>0</v>
      </c>
      <c r="O43" s="120">
        <f>O44+O45+O46+O47+O50+O55</f>
        <v>0</v>
      </c>
      <c r="P43" s="120">
        <f>P44+P45+P46+P47+P50+P55</f>
        <v>0</v>
      </c>
      <c r="Q43" s="116">
        <f t="shared" si="3"/>
        <v>0</v>
      </c>
      <c r="R43" s="115">
        <f t="shared" si="4"/>
        <v>97.379394838356149</v>
      </c>
      <c r="S43" s="120">
        <f>S44+S45+S46+S47+S50+S55+S49</f>
        <v>7.8937221287671235</v>
      </c>
      <c r="T43" s="120">
        <f>T44+T45+T46+T47+T50+T55+T49</f>
        <v>12.151682476712329</v>
      </c>
      <c r="U43" s="120">
        <f>U44+U45+U46+U47+U50+U55+U49</f>
        <v>27.544027682191778</v>
      </c>
      <c r="V43" s="116">
        <f t="shared" si="5"/>
        <v>47.589432287671229</v>
      </c>
      <c r="W43" s="117">
        <f t="shared" si="6"/>
        <v>144.96882712602738</v>
      </c>
    </row>
    <row r="44" spans="1:23" x14ac:dyDescent="0.25">
      <c r="A44" s="122" t="s">
        <v>215</v>
      </c>
      <c r="B44" s="277" t="s">
        <v>216</v>
      </c>
      <c r="C44" s="278"/>
      <c r="D44" s="142" t="s">
        <v>204</v>
      </c>
      <c r="E44" s="113">
        <v>0</v>
      </c>
      <c r="F44" s="113">
        <v>0</v>
      </c>
      <c r="G44" s="113">
        <v>0</v>
      </c>
      <c r="H44" s="116">
        <f t="shared" si="0"/>
        <v>0</v>
      </c>
      <c r="I44" s="113">
        <v>0</v>
      </c>
      <c r="J44" s="113">
        <v>0</v>
      </c>
      <c r="K44" s="113">
        <v>0</v>
      </c>
      <c r="L44" s="116">
        <f t="shared" si="1"/>
        <v>0</v>
      </c>
      <c r="M44" s="115">
        <f t="shared" si="2"/>
        <v>0</v>
      </c>
      <c r="N44" s="113">
        <v>0</v>
      </c>
      <c r="O44" s="113">
        <v>0</v>
      </c>
      <c r="P44" s="113">
        <v>0</v>
      </c>
      <c r="Q44" s="116">
        <f t="shared" si="3"/>
        <v>0</v>
      </c>
      <c r="R44" s="115">
        <f t="shared" si="4"/>
        <v>0</v>
      </c>
      <c r="S44" s="113"/>
      <c r="T44" s="113"/>
      <c r="U44" s="113"/>
      <c r="V44" s="116">
        <f t="shared" si="5"/>
        <v>0</v>
      </c>
      <c r="W44" s="117">
        <f t="shared" si="6"/>
        <v>0</v>
      </c>
    </row>
    <row r="45" spans="1:23" x14ac:dyDescent="0.25">
      <c r="A45" s="122" t="s">
        <v>217</v>
      </c>
      <c r="B45" s="277" t="s">
        <v>218</v>
      </c>
      <c r="C45" s="293"/>
      <c r="D45" s="142" t="s">
        <v>204</v>
      </c>
      <c r="E45" s="113">
        <v>0</v>
      </c>
      <c r="F45" s="113">
        <v>0</v>
      </c>
      <c r="G45" s="113">
        <v>0</v>
      </c>
      <c r="H45" s="116">
        <f t="shared" si="0"/>
        <v>0</v>
      </c>
      <c r="I45" s="113">
        <v>0</v>
      </c>
      <c r="J45" s="113">
        <v>0</v>
      </c>
      <c r="K45" s="113">
        <v>0</v>
      </c>
      <c r="L45" s="116">
        <f t="shared" si="1"/>
        <v>0</v>
      </c>
      <c r="M45" s="115">
        <f t="shared" si="2"/>
        <v>0</v>
      </c>
      <c r="N45" s="113">
        <v>0</v>
      </c>
      <c r="O45" s="113">
        <v>0</v>
      </c>
      <c r="P45" s="113">
        <v>0</v>
      </c>
      <c r="Q45" s="116">
        <f t="shared" si="3"/>
        <v>0</v>
      </c>
      <c r="R45" s="115">
        <f t="shared" si="4"/>
        <v>0</v>
      </c>
      <c r="S45" s="113">
        <v>0</v>
      </c>
      <c r="T45" s="113">
        <v>0</v>
      </c>
      <c r="U45" s="113">
        <v>0</v>
      </c>
      <c r="V45" s="116">
        <f t="shared" si="5"/>
        <v>0</v>
      </c>
      <c r="W45" s="117">
        <f t="shared" si="6"/>
        <v>0</v>
      </c>
    </row>
    <row r="46" spans="1:23" x14ac:dyDescent="0.25">
      <c r="A46" s="122" t="s">
        <v>219</v>
      </c>
      <c r="B46" s="277" t="s">
        <v>220</v>
      </c>
      <c r="C46" s="293"/>
      <c r="D46" s="142" t="s">
        <v>204</v>
      </c>
      <c r="E46" s="113">
        <v>0</v>
      </c>
      <c r="F46" s="113">
        <v>0</v>
      </c>
      <c r="G46" s="113">
        <v>0</v>
      </c>
      <c r="H46" s="116">
        <f t="shared" si="0"/>
        <v>0</v>
      </c>
      <c r="I46" s="113">
        <v>0</v>
      </c>
      <c r="J46" s="113">
        <v>0</v>
      </c>
      <c r="K46" s="113">
        <v>0</v>
      </c>
      <c r="L46" s="116">
        <f t="shared" si="1"/>
        <v>0</v>
      </c>
      <c r="M46" s="115">
        <f t="shared" si="2"/>
        <v>0</v>
      </c>
      <c r="N46" s="113">
        <v>0</v>
      </c>
      <c r="O46" s="113">
        <v>0</v>
      </c>
      <c r="P46" s="113">
        <v>0</v>
      </c>
      <c r="Q46" s="116">
        <f t="shared" si="3"/>
        <v>0</v>
      </c>
      <c r="R46" s="115">
        <f t="shared" si="4"/>
        <v>0</v>
      </c>
      <c r="S46" s="113">
        <v>0</v>
      </c>
      <c r="T46" s="113">
        <v>0</v>
      </c>
      <c r="U46" s="113">
        <v>0</v>
      </c>
      <c r="V46" s="116">
        <f t="shared" si="5"/>
        <v>0</v>
      </c>
      <c r="W46" s="117">
        <f t="shared" si="6"/>
        <v>0</v>
      </c>
    </row>
    <row r="47" spans="1:23" x14ac:dyDescent="0.25">
      <c r="A47" s="122" t="s">
        <v>221</v>
      </c>
      <c r="B47" s="288" t="s">
        <v>222</v>
      </c>
      <c r="C47" s="288"/>
      <c r="D47" s="142" t="s">
        <v>204</v>
      </c>
      <c r="E47" s="113"/>
      <c r="F47" s="113"/>
      <c r="G47" s="113"/>
      <c r="H47" s="116">
        <f t="shared" si="0"/>
        <v>0</v>
      </c>
      <c r="I47" s="113"/>
      <c r="J47" s="113">
        <v>0</v>
      </c>
      <c r="K47" s="113">
        <v>0</v>
      </c>
      <c r="L47" s="116">
        <f t="shared" si="1"/>
        <v>0</v>
      </c>
      <c r="M47" s="115">
        <f t="shared" si="2"/>
        <v>0</v>
      </c>
      <c r="N47" s="113">
        <v>0</v>
      </c>
      <c r="O47" s="113">
        <v>0</v>
      </c>
      <c r="P47" s="113">
        <v>0</v>
      </c>
      <c r="Q47" s="116">
        <f t="shared" si="3"/>
        <v>0</v>
      </c>
      <c r="R47" s="115">
        <f t="shared" si="4"/>
        <v>0</v>
      </c>
      <c r="S47" s="113">
        <v>0</v>
      </c>
      <c r="T47" s="113">
        <v>0</v>
      </c>
      <c r="U47" s="113">
        <v>0</v>
      </c>
      <c r="V47" s="116">
        <f t="shared" si="5"/>
        <v>0</v>
      </c>
      <c r="W47" s="117">
        <f t="shared" si="6"/>
        <v>0</v>
      </c>
    </row>
    <row r="48" spans="1:23" x14ac:dyDescent="0.25">
      <c r="A48" s="122"/>
      <c r="B48" s="294" t="s">
        <v>223</v>
      </c>
      <c r="C48" s="294"/>
      <c r="D48" s="142" t="s">
        <v>204</v>
      </c>
      <c r="E48" s="113"/>
      <c r="F48" s="113"/>
      <c r="G48" s="113"/>
      <c r="H48" s="116">
        <f t="shared" si="0"/>
        <v>0</v>
      </c>
      <c r="I48" s="113"/>
      <c r="J48" s="113">
        <v>0</v>
      </c>
      <c r="K48" s="113">
        <v>0</v>
      </c>
      <c r="L48" s="116">
        <f t="shared" si="1"/>
        <v>0</v>
      </c>
      <c r="M48" s="115">
        <f t="shared" si="2"/>
        <v>0</v>
      </c>
      <c r="N48" s="113">
        <v>0</v>
      </c>
      <c r="O48" s="113">
        <v>0</v>
      </c>
      <c r="P48" s="113">
        <v>0</v>
      </c>
      <c r="Q48" s="116">
        <f t="shared" si="3"/>
        <v>0</v>
      </c>
      <c r="R48" s="115">
        <f t="shared" si="4"/>
        <v>0</v>
      </c>
      <c r="S48" s="113">
        <v>0</v>
      </c>
      <c r="T48" s="113">
        <v>0</v>
      </c>
      <c r="U48" s="113">
        <v>0</v>
      </c>
      <c r="V48" s="116">
        <f t="shared" si="5"/>
        <v>0</v>
      </c>
      <c r="W48" s="117">
        <f t="shared" si="6"/>
        <v>0</v>
      </c>
    </row>
    <row r="49" spans="1:23" x14ac:dyDescent="0.25">
      <c r="A49" s="122" t="s">
        <v>224</v>
      </c>
      <c r="B49" s="277" t="s">
        <v>225</v>
      </c>
      <c r="C49" s="278"/>
      <c r="D49" s="142" t="s">
        <v>204</v>
      </c>
      <c r="E49" s="113">
        <f>485.5*E23/1000</f>
        <v>31.379192476712326</v>
      </c>
      <c r="F49" s="113">
        <f>485.5*F23/1000</f>
        <v>18.394262202739721</v>
      </c>
      <c r="G49" s="113">
        <f>485.5*G23/1000</f>
        <v>16.810734120547945</v>
      </c>
      <c r="H49" s="116">
        <f t="shared" si="0"/>
        <v>66.584188799999993</v>
      </c>
      <c r="I49" s="113">
        <f>485.5*I23/1000</f>
        <v>15.227206038356162</v>
      </c>
      <c r="J49" s="113">
        <f>485.5*J23/1000</f>
        <v>0</v>
      </c>
      <c r="K49" s="113">
        <f>485.5*K23/1000</f>
        <v>0</v>
      </c>
      <c r="L49" s="116">
        <f t="shared" si="1"/>
        <v>15.227206038356162</v>
      </c>
      <c r="M49" s="115">
        <f t="shared" si="2"/>
        <v>81.811394838356151</v>
      </c>
      <c r="N49" s="113">
        <f>485.5*N23/1000</f>
        <v>0</v>
      </c>
      <c r="O49" s="113">
        <f>485.5*O23/1000</f>
        <v>0</v>
      </c>
      <c r="P49" s="113">
        <f>485.5*P23/1000</f>
        <v>0</v>
      </c>
      <c r="Q49" s="116">
        <f t="shared" si="3"/>
        <v>0</v>
      </c>
      <c r="R49" s="115">
        <f t="shared" si="4"/>
        <v>81.811394838356151</v>
      </c>
      <c r="S49" s="113">
        <f>485.5*S23/1000</f>
        <v>5.8717221287671233</v>
      </c>
      <c r="T49" s="113">
        <f>485.5*T23/1000</f>
        <v>8.2596824767123298</v>
      </c>
      <c r="U49" s="113">
        <f>485.5*U23/1000</f>
        <v>23.652027682191779</v>
      </c>
      <c r="V49" s="116">
        <f t="shared" si="5"/>
        <v>37.783432287671232</v>
      </c>
      <c r="W49" s="117">
        <f t="shared" si="6"/>
        <v>119.59482712602738</v>
      </c>
    </row>
    <row r="50" spans="1:23" x14ac:dyDescent="0.25">
      <c r="A50" s="122" t="s">
        <v>226</v>
      </c>
      <c r="B50" s="288" t="s">
        <v>227</v>
      </c>
      <c r="C50" s="288"/>
      <c r="D50" s="142" t="s">
        <v>204</v>
      </c>
      <c r="E50" s="113">
        <f>SUM(E51:E54)</f>
        <v>3.8919999999999999</v>
      </c>
      <c r="F50" s="113">
        <f>SUM(F51:F54)</f>
        <v>3.8919999999999999</v>
      </c>
      <c r="G50" s="113">
        <f>SUM(G51:G54)</f>
        <v>3.8919999999999999</v>
      </c>
      <c r="H50" s="116">
        <f t="shared" si="0"/>
        <v>11.676</v>
      </c>
      <c r="I50" s="113">
        <f>SUM(I51:I54)</f>
        <v>3.8919999999999999</v>
      </c>
      <c r="J50" s="113">
        <f>SUM(J51:J54)</f>
        <v>0</v>
      </c>
      <c r="K50" s="113">
        <f>SUM(K51:K54)</f>
        <v>0</v>
      </c>
      <c r="L50" s="116">
        <f t="shared" si="1"/>
        <v>3.8919999999999999</v>
      </c>
      <c r="M50" s="115">
        <f t="shared" si="2"/>
        <v>15.568</v>
      </c>
      <c r="N50" s="113">
        <f>SUM(N51:N54)</f>
        <v>0</v>
      </c>
      <c r="O50" s="113">
        <f>SUM(O51:O54)</f>
        <v>0</v>
      </c>
      <c r="P50" s="113">
        <v>0</v>
      </c>
      <c r="Q50" s="116">
        <f t="shared" si="3"/>
        <v>0</v>
      </c>
      <c r="R50" s="115">
        <f t="shared" si="4"/>
        <v>15.568</v>
      </c>
      <c r="S50" s="113">
        <f>SUM(S51:S54)</f>
        <v>2.0219999999999998</v>
      </c>
      <c r="T50" s="113">
        <f>SUM(T51:T54)</f>
        <v>3.8919999999999999</v>
      </c>
      <c r="U50" s="113">
        <f>SUM(U51:U54)</f>
        <v>3.8919999999999999</v>
      </c>
      <c r="V50" s="116">
        <f t="shared" si="5"/>
        <v>9.8059999999999992</v>
      </c>
      <c r="W50" s="117">
        <f t="shared" si="6"/>
        <v>25.373999999999999</v>
      </c>
    </row>
    <row r="51" spans="1:23" x14ac:dyDescent="0.25">
      <c r="A51" s="111"/>
      <c r="B51" s="294" t="s">
        <v>228</v>
      </c>
      <c r="C51" s="294"/>
      <c r="D51" s="142" t="s">
        <v>204</v>
      </c>
      <c r="E51" s="113">
        <v>0</v>
      </c>
      <c r="F51" s="113">
        <v>0</v>
      </c>
      <c r="G51" s="113">
        <v>0</v>
      </c>
      <c r="H51" s="116">
        <f t="shared" si="0"/>
        <v>0</v>
      </c>
      <c r="I51" s="113">
        <v>0</v>
      </c>
      <c r="J51" s="113">
        <v>0</v>
      </c>
      <c r="K51" s="113">
        <v>0</v>
      </c>
      <c r="L51" s="116">
        <f t="shared" si="1"/>
        <v>0</v>
      </c>
      <c r="M51" s="115">
        <f t="shared" si="2"/>
        <v>0</v>
      </c>
      <c r="N51" s="113">
        <v>0</v>
      </c>
      <c r="O51" s="113">
        <v>0</v>
      </c>
      <c r="P51" s="113">
        <v>0</v>
      </c>
      <c r="Q51" s="116">
        <f t="shared" si="3"/>
        <v>0</v>
      </c>
      <c r="R51" s="115">
        <f t="shared" si="4"/>
        <v>0</v>
      </c>
      <c r="S51" s="113"/>
      <c r="T51" s="113"/>
      <c r="U51" s="113"/>
      <c r="V51" s="116">
        <f t="shared" si="5"/>
        <v>0</v>
      </c>
      <c r="W51" s="117">
        <f t="shared" si="6"/>
        <v>0</v>
      </c>
    </row>
    <row r="52" spans="1:23" x14ac:dyDescent="0.25">
      <c r="A52" s="111"/>
      <c r="B52" s="291" t="s">
        <v>229</v>
      </c>
      <c r="C52" s="292"/>
      <c r="D52" s="142" t="s">
        <v>204</v>
      </c>
      <c r="E52" s="113">
        <v>0</v>
      </c>
      <c r="F52" s="113">
        <v>0</v>
      </c>
      <c r="G52" s="113">
        <v>0</v>
      </c>
      <c r="H52" s="116">
        <f t="shared" si="0"/>
        <v>0</v>
      </c>
      <c r="I52" s="113">
        <v>0</v>
      </c>
      <c r="J52" s="113">
        <v>0</v>
      </c>
      <c r="K52" s="113">
        <v>0</v>
      </c>
      <c r="L52" s="116">
        <f t="shared" si="1"/>
        <v>0</v>
      </c>
      <c r="M52" s="115">
        <f t="shared" si="2"/>
        <v>0</v>
      </c>
      <c r="N52" s="113">
        <v>0</v>
      </c>
      <c r="O52" s="113">
        <v>0</v>
      </c>
      <c r="P52" s="113">
        <v>0</v>
      </c>
      <c r="Q52" s="116">
        <f t="shared" si="3"/>
        <v>0</v>
      </c>
      <c r="R52" s="115">
        <f t="shared" si="4"/>
        <v>0</v>
      </c>
      <c r="S52" s="113"/>
      <c r="T52" s="113">
        <v>0</v>
      </c>
      <c r="U52" s="113">
        <v>0</v>
      </c>
      <c r="V52" s="116">
        <f t="shared" si="5"/>
        <v>0</v>
      </c>
      <c r="W52" s="117">
        <f t="shared" si="6"/>
        <v>0</v>
      </c>
    </row>
    <row r="53" spans="1:23" x14ac:dyDescent="0.25">
      <c r="A53" s="111"/>
      <c r="B53" s="291" t="s">
        <v>230</v>
      </c>
      <c r="C53" s="292"/>
      <c r="D53" s="142" t="s">
        <v>204</v>
      </c>
      <c r="E53" s="113">
        <v>0</v>
      </c>
      <c r="F53" s="113">
        <v>0</v>
      </c>
      <c r="G53" s="113">
        <v>0</v>
      </c>
      <c r="H53" s="116">
        <f t="shared" si="0"/>
        <v>0</v>
      </c>
      <c r="I53" s="113">
        <v>0</v>
      </c>
      <c r="J53" s="113">
        <v>0</v>
      </c>
      <c r="K53" s="113">
        <v>0</v>
      </c>
      <c r="L53" s="116">
        <f t="shared" si="1"/>
        <v>0</v>
      </c>
      <c r="M53" s="115">
        <f t="shared" si="2"/>
        <v>0</v>
      </c>
      <c r="N53" s="113">
        <v>0</v>
      </c>
      <c r="O53" s="113">
        <v>0</v>
      </c>
      <c r="P53" s="113">
        <v>0</v>
      </c>
      <c r="Q53" s="116">
        <f t="shared" si="3"/>
        <v>0</v>
      </c>
      <c r="R53" s="115">
        <f t="shared" si="4"/>
        <v>0</v>
      </c>
      <c r="S53" s="113">
        <v>0</v>
      </c>
      <c r="T53" s="113"/>
      <c r="U53" s="113"/>
      <c r="V53" s="116">
        <f t="shared" si="5"/>
        <v>0</v>
      </c>
      <c r="W53" s="117">
        <f t="shared" si="6"/>
        <v>0</v>
      </c>
    </row>
    <row r="54" spans="1:23" x14ac:dyDescent="0.25">
      <c r="A54" s="111"/>
      <c r="B54" s="166" t="s">
        <v>231</v>
      </c>
      <c r="C54" s="167"/>
      <c r="D54" s="142" t="s">
        <v>204</v>
      </c>
      <c r="E54" s="113">
        <v>3.8919999999999999</v>
      </c>
      <c r="F54" s="113">
        <v>3.8919999999999999</v>
      </c>
      <c r="G54" s="113">
        <v>3.8919999999999999</v>
      </c>
      <c r="H54" s="116">
        <f t="shared" si="0"/>
        <v>11.676</v>
      </c>
      <c r="I54" s="113">
        <v>3.8919999999999999</v>
      </c>
      <c r="J54" s="113">
        <v>0</v>
      </c>
      <c r="K54" s="113">
        <v>0</v>
      </c>
      <c r="L54" s="116">
        <f t="shared" si="1"/>
        <v>3.8919999999999999</v>
      </c>
      <c r="M54" s="115">
        <f t="shared" si="2"/>
        <v>15.568</v>
      </c>
      <c r="N54" s="113">
        <v>0</v>
      </c>
      <c r="O54" s="113">
        <v>0</v>
      </c>
      <c r="P54" s="113">
        <v>0</v>
      </c>
      <c r="Q54" s="116">
        <f t="shared" si="3"/>
        <v>0</v>
      </c>
      <c r="R54" s="115">
        <f t="shared" si="4"/>
        <v>15.568</v>
      </c>
      <c r="S54" s="113">
        <f>1.946+0.076</f>
        <v>2.0219999999999998</v>
      </c>
      <c r="T54" s="113">
        <v>3.8919999999999999</v>
      </c>
      <c r="U54" s="113">
        <v>3.8919999999999999</v>
      </c>
      <c r="V54" s="116">
        <f t="shared" si="5"/>
        <v>9.8059999999999992</v>
      </c>
      <c r="W54" s="117">
        <f t="shared" si="6"/>
        <v>25.373999999999999</v>
      </c>
    </row>
    <row r="55" spans="1:23" x14ac:dyDescent="0.25">
      <c r="A55" s="122" t="s">
        <v>232</v>
      </c>
      <c r="B55" s="288" t="s">
        <v>233</v>
      </c>
      <c r="C55" s="288"/>
      <c r="D55" s="142" t="s">
        <v>204</v>
      </c>
      <c r="E55" s="113">
        <f>SUM(E56)</f>
        <v>0</v>
      </c>
      <c r="F55" s="113">
        <f>SUM(F56)</f>
        <v>0</v>
      </c>
      <c r="G55" s="113">
        <f>SUM(G56)</f>
        <v>0</v>
      </c>
      <c r="H55" s="116">
        <f t="shared" si="0"/>
        <v>0</v>
      </c>
      <c r="I55" s="113">
        <f>SUM(I56)</f>
        <v>0</v>
      </c>
      <c r="J55" s="113">
        <f>SUM(J56)</f>
        <v>0</v>
      </c>
      <c r="K55" s="113">
        <f>SUM(K56)</f>
        <v>0</v>
      </c>
      <c r="L55" s="116">
        <f t="shared" si="1"/>
        <v>0</v>
      </c>
      <c r="M55" s="115">
        <f t="shared" si="2"/>
        <v>0</v>
      </c>
      <c r="N55" s="113">
        <f>SUM(N56)</f>
        <v>0</v>
      </c>
      <c r="O55" s="113">
        <f>SUM(O56)</f>
        <v>0</v>
      </c>
      <c r="P55" s="113">
        <f>SUM(P56)</f>
        <v>0</v>
      </c>
      <c r="Q55" s="116">
        <f t="shared" si="3"/>
        <v>0</v>
      </c>
      <c r="R55" s="115">
        <f t="shared" si="4"/>
        <v>0</v>
      </c>
      <c r="S55" s="113">
        <f>SUM(S56)</f>
        <v>0</v>
      </c>
      <c r="T55" s="113">
        <f>SUM(T56)</f>
        <v>0</v>
      </c>
      <c r="U55" s="113">
        <f>SUM(U56)</f>
        <v>0</v>
      </c>
      <c r="V55" s="116">
        <f t="shared" si="5"/>
        <v>0</v>
      </c>
      <c r="W55" s="117">
        <f t="shared" si="6"/>
        <v>0</v>
      </c>
    </row>
    <row r="56" spans="1:23" x14ac:dyDescent="0.25">
      <c r="A56" s="111"/>
      <c r="B56" s="288" t="s">
        <v>234</v>
      </c>
      <c r="C56" s="288"/>
      <c r="D56" s="142" t="s">
        <v>204</v>
      </c>
      <c r="E56" s="113">
        <v>0</v>
      </c>
      <c r="F56" s="113">
        <v>0</v>
      </c>
      <c r="G56" s="113">
        <v>0</v>
      </c>
      <c r="H56" s="116">
        <f t="shared" si="0"/>
        <v>0</v>
      </c>
      <c r="I56" s="113">
        <v>0</v>
      </c>
      <c r="J56" s="113">
        <v>0</v>
      </c>
      <c r="K56" s="113">
        <v>0</v>
      </c>
      <c r="L56" s="116">
        <f t="shared" si="1"/>
        <v>0</v>
      </c>
      <c r="M56" s="115">
        <f t="shared" si="2"/>
        <v>0</v>
      </c>
      <c r="N56" s="113">
        <v>0</v>
      </c>
      <c r="O56" s="113">
        <v>0</v>
      </c>
      <c r="P56" s="113">
        <v>0</v>
      </c>
      <c r="Q56" s="116">
        <f t="shared" si="3"/>
        <v>0</v>
      </c>
      <c r="R56" s="115">
        <f t="shared" si="4"/>
        <v>0</v>
      </c>
      <c r="S56" s="113">
        <v>0</v>
      </c>
      <c r="T56" s="113"/>
      <c r="U56" s="113">
        <v>0</v>
      </c>
      <c r="V56" s="116">
        <f t="shared" si="5"/>
        <v>0</v>
      </c>
      <c r="W56" s="117">
        <f t="shared" si="6"/>
        <v>0</v>
      </c>
    </row>
    <row r="57" spans="1:23" x14ac:dyDescent="0.25">
      <c r="A57" s="111" t="s">
        <v>235</v>
      </c>
      <c r="B57" s="288" t="s">
        <v>236</v>
      </c>
      <c r="C57" s="288"/>
      <c r="D57" s="142" t="s">
        <v>204</v>
      </c>
      <c r="E57" s="113">
        <v>0</v>
      </c>
      <c r="F57" s="113">
        <v>0</v>
      </c>
      <c r="G57" s="113">
        <v>0</v>
      </c>
      <c r="H57" s="116">
        <f t="shared" si="0"/>
        <v>0</v>
      </c>
      <c r="I57" s="113">
        <v>0</v>
      </c>
      <c r="J57" s="113">
        <v>0</v>
      </c>
      <c r="K57" s="113">
        <v>0</v>
      </c>
      <c r="L57" s="116">
        <f t="shared" si="1"/>
        <v>0</v>
      </c>
      <c r="M57" s="115">
        <f t="shared" si="2"/>
        <v>0</v>
      </c>
      <c r="N57" s="113">
        <v>0</v>
      </c>
      <c r="O57" s="113">
        <v>0</v>
      </c>
      <c r="P57" s="113">
        <v>0</v>
      </c>
      <c r="Q57" s="116">
        <f t="shared" si="3"/>
        <v>0</v>
      </c>
      <c r="R57" s="115">
        <f t="shared" si="4"/>
        <v>0</v>
      </c>
      <c r="S57" s="113">
        <v>0</v>
      </c>
      <c r="T57" s="113">
        <v>0</v>
      </c>
      <c r="U57" s="113"/>
      <c r="V57" s="116">
        <f t="shared" si="5"/>
        <v>0</v>
      </c>
      <c r="W57" s="117">
        <f t="shared" si="6"/>
        <v>0</v>
      </c>
    </row>
    <row r="58" spans="1:23" x14ac:dyDescent="0.25">
      <c r="A58" s="111">
        <v>11</v>
      </c>
      <c r="B58" s="279" t="s">
        <v>237</v>
      </c>
      <c r="C58" s="280"/>
      <c r="D58" s="142" t="s">
        <v>204</v>
      </c>
      <c r="E58" s="120">
        <f>SUM(E59:E61)</f>
        <v>0</v>
      </c>
      <c r="F58" s="120">
        <f>SUM(F59:F61)</f>
        <v>0</v>
      </c>
      <c r="G58" s="120">
        <f>SUM(G59:G61)</f>
        <v>0</v>
      </c>
      <c r="H58" s="116">
        <f t="shared" si="0"/>
        <v>0</v>
      </c>
      <c r="I58" s="120">
        <f>SUM(I59:I61)</f>
        <v>0</v>
      </c>
      <c r="J58" s="120">
        <f>SUM(J59:J61)</f>
        <v>0</v>
      </c>
      <c r="K58" s="120">
        <f>SUM(K59:K61)</f>
        <v>0</v>
      </c>
      <c r="L58" s="116">
        <f t="shared" si="1"/>
        <v>0</v>
      </c>
      <c r="M58" s="115">
        <f t="shared" si="2"/>
        <v>0</v>
      </c>
      <c r="N58" s="120">
        <f>SUM(N59:N61)</f>
        <v>0</v>
      </c>
      <c r="O58" s="120">
        <v>0</v>
      </c>
      <c r="P58" s="120">
        <f>SUM(P59:P61)</f>
        <v>0</v>
      </c>
      <c r="Q58" s="116">
        <f t="shared" si="3"/>
        <v>0</v>
      </c>
      <c r="R58" s="115">
        <f t="shared" si="4"/>
        <v>0</v>
      </c>
      <c r="S58" s="120">
        <f>S59+S60+S61</f>
        <v>0</v>
      </c>
      <c r="T58" s="120">
        <f>T59+T60+T61</f>
        <v>0</v>
      </c>
      <c r="U58" s="120">
        <f>U59+U60+U61</f>
        <v>0</v>
      </c>
      <c r="V58" s="116">
        <f t="shared" si="5"/>
        <v>0</v>
      </c>
      <c r="W58" s="117">
        <f t="shared" si="6"/>
        <v>0</v>
      </c>
    </row>
    <row r="59" spans="1:23" x14ac:dyDescent="0.25">
      <c r="A59" s="122" t="s">
        <v>238</v>
      </c>
      <c r="B59" s="279" t="s">
        <v>239</v>
      </c>
      <c r="C59" s="280" t="s">
        <v>240</v>
      </c>
      <c r="D59" s="142" t="s">
        <v>204</v>
      </c>
      <c r="E59" s="113">
        <v>0</v>
      </c>
      <c r="F59" s="113">
        <v>0</v>
      </c>
      <c r="G59" s="113">
        <v>0</v>
      </c>
      <c r="H59" s="116">
        <f t="shared" si="0"/>
        <v>0</v>
      </c>
      <c r="I59" s="113">
        <v>0</v>
      </c>
      <c r="J59" s="113">
        <v>0</v>
      </c>
      <c r="K59" s="113">
        <v>0</v>
      </c>
      <c r="L59" s="116">
        <f t="shared" si="1"/>
        <v>0</v>
      </c>
      <c r="M59" s="115">
        <f t="shared" si="2"/>
        <v>0</v>
      </c>
      <c r="N59" s="113">
        <v>0</v>
      </c>
      <c r="O59" s="113">
        <v>0</v>
      </c>
      <c r="P59" s="113">
        <v>0</v>
      </c>
      <c r="Q59" s="116">
        <f t="shared" si="3"/>
        <v>0</v>
      </c>
      <c r="R59" s="115">
        <f t="shared" si="4"/>
        <v>0</v>
      </c>
      <c r="S59" s="113">
        <v>0</v>
      </c>
      <c r="T59" s="113">
        <v>0</v>
      </c>
      <c r="U59" s="113">
        <v>0</v>
      </c>
      <c r="V59" s="116">
        <f t="shared" si="5"/>
        <v>0</v>
      </c>
      <c r="W59" s="117">
        <f t="shared" si="6"/>
        <v>0</v>
      </c>
    </row>
    <row r="60" spans="1:23" x14ac:dyDescent="0.25">
      <c r="A60" s="122" t="s">
        <v>241</v>
      </c>
      <c r="B60" s="277" t="s">
        <v>242</v>
      </c>
      <c r="C60" s="278"/>
      <c r="D60" s="142" t="s">
        <v>204</v>
      </c>
      <c r="E60" s="113">
        <v>0</v>
      </c>
      <c r="F60" s="113">
        <v>0</v>
      </c>
      <c r="G60" s="113">
        <v>0</v>
      </c>
      <c r="H60" s="116">
        <f t="shared" si="0"/>
        <v>0</v>
      </c>
      <c r="I60" s="113">
        <v>0</v>
      </c>
      <c r="J60" s="113">
        <v>0</v>
      </c>
      <c r="K60" s="113">
        <v>0</v>
      </c>
      <c r="L60" s="116">
        <f t="shared" si="1"/>
        <v>0</v>
      </c>
      <c r="M60" s="115">
        <f t="shared" si="2"/>
        <v>0</v>
      </c>
      <c r="N60" s="113">
        <v>0</v>
      </c>
      <c r="O60" s="113">
        <v>0</v>
      </c>
      <c r="P60" s="113">
        <v>0</v>
      </c>
      <c r="Q60" s="116">
        <f t="shared" si="3"/>
        <v>0</v>
      </c>
      <c r="R60" s="115">
        <f t="shared" si="4"/>
        <v>0</v>
      </c>
      <c r="S60" s="113"/>
      <c r="T60" s="113">
        <v>0</v>
      </c>
      <c r="U60" s="113">
        <v>0</v>
      </c>
      <c r="V60" s="116">
        <f t="shared" si="5"/>
        <v>0</v>
      </c>
      <c r="W60" s="117">
        <f t="shared" si="6"/>
        <v>0</v>
      </c>
    </row>
    <row r="61" spans="1:23" x14ac:dyDescent="0.25">
      <c r="A61" s="122" t="s">
        <v>243</v>
      </c>
      <c r="B61" s="279" t="s">
        <v>244</v>
      </c>
      <c r="C61" s="280" t="s">
        <v>245</v>
      </c>
      <c r="D61" s="142" t="s">
        <v>204</v>
      </c>
      <c r="E61" s="113">
        <v>0</v>
      </c>
      <c r="F61" s="113">
        <v>0</v>
      </c>
      <c r="G61" s="113">
        <v>0</v>
      </c>
      <c r="H61" s="116">
        <f t="shared" si="0"/>
        <v>0</v>
      </c>
      <c r="I61" s="113">
        <v>0</v>
      </c>
      <c r="J61" s="113">
        <v>0</v>
      </c>
      <c r="K61" s="113">
        <v>0</v>
      </c>
      <c r="L61" s="116">
        <f t="shared" si="1"/>
        <v>0</v>
      </c>
      <c r="M61" s="115">
        <f t="shared" si="2"/>
        <v>0</v>
      </c>
      <c r="N61" s="113">
        <v>0</v>
      </c>
      <c r="O61" s="113">
        <v>0</v>
      </c>
      <c r="P61" s="113">
        <v>0</v>
      </c>
      <c r="Q61" s="116">
        <f t="shared" si="3"/>
        <v>0</v>
      </c>
      <c r="R61" s="115">
        <f t="shared" si="4"/>
        <v>0</v>
      </c>
      <c r="S61" s="113">
        <v>0</v>
      </c>
      <c r="T61" s="113">
        <v>0</v>
      </c>
      <c r="U61" s="113">
        <v>0</v>
      </c>
      <c r="V61" s="116">
        <f t="shared" si="5"/>
        <v>0</v>
      </c>
      <c r="W61" s="117">
        <f t="shared" si="6"/>
        <v>0</v>
      </c>
    </row>
    <row r="62" spans="1:23" x14ac:dyDescent="0.25">
      <c r="A62" s="111">
        <v>12</v>
      </c>
      <c r="B62" s="279" t="s">
        <v>246</v>
      </c>
      <c r="C62" s="280"/>
      <c r="D62" s="142" t="s">
        <v>204</v>
      </c>
      <c r="E62" s="120">
        <f>SUM(E63:E69,E70,E71:E73,E78,E72)</f>
        <v>3.714</v>
      </c>
      <c r="F62" s="120">
        <f>SUM(F63:F69,F70,F71:F73,F78,F72)</f>
        <v>3.714</v>
      </c>
      <c r="G62" s="120">
        <f>SUM(G63:G69,G70,G71:G73,G78,G72)</f>
        <v>4.5939999999999994</v>
      </c>
      <c r="H62" s="116">
        <f t="shared" si="0"/>
        <v>12.021999999999998</v>
      </c>
      <c r="I62" s="120">
        <f>SUM(I63:I69,I70,I71:I73,I78,I72)</f>
        <v>3.714</v>
      </c>
      <c r="J62" s="120">
        <f>SUM(J63:J69,J70,J71:J73,J78,J72)</f>
        <v>0</v>
      </c>
      <c r="K62" s="120">
        <f>SUM(K63:K69,K70,K71:K73,K78,K72)</f>
        <v>0</v>
      </c>
      <c r="L62" s="116">
        <f t="shared" si="1"/>
        <v>3.714</v>
      </c>
      <c r="M62" s="115">
        <f t="shared" si="2"/>
        <v>15.735999999999999</v>
      </c>
      <c r="N62" s="120">
        <f>SUM(N63:N69,N70,N71:N73,N78,N72)</f>
        <v>0</v>
      </c>
      <c r="O62" s="120">
        <f>SUM(O63:O69,O70,O71:O73,O78,O72)</f>
        <v>0</v>
      </c>
      <c r="P62" s="120">
        <f>SUM(P63:P69,P70,P71:P73,P78,P72)</f>
        <v>0</v>
      </c>
      <c r="Q62" s="116">
        <f t="shared" si="3"/>
        <v>0</v>
      </c>
      <c r="R62" s="115">
        <f t="shared" si="4"/>
        <v>15.735999999999999</v>
      </c>
      <c r="S62" s="120">
        <f>SUM(S63:S69,S70,S71:S73,S78,S72)</f>
        <v>1.857</v>
      </c>
      <c r="T62" s="120">
        <f>SUM(T63:T69,T70,T71:T73,T78,T72)</f>
        <v>3.714</v>
      </c>
      <c r="U62" s="120">
        <f>SUM(U63:U69,U70,U71:U73,U78,U72)</f>
        <v>3.714</v>
      </c>
      <c r="V62" s="116">
        <f t="shared" si="5"/>
        <v>9.2850000000000001</v>
      </c>
      <c r="W62" s="117">
        <f t="shared" si="6"/>
        <v>25.021000000000001</v>
      </c>
    </row>
    <row r="63" spans="1:23" x14ac:dyDescent="0.25">
      <c r="A63" s="122" t="s">
        <v>247</v>
      </c>
      <c r="B63" s="279" t="s">
        <v>248</v>
      </c>
      <c r="C63" s="280" t="s">
        <v>248</v>
      </c>
      <c r="D63" s="142" t="s">
        <v>204</v>
      </c>
      <c r="E63" s="113">
        <v>0.72599999999999998</v>
      </c>
      <c r="F63" s="113">
        <v>0.72599999999999998</v>
      </c>
      <c r="G63" s="113">
        <v>0.72599999999999998</v>
      </c>
      <c r="H63" s="116">
        <f t="shared" si="0"/>
        <v>2.1779999999999999</v>
      </c>
      <c r="I63" s="113">
        <v>0.72599999999999998</v>
      </c>
      <c r="J63" s="113"/>
      <c r="K63" s="113"/>
      <c r="L63" s="116">
        <f t="shared" si="1"/>
        <v>0.72599999999999998</v>
      </c>
      <c r="M63" s="115">
        <f t="shared" si="2"/>
        <v>2.9039999999999999</v>
      </c>
      <c r="N63" s="113"/>
      <c r="O63" s="113"/>
      <c r="P63" s="113"/>
      <c r="Q63" s="116">
        <f t="shared" si="3"/>
        <v>0</v>
      </c>
      <c r="R63" s="115">
        <f t="shared" si="4"/>
        <v>2.9039999999999999</v>
      </c>
      <c r="S63" s="113">
        <v>0.36299999999999999</v>
      </c>
      <c r="T63" s="113">
        <v>0.72599999999999998</v>
      </c>
      <c r="U63" s="113">
        <v>0.72599999999999998</v>
      </c>
      <c r="V63" s="116">
        <f t="shared" si="5"/>
        <v>1.8149999999999999</v>
      </c>
      <c r="W63" s="117">
        <f t="shared" si="6"/>
        <v>4.7189999999999994</v>
      </c>
    </row>
    <row r="64" spans="1:23" x14ac:dyDescent="0.25">
      <c r="A64" s="122" t="s">
        <v>249</v>
      </c>
      <c r="B64" s="277" t="s">
        <v>250</v>
      </c>
      <c r="C64" s="278" t="s">
        <v>250</v>
      </c>
      <c r="D64" s="142" t="s">
        <v>204</v>
      </c>
      <c r="E64" s="113"/>
      <c r="F64" s="113"/>
      <c r="G64" s="113"/>
      <c r="H64" s="116">
        <f t="shared" si="0"/>
        <v>0</v>
      </c>
      <c r="I64" s="113"/>
      <c r="J64" s="113"/>
      <c r="K64" s="113"/>
      <c r="L64" s="116">
        <f t="shared" si="1"/>
        <v>0</v>
      </c>
      <c r="M64" s="115">
        <f t="shared" si="2"/>
        <v>0</v>
      </c>
      <c r="N64" s="113"/>
      <c r="O64" s="113"/>
      <c r="P64" s="113"/>
      <c r="Q64" s="116">
        <f t="shared" si="3"/>
        <v>0</v>
      </c>
      <c r="R64" s="115">
        <f t="shared" si="4"/>
        <v>0</v>
      </c>
      <c r="S64" s="113"/>
      <c r="T64" s="113"/>
      <c r="U64" s="113"/>
      <c r="V64" s="116">
        <f t="shared" si="5"/>
        <v>0</v>
      </c>
      <c r="W64" s="117">
        <f t="shared" si="6"/>
        <v>0</v>
      </c>
    </row>
    <row r="65" spans="1:23" x14ac:dyDescent="0.25">
      <c r="A65" s="122" t="s">
        <v>251</v>
      </c>
      <c r="B65" s="279" t="s">
        <v>58</v>
      </c>
      <c r="C65" s="280" t="s">
        <v>58</v>
      </c>
      <c r="D65" s="142" t="s">
        <v>204</v>
      </c>
      <c r="E65" s="113"/>
      <c r="F65" s="113"/>
      <c r="G65" s="113"/>
      <c r="H65" s="116">
        <f t="shared" si="0"/>
        <v>0</v>
      </c>
      <c r="I65" s="113"/>
      <c r="J65" s="113"/>
      <c r="K65" s="113"/>
      <c r="L65" s="116">
        <f t="shared" si="1"/>
        <v>0</v>
      </c>
      <c r="M65" s="115">
        <f t="shared" si="2"/>
        <v>0</v>
      </c>
      <c r="N65" s="113"/>
      <c r="O65" s="113"/>
      <c r="P65" s="113"/>
      <c r="Q65" s="116">
        <f t="shared" si="3"/>
        <v>0</v>
      </c>
      <c r="R65" s="115">
        <f t="shared" si="4"/>
        <v>0</v>
      </c>
      <c r="S65" s="113"/>
      <c r="T65" s="113"/>
      <c r="U65" s="113"/>
      <c r="V65" s="116">
        <f t="shared" si="5"/>
        <v>0</v>
      </c>
      <c r="W65" s="117">
        <f t="shared" si="6"/>
        <v>0</v>
      </c>
    </row>
    <row r="66" spans="1:23" x14ac:dyDescent="0.25">
      <c r="A66" s="122" t="s">
        <v>252</v>
      </c>
      <c r="B66" s="164" t="s">
        <v>253</v>
      </c>
      <c r="C66" s="165"/>
      <c r="D66" s="142" t="s">
        <v>132</v>
      </c>
      <c r="E66" s="113"/>
      <c r="F66" s="113"/>
      <c r="G66" s="113"/>
      <c r="H66" s="116">
        <f t="shared" si="0"/>
        <v>0</v>
      </c>
      <c r="I66" s="113"/>
      <c r="J66" s="168"/>
      <c r="K66" s="113"/>
      <c r="L66" s="116">
        <f t="shared" si="1"/>
        <v>0</v>
      </c>
      <c r="M66" s="115">
        <f t="shared" si="2"/>
        <v>0</v>
      </c>
      <c r="N66" s="113"/>
      <c r="O66" s="113"/>
      <c r="P66" s="113"/>
      <c r="Q66" s="116">
        <f t="shared" si="3"/>
        <v>0</v>
      </c>
      <c r="R66" s="115">
        <f t="shared" si="4"/>
        <v>0</v>
      </c>
      <c r="S66" s="113"/>
      <c r="T66" s="113"/>
      <c r="U66" s="113"/>
      <c r="V66" s="116">
        <f t="shared" si="5"/>
        <v>0</v>
      </c>
      <c r="W66" s="117">
        <f t="shared" si="6"/>
        <v>0</v>
      </c>
    </row>
    <row r="67" spans="1:23" x14ac:dyDescent="0.25">
      <c r="A67" s="122" t="s">
        <v>254</v>
      </c>
      <c r="B67" s="277" t="s">
        <v>255</v>
      </c>
      <c r="C67" s="278" t="s">
        <v>255</v>
      </c>
      <c r="D67" s="142" t="s">
        <v>204</v>
      </c>
      <c r="E67" s="113">
        <v>1.052</v>
      </c>
      <c r="F67" s="113">
        <v>1.052</v>
      </c>
      <c r="G67" s="113">
        <v>1.052</v>
      </c>
      <c r="H67" s="116">
        <f t="shared" si="0"/>
        <v>3.1560000000000001</v>
      </c>
      <c r="I67" s="113">
        <v>1.052</v>
      </c>
      <c r="J67" s="113"/>
      <c r="K67" s="113"/>
      <c r="L67" s="116">
        <f t="shared" si="1"/>
        <v>1.052</v>
      </c>
      <c r="M67" s="115">
        <f t="shared" si="2"/>
        <v>4.2080000000000002</v>
      </c>
      <c r="N67" s="113"/>
      <c r="O67" s="113"/>
      <c r="P67" s="113"/>
      <c r="Q67" s="116">
        <f t="shared" si="3"/>
        <v>0</v>
      </c>
      <c r="R67" s="115">
        <f t="shared" si="4"/>
        <v>4.2080000000000002</v>
      </c>
      <c r="S67" s="113">
        <v>0.52600000000000002</v>
      </c>
      <c r="T67" s="113">
        <v>1.052</v>
      </c>
      <c r="U67" s="113">
        <v>1.052</v>
      </c>
      <c r="V67" s="116">
        <f t="shared" si="5"/>
        <v>2.63</v>
      </c>
      <c r="W67" s="117">
        <f t="shared" si="6"/>
        <v>6.8380000000000001</v>
      </c>
    </row>
    <row r="68" spans="1:23" x14ac:dyDescent="0.25">
      <c r="A68" s="122" t="s">
        <v>256</v>
      </c>
      <c r="B68" s="277" t="s">
        <v>257</v>
      </c>
      <c r="C68" s="278" t="s">
        <v>257</v>
      </c>
      <c r="D68" s="142" t="s">
        <v>204</v>
      </c>
      <c r="E68" s="113">
        <v>0.66800000000000004</v>
      </c>
      <c r="F68" s="113">
        <v>0.66800000000000004</v>
      </c>
      <c r="G68" s="113">
        <v>0.66800000000000004</v>
      </c>
      <c r="H68" s="116">
        <f t="shared" si="0"/>
        <v>2.004</v>
      </c>
      <c r="I68" s="113">
        <v>0.66800000000000004</v>
      </c>
      <c r="J68" s="113"/>
      <c r="K68" s="113"/>
      <c r="L68" s="116">
        <f t="shared" si="1"/>
        <v>0.66800000000000004</v>
      </c>
      <c r="M68" s="115">
        <f t="shared" si="2"/>
        <v>2.6720000000000002</v>
      </c>
      <c r="N68" s="113"/>
      <c r="O68" s="113"/>
      <c r="P68" s="113"/>
      <c r="Q68" s="116">
        <f t="shared" si="3"/>
        <v>0</v>
      </c>
      <c r="R68" s="115">
        <f t="shared" si="4"/>
        <v>2.6720000000000002</v>
      </c>
      <c r="S68" s="113">
        <v>0.33400000000000002</v>
      </c>
      <c r="T68" s="113">
        <v>0.66800000000000004</v>
      </c>
      <c r="U68" s="113">
        <v>0.66800000000000004</v>
      </c>
      <c r="V68" s="116">
        <f t="shared" si="5"/>
        <v>1.67</v>
      </c>
      <c r="W68" s="117">
        <f t="shared" si="6"/>
        <v>4.3420000000000005</v>
      </c>
    </row>
    <row r="69" spans="1:23" x14ac:dyDescent="0.25">
      <c r="A69" s="122" t="s">
        <v>258</v>
      </c>
      <c r="B69" s="279" t="s">
        <v>259</v>
      </c>
      <c r="C69" s="280" t="s">
        <v>260</v>
      </c>
      <c r="D69" s="142" t="s">
        <v>204</v>
      </c>
      <c r="E69" s="113"/>
      <c r="F69" s="113"/>
      <c r="G69" s="113"/>
      <c r="H69" s="116">
        <f t="shared" si="0"/>
        <v>0</v>
      </c>
      <c r="I69" s="113"/>
      <c r="J69" s="113"/>
      <c r="K69" s="113"/>
      <c r="L69" s="116">
        <f t="shared" si="1"/>
        <v>0</v>
      </c>
      <c r="M69" s="115">
        <f t="shared" si="2"/>
        <v>0</v>
      </c>
      <c r="N69" s="113"/>
      <c r="O69" s="113"/>
      <c r="P69" s="113"/>
      <c r="Q69" s="116">
        <f t="shared" si="3"/>
        <v>0</v>
      </c>
      <c r="R69" s="115">
        <f t="shared" si="4"/>
        <v>0</v>
      </c>
      <c r="S69" s="113"/>
      <c r="T69" s="113"/>
      <c r="U69" s="113"/>
      <c r="V69" s="116">
        <f t="shared" si="5"/>
        <v>0</v>
      </c>
      <c r="W69" s="117">
        <f t="shared" si="6"/>
        <v>0</v>
      </c>
    </row>
    <row r="70" spans="1:23" x14ac:dyDescent="0.25">
      <c r="A70" s="122" t="s">
        <v>261</v>
      </c>
      <c r="B70" s="277" t="s">
        <v>262</v>
      </c>
      <c r="C70" s="278" t="s">
        <v>263</v>
      </c>
      <c r="D70" s="142" t="s">
        <v>204</v>
      </c>
      <c r="E70" s="113"/>
      <c r="F70" s="113"/>
      <c r="G70" s="113"/>
      <c r="H70" s="116">
        <f t="shared" si="0"/>
        <v>0</v>
      </c>
      <c r="I70" s="113"/>
      <c r="J70" s="113"/>
      <c r="K70" s="113"/>
      <c r="L70" s="116">
        <f t="shared" si="1"/>
        <v>0</v>
      </c>
      <c r="M70" s="115">
        <f t="shared" si="2"/>
        <v>0</v>
      </c>
      <c r="N70" s="113"/>
      <c r="O70" s="113"/>
      <c r="P70" s="113"/>
      <c r="Q70" s="116">
        <f t="shared" si="3"/>
        <v>0</v>
      </c>
      <c r="R70" s="115">
        <f t="shared" si="4"/>
        <v>0</v>
      </c>
      <c r="S70" s="113"/>
      <c r="T70" s="113"/>
      <c r="U70" s="113"/>
      <c r="V70" s="116">
        <f t="shared" si="5"/>
        <v>0</v>
      </c>
      <c r="W70" s="117">
        <f t="shared" si="6"/>
        <v>0</v>
      </c>
    </row>
    <row r="71" spans="1:23" x14ac:dyDescent="0.25">
      <c r="A71" s="122" t="s">
        <v>264</v>
      </c>
      <c r="B71" s="277" t="s">
        <v>265</v>
      </c>
      <c r="C71" s="293"/>
      <c r="D71" s="142" t="s">
        <v>204</v>
      </c>
      <c r="E71" s="113"/>
      <c r="F71" s="113"/>
      <c r="G71" s="113"/>
      <c r="H71" s="116">
        <f t="shared" si="0"/>
        <v>0</v>
      </c>
      <c r="I71" s="113"/>
      <c r="J71" s="113"/>
      <c r="K71" s="113"/>
      <c r="L71" s="116">
        <f t="shared" si="1"/>
        <v>0</v>
      </c>
      <c r="M71" s="115">
        <f t="shared" si="2"/>
        <v>0</v>
      </c>
      <c r="N71" s="113"/>
      <c r="O71" s="113"/>
      <c r="P71" s="113"/>
      <c r="Q71" s="116">
        <f t="shared" si="3"/>
        <v>0</v>
      </c>
      <c r="R71" s="115">
        <f t="shared" si="4"/>
        <v>0</v>
      </c>
      <c r="S71" s="113"/>
      <c r="T71" s="113"/>
      <c r="U71" s="113"/>
      <c r="V71" s="116">
        <f t="shared" si="5"/>
        <v>0</v>
      </c>
      <c r="W71" s="117">
        <f t="shared" si="6"/>
        <v>0</v>
      </c>
    </row>
    <row r="72" spans="1:23" x14ac:dyDescent="0.25">
      <c r="A72" s="122" t="s">
        <v>266</v>
      </c>
      <c r="B72" s="279" t="s">
        <v>267</v>
      </c>
      <c r="C72" s="280" t="s">
        <v>268</v>
      </c>
      <c r="D72" s="142" t="s">
        <v>204</v>
      </c>
      <c r="E72" s="113"/>
      <c r="F72" s="113"/>
      <c r="G72" s="113"/>
      <c r="H72" s="116">
        <f t="shared" si="0"/>
        <v>0</v>
      </c>
      <c r="I72" s="113"/>
      <c r="J72" s="113"/>
      <c r="K72" s="113"/>
      <c r="L72" s="116">
        <f t="shared" si="1"/>
        <v>0</v>
      </c>
      <c r="M72" s="115">
        <f t="shared" si="2"/>
        <v>0</v>
      </c>
      <c r="N72" s="113"/>
      <c r="O72" s="113"/>
      <c r="P72" s="113"/>
      <c r="Q72" s="116">
        <f t="shared" si="3"/>
        <v>0</v>
      </c>
      <c r="R72" s="115">
        <f t="shared" si="4"/>
        <v>0</v>
      </c>
      <c r="S72" s="113"/>
      <c r="T72" s="113"/>
      <c r="U72" s="113"/>
      <c r="V72" s="116">
        <f t="shared" si="5"/>
        <v>0</v>
      </c>
      <c r="W72" s="117">
        <f t="shared" si="6"/>
        <v>0</v>
      </c>
    </row>
    <row r="73" spans="1:23" x14ac:dyDescent="0.25">
      <c r="A73" s="122" t="s">
        <v>269</v>
      </c>
      <c r="B73" s="279" t="s">
        <v>233</v>
      </c>
      <c r="C73" s="280" t="s">
        <v>233</v>
      </c>
      <c r="D73" s="142" t="s">
        <v>204</v>
      </c>
      <c r="E73" s="113">
        <f>SUM(E74:E77)</f>
        <v>7.3999999999999996E-2</v>
      </c>
      <c r="F73" s="113">
        <f>SUM(F74:F77)</f>
        <v>7.3999999999999996E-2</v>
      </c>
      <c r="G73" s="113">
        <f>SUM(G74:G77)</f>
        <v>7.3999999999999996E-2</v>
      </c>
      <c r="H73" s="116">
        <f t="shared" si="0"/>
        <v>0.22199999999999998</v>
      </c>
      <c r="I73" s="113">
        <f>SUM(I74:I77)</f>
        <v>7.3999999999999996E-2</v>
      </c>
      <c r="J73" s="113">
        <v>0</v>
      </c>
      <c r="K73" s="113">
        <f>SUM(K74:K77)</f>
        <v>0</v>
      </c>
      <c r="L73" s="116">
        <f t="shared" si="1"/>
        <v>7.3999999999999996E-2</v>
      </c>
      <c r="M73" s="115">
        <f t="shared" si="2"/>
        <v>0.29599999999999999</v>
      </c>
      <c r="N73" s="113">
        <f>SUM(N74:N77)</f>
        <v>0</v>
      </c>
      <c r="O73" s="113">
        <f>SUM(O74:O77)</f>
        <v>0</v>
      </c>
      <c r="P73" s="113">
        <f>SUM(P74:P77)</f>
        <v>0</v>
      </c>
      <c r="Q73" s="116">
        <f t="shared" si="3"/>
        <v>0</v>
      </c>
      <c r="R73" s="115">
        <f t="shared" si="4"/>
        <v>0.29599999999999999</v>
      </c>
      <c r="S73" s="113">
        <f>SUM(S74:S77)</f>
        <v>3.6999999999999998E-2</v>
      </c>
      <c r="T73" s="113">
        <f>SUM(T74:T77)</f>
        <v>7.3999999999999996E-2</v>
      </c>
      <c r="U73" s="113">
        <f>SUM(U74:U77)</f>
        <v>7.3999999999999996E-2</v>
      </c>
      <c r="V73" s="116">
        <f t="shared" si="5"/>
        <v>0.185</v>
      </c>
      <c r="W73" s="117">
        <f t="shared" si="6"/>
        <v>0.48099999999999998</v>
      </c>
    </row>
    <row r="74" spans="1:23" x14ac:dyDescent="0.25">
      <c r="A74" s="122"/>
      <c r="B74" s="279" t="s">
        <v>270</v>
      </c>
      <c r="C74" s="280" t="s">
        <v>270</v>
      </c>
      <c r="D74" s="142" t="s">
        <v>204</v>
      </c>
      <c r="E74" s="113">
        <v>7.3999999999999996E-2</v>
      </c>
      <c r="F74" s="113">
        <v>7.3999999999999996E-2</v>
      </c>
      <c r="G74" s="113">
        <v>7.3999999999999996E-2</v>
      </c>
      <c r="H74" s="116">
        <f t="shared" si="0"/>
        <v>0.22199999999999998</v>
      </c>
      <c r="I74" s="113">
        <v>7.3999999999999996E-2</v>
      </c>
      <c r="J74" s="113"/>
      <c r="K74" s="113"/>
      <c r="L74" s="116">
        <f t="shared" si="1"/>
        <v>7.3999999999999996E-2</v>
      </c>
      <c r="M74" s="115">
        <f t="shared" si="2"/>
        <v>0.29599999999999999</v>
      </c>
      <c r="N74" s="113"/>
      <c r="O74" s="113"/>
      <c r="P74" s="113"/>
      <c r="Q74" s="116">
        <f t="shared" si="3"/>
        <v>0</v>
      </c>
      <c r="R74" s="115">
        <f t="shared" si="4"/>
        <v>0.29599999999999999</v>
      </c>
      <c r="S74" s="113">
        <v>3.6999999999999998E-2</v>
      </c>
      <c r="T74" s="113">
        <v>7.3999999999999996E-2</v>
      </c>
      <c r="U74" s="113">
        <v>7.3999999999999996E-2</v>
      </c>
      <c r="V74" s="116">
        <f t="shared" si="5"/>
        <v>0.185</v>
      </c>
      <c r="W74" s="117">
        <f t="shared" si="6"/>
        <v>0.48099999999999998</v>
      </c>
    </row>
    <row r="75" spans="1:23" x14ac:dyDescent="0.25">
      <c r="A75" s="122"/>
      <c r="B75" s="279" t="s">
        <v>271</v>
      </c>
      <c r="C75" s="280" t="s">
        <v>271</v>
      </c>
      <c r="D75" s="142" t="s">
        <v>204</v>
      </c>
      <c r="E75" s="113"/>
      <c r="F75" s="113"/>
      <c r="G75" s="113"/>
      <c r="H75" s="116">
        <f t="shared" si="0"/>
        <v>0</v>
      </c>
      <c r="I75" s="113"/>
      <c r="J75" s="113"/>
      <c r="K75" s="113"/>
      <c r="L75" s="116">
        <f t="shared" si="1"/>
        <v>0</v>
      </c>
      <c r="M75" s="115">
        <f t="shared" si="2"/>
        <v>0</v>
      </c>
      <c r="N75" s="113"/>
      <c r="O75" s="113"/>
      <c r="P75" s="113"/>
      <c r="Q75" s="116">
        <f t="shared" si="3"/>
        <v>0</v>
      </c>
      <c r="R75" s="115">
        <f t="shared" si="4"/>
        <v>0</v>
      </c>
      <c r="S75" s="113"/>
      <c r="T75" s="113"/>
      <c r="U75" s="113"/>
      <c r="V75" s="116">
        <f t="shared" si="5"/>
        <v>0</v>
      </c>
      <c r="W75" s="117">
        <f t="shared" si="6"/>
        <v>0</v>
      </c>
    </row>
    <row r="76" spans="1:23" x14ac:dyDescent="0.25">
      <c r="A76" s="122"/>
      <c r="B76" s="279" t="s">
        <v>272</v>
      </c>
      <c r="C76" s="280" t="s">
        <v>273</v>
      </c>
      <c r="D76" s="142" t="s">
        <v>204</v>
      </c>
      <c r="E76" s="113"/>
      <c r="F76" s="113"/>
      <c r="G76" s="113"/>
      <c r="H76" s="116">
        <f t="shared" ref="H76:H89" si="9">SUM(E76:G76)</f>
        <v>0</v>
      </c>
      <c r="I76" s="113"/>
      <c r="J76" s="113"/>
      <c r="K76" s="113"/>
      <c r="L76" s="116">
        <f t="shared" ref="L76:L89" si="10">SUM(I76:K76)</f>
        <v>0</v>
      </c>
      <c r="M76" s="115">
        <f t="shared" ref="M76:M89" si="11">L76+H76</f>
        <v>0</v>
      </c>
      <c r="N76" s="113"/>
      <c r="O76" s="113"/>
      <c r="P76" s="113"/>
      <c r="Q76" s="116">
        <f t="shared" ref="Q76:Q89" si="12">SUM(N76:P76)</f>
        <v>0</v>
      </c>
      <c r="R76" s="115">
        <f t="shared" ref="R76:R89" si="13">Q76+M76</f>
        <v>0</v>
      </c>
      <c r="S76" s="113"/>
      <c r="T76" s="113"/>
      <c r="U76" s="113"/>
      <c r="V76" s="116">
        <f t="shared" ref="V76:V89" si="14">SUM(S76:U76)</f>
        <v>0</v>
      </c>
      <c r="W76" s="117">
        <f t="shared" ref="W76:W89" si="15">V76+R76</f>
        <v>0</v>
      </c>
    </row>
    <row r="77" spans="1:23" x14ac:dyDescent="0.25">
      <c r="A77" s="122"/>
      <c r="B77" s="164" t="s">
        <v>274</v>
      </c>
      <c r="C77" s="165"/>
      <c r="D77" s="142" t="s">
        <v>204</v>
      </c>
      <c r="E77" s="113"/>
      <c r="F77" s="113"/>
      <c r="G77" s="113"/>
      <c r="H77" s="116">
        <f t="shared" si="9"/>
        <v>0</v>
      </c>
      <c r="I77" s="113"/>
      <c r="J77" s="113"/>
      <c r="K77" s="113"/>
      <c r="L77" s="116">
        <f t="shared" si="10"/>
        <v>0</v>
      </c>
      <c r="M77" s="115">
        <f t="shared" si="11"/>
        <v>0</v>
      </c>
      <c r="N77" s="113"/>
      <c r="O77" s="113"/>
      <c r="P77" s="113"/>
      <c r="Q77" s="116">
        <f t="shared" si="12"/>
        <v>0</v>
      </c>
      <c r="R77" s="115">
        <f t="shared" si="13"/>
        <v>0</v>
      </c>
      <c r="S77" s="113"/>
      <c r="T77" s="113"/>
      <c r="U77" s="113"/>
      <c r="V77" s="116">
        <f t="shared" si="14"/>
        <v>0</v>
      </c>
      <c r="W77" s="117">
        <f t="shared" si="15"/>
        <v>0</v>
      </c>
    </row>
    <row r="78" spans="1:23" x14ac:dyDescent="0.25">
      <c r="A78" s="122" t="s">
        <v>275</v>
      </c>
      <c r="B78" s="279" t="s">
        <v>276</v>
      </c>
      <c r="C78" s="280" t="s">
        <v>276</v>
      </c>
      <c r="D78" s="142" t="s">
        <v>204</v>
      </c>
      <c r="E78" s="120">
        <f>SUM(E79:E81)</f>
        <v>1.194</v>
      </c>
      <c r="F78" s="120">
        <f>SUM(F79:F81)</f>
        <v>1.194</v>
      </c>
      <c r="G78" s="120">
        <f>SUM(G79:G81)</f>
        <v>2.0739999999999998</v>
      </c>
      <c r="H78" s="116">
        <f t="shared" si="9"/>
        <v>4.4619999999999997</v>
      </c>
      <c r="I78" s="120">
        <f>SUM(I79:I81)</f>
        <v>1.194</v>
      </c>
      <c r="J78" s="120">
        <f>SUM(J79:J81)</f>
        <v>0</v>
      </c>
      <c r="K78" s="120">
        <f>SUM(K79:K81)</f>
        <v>0</v>
      </c>
      <c r="L78" s="116">
        <f t="shared" si="10"/>
        <v>1.194</v>
      </c>
      <c r="M78" s="115">
        <f t="shared" si="11"/>
        <v>5.6559999999999997</v>
      </c>
      <c r="N78" s="120">
        <f>SUM(N79:N81)</f>
        <v>0</v>
      </c>
      <c r="O78" s="120">
        <f>SUM(O79:O81)</f>
        <v>0</v>
      </c>
      <c r="P78" s="120">
        <f>SUM(P79:P81)</f>
        <v>0</v>
      </c>
      <c r="Q78" s="116">
        <f t="shared" si="12"/>
        <v>0</v>
      </c>
      <c r="R78" s="115">
        <f t="shared" si="13"/>
        <v>5.6559999999999997</v>
      </c>
      <c r="S78" s="120">
        <f>SUM(S79:S81)</f>
        <v>0.59699999999999998</v>
      </c>
      <c r="T78" s="120">
        <f>SUM(T79:T81)</f>
        <v>1.194</v>
      </c>
      <c r="U78" s="120">
        <f>SUM(U79:U81)</f>
        <v>1.194</v>
      </c>
      <c r="V78" s="116">
        <f t="shared" si="14"/>
        <v>2.9849999999999999</v>
      </c>
      <c r="W78" s="117">
        <f t="shared" si="15"/>
        <v>8.641</v>
      </c>
    </row>
    <row r="79" spans="1:23" x14ac:dyDescent="0.25">
      <c r="A79" s="122" t="s">
        <v>277</v>
      </c>
      <c r="B79" s="279" t="s">
        <v>278</v>
      </c>
      <c r="C79" s="280" t="s">
        <v>278</v>
      </c>
      <c r="D79" s="142" t="s">
        <v>204</v>
      </c>
      <c r="E79" s="113"/>
      <c r="F79" s="113"/>
      <c r="G79" s="113"/>
      <c r="H79" s="116">
        <f t="shared" si="9"/>
        <v>0</v>
      </c>
      <c r="I79" s="113"/>
      <c r="J79" s="113"/>
      <c r="K79" s="113"/>
      <c r="L79" s="116">
        <f t="shared" si="10"/>
        <v>0</v>
      </c>
      <c r="M79" s="115">
        <f t="shared" si="11"/>
        <v>0</v>
      </c>
      <c r="N79" s="113"/>
      <c r="O79" s="113"/>
      <c r="P79" s="113"/>
      <c r="Q79" s="116">
        <f t="shared" si="12"/>
        <v>0</v>
      </c>
      <c r="R79" s="115">
        <f t="shared" si="13"/>
        <v>0</v>
      </c>
      <c r="S79" s="113"/>
      <c r="T79" s="113"/>
      <c r="U79" s="113"/>
      <c r="V79" s="116">
        <f t="shared" si="14"/>
        <v>0</v>
      </c>
      <c r="W79" s="117">
        <f t="shared" si="15"/>
        <v>0</v>
      </c>
    </row>
    <row r="80" spans="1:23" x14ac:dyDescent="0.25">
      <c r="A80" s="122" t="s">
        <v>279</v>
      </c>
      <c r="B80" s="279" t="s">
        <v>280</v>
      </c>
      <c r="C80" s="280" t="s">
        <v>281</v>
      </c>
      <c r="D80" s="142" t="s">
        <v>204</v>
      </c>
      <c r="E80" s="113"/>
      <c r="F80" s="113"/>
      <c r="G80" s="113">
        <v>0.88</v>
      </c>
      <c r="H80" s="116">
        <f t="shared" si="9"/>
        <v>0.88</v>
      </c>
      <c r="I80" s="113"/>
      <c r="J80" s="113"/>
      <c r="K80" s="113"/>
      <c r="L80" s="116">
        <f t="shared" si="10"/>
        <v>0</v>
      </c>
      <c r="M80" s="115">
        <f t="shared" si="11"/>
        <v>0.88</v>
      </c>
      <c r="N80" s="113"/>
      <c r="O80" s="113"/>
      <c r="P80" s="113"/>
      <c r="Q80" s="116">
        <f t="shared" si="12"/>
        <v>0</v>
      </c>
      <c r="R80" s="115">
        <f t="shared" si="13"/>
        <v>0.88</v>
      </c>
      <c r="S80" s="113"/>
      <c r="T80" s="113"/>
      <c r="U80" s="113"/>
      <c r="V80" s="116">
        <f t="shared" si="14"/>
        <v>0</v>
      </c>
      <c r="W80" s="117">
        <f t="shared" si="15"/>
        <v>0.88</v>
      </c>
    </row>
    <row r="81" spans="1:23" x14ac:dyDescent="0.25">
      <c r="A81" s="122" t="s">
        <v>282</v>
      </c>
      <c r="B81" s="164" t="s">
        <v>283</v>
      </c>
      <c r="C81" s="165"/>
      <c r="D81" s="142" t="s">
        <v>204</v>
      </c>
      <c r="E81" s="113">
        <v>1.194</v>
      </c>
      <c r="F81" s="113">
        <v>1.194</v>
      </c>
      <c r="G81" s="113">
        <v>1.194</v>
      </c>
      <c r="H81" s="116">
        <f t="shared" si="9"/>
        <v>3.5819999999999999</v>
      </c>
      <c r="I81" s="113">
        <v>1.194</v>
      </c>
      <c r="J81" s="113"/>
      <c r="K81" s="113"/>
      <c r="L81" s="116">
        <f t="shared" si="10"/>
        <v>1.194</v>
      </c>
      <c r="M81" s="115">
        <f t="shared" si="11"/>
        <v>4.7759999999999998</v>
      </c>
      <c r="N81" s="113"/>
      <c r="O81" s="113"/>
      <c r="P81" s="113"/>
      <c r="Q81" s="116">
        <f t="shared" si="12"/>
        <v>0</v>
      </c>
      <c r="R81" s="115">
        <f t="shared" si="13"/>
        <v>4.7759999999999998</v>
      </c>
      <c r="S81" s="113">
        <v>0.59699999999999998</v>
      </c>
      <c r="T81" s="113">
        <v>1.194</v>
      </c>
      <c r="U81" s="113">
        <v>1.194</v>
      </c>
      <c r="V81" s="116">
        <f t="shared" si="14"/>
        <v>2.9849999999999999</v>
      </c>
      <c r="W81" s="117">
        <f t="shared" si="15"/>
        <v>7.7609999999999992</v>
      </c>
    </row>
    <row r="82" spans="1:23" x14ac:dyDescent="0.25">
      <c r="A82" s="111" t="s">
        <v>284</v>
      </c>
      <c r="B82" s="277" t="s">
        <v>285</v>
      </c>
      <c r="C82" s="278"/>
      <c r="D82" s="142" t="s">
        <v>204</v>
      </c>
      <c r="E82" s="113">
        <v>0</v>
      </c>
      <c r="F82" s="113">
        <v>0</v>
      </c>
      <c r="G82" s="114">
        <v>0</v>
      </c>
      <c r="H82" s="116">
        <f t="shared" si="9"/>
        <v>0</v>
      </c>
      <c r="I82" s="113">
        <v>0</v>
      </c>
      <c r="J82" s="113">
        <v>0</v>
      </c>
      <c r="K82" s="113">
        <v>0</v>
      </c>
      <c r="L82" s="116">
        <f t="shared" si="10"/>
        <v>0</v>
      </c>
      <c r="M82" s="115">
        <f t="shared" si="11"/>
        <v>0</v>
      </c>
      <c r="N82" s="113"/>
      <c r="O82" s="113"/>
      <c r="P82" s="113"/>
      <c r="Q82" s="116">
        <f t="shared" si="12"/>
        <v>0</v>
      </c>
      <c r="R82" s="115">
        <f t="shared" si="13"/>
        <v>0</v>
      </c>
      <c r="S82" s="113"/>
      <c r="T82" s="113"/>
      <c r="U82" s="113"/>
      <c r="V82" s="116">
        <f t="shared" si="14"/>
        <v>0</v>
      </c>
      <c r="W82" s="117">
        <f t="shared" si="15"/>
        <v>0</v>
      </c>
    </row>
    <row r="83" spans="1:23" x14ac:dyDescent="0.25">
      <c r="A83" s="111"/>
      <c r="B83" s="164"/>
      <c r="C83" s="165"/>
      <c r="D83" s="142"/>
      <c r="E83" s="113"/>
      <c r="F83" s="113"/>
      <c r="G83" s="114"/>
      <c r="H83" s="116">
        <f t="shared" si="9"/>
        <v>0</v>
      </c>
      <c r="I83" s="113"/>
      <c r="J83" s="113"/>
      <c r="K83" s="113"/>
      <c r="L83" s="116">
        <f t="shared" si="10"/>
        <v>0</v>
      </c>
      <c r="M83" s="115">
        <f t="shared" si="11"/>
        <v>0</v>
      </c>
      <c r="N83" s="113"/>
      <c r="O83" s="113"/>
      <c r="P83" s="113"/>
      <c r="Q83" s="116">
        <f t="shared" si="12"/>
        <v>0</v>
      </c>
      <c r="R83" s="115">
        <f t="shared" si="13"/>
        <v>0</v>
      </c>
      <c r="S83" s="113"/>
      <c r="T83" s="113"/>
      <c r="U83" s="113"/>
      <c r="V83" s="116">
        <f t="shared" si="14"/>
        <v>0</v>
      </c>
      <c r="W83" s="117">
        <f t="shared" si="15"/>
        <v>0</v>
      </c>
    </row>
    <row r="84" spans="1:23" x14ac:dyDescent="0.25">
      <c r="A84" s="118">
        <v>16</v>
      </c>
      <c r="B84" s="275" t="s">
        <v>286</v>
      </c>
      <c r="C84" s="276"/>
      <c r="D84" s="169" t="s">
        <v>204</v>
      </c>
      <c r="E84" s="170">
        <f>E30+E32+E33+E34+E35+E38+E41+E42+E43+E58+E62+E82+E57</f>
        <v>362.51676904509588</v>
      </c>
      <c r="F84" s="170">
        <f>F30+F32+F33+F34+F35+F38+F41+F42+F43+F58+F62+F82+F57</f>
        <v>263.13679576975341</v>
      </c>
      <c r="G84" s="170">
        <f>G30+G32+G33+G34+G35+G38+G41+G42+G43++G58+G62+G82+G57</f>
        <v>252.98034029715072</v>
      </c>
      <c r="H84" s="170">
        <f t="shared" si="9"/>
        <v>878.63390511199998</v>
      </c>
      <c r="I84" s="170">
        <f>I30+I32+I33+I34+I35+I38+I41+I42+I43+I58+I62+I82+I57</f>
        <v>276.21072382454793</v>
      </c>
      <c r="J84" s="170">
        <f>J30+J32+J33+J34+J35+J38+J41+J42+J43+J58+J62+J82+J57</f>
        <v>19.187208999999999</v>
      </c>
      <c r="K84" s="170">
        <f>K30+K32+K33+K34+K35+K38+K41+K42+K43+K58+K62+K82+K57</f>
        <v>19.187208999999999</v>
      </c>
      <c r="L84" s="170">
        <f t="shared" si="10"/>
        <v>314.58514182454792</v>
      </c>
      <c r="M84" s="170">
        <f t="shared" si="11"/>
        <v>1193.2190469365478</v>
      </c>
      <c r="N84" s="170">
        <f t="shared" ref="N84:U84" si="16">SUM(N30,N32:N35,N38,N42:N43,N58:N58,N62:N62,N82,N57)</f>
        <v>19.186208999999998</v>
      </c>
      <c r="O84" s="170">
        <f t="shared" si="16"/>
        <v>19.186208999999998</v>
      </c>
      <c r="P84" s="170">
        <f t="shared" si="16"/>
        <v>19.186208999999998</v>
      </c>
      <c r="Q84" s="170">
        <f t="shared" si="12"/>
        <v>57.558626999999994</v>
      </c>
      <c r="R84" s="170">
        <f t="shared" si="13"/>
        <v>1250.7776739365477</v>
      </c>
      <c r="S84" s="170">
        <f t="shared" si="16"/>
        <v>118.06044589241095</v>
      </c>
      <c r="T84" s="170">
        <f t="shared" si="16"/>
        <v>192.50248074509588</v>
      </c>
      <c r="U84" s="170">
        <f t="shared" si="16"/>
        <v>299.89358937660268</v>
      </c>
      <c r="V84" s="170">
        <f t="shared" si="14"/>
        <v>610.45651601410952</v>
      </c>
      <c r="W84" s="170">
        <f t="shared" si="15"/>
        <v>1861.2341899506573</v>
      </c>
    </row>
    <row r="85" spans="1:23" x14ac:dyDescent="0.25">
      <c r="A85" s="111">
        <v>17</v>
      </c>
      <c r="B85" s="277"/>
      <c r="C85" s="278"/>
      <c r="D85" s="142"/>
      <c r="E85" s="120"/>
      <c r="F85" s="120"/>
      <c r="G85" s="120"/>
      <c r="H85" s="171"/>
      <c r="I85" s="120"/>
      <c r="J85" s="120"/>
      <c r="K85" s="120"/>
      <c r="L85" s="171"/>
      <c r="M85" s="171"/>
      <c r="N85" s="120"/>
      <c r="O85" s="120"/>
      <c r="P85" s="120"/>
      <c r="Q85" s="171"/>
      <c r="R85" s="171"/>
      <c r="S85" s="120"/>
      <c r="T85" s="120"/>
      <c r="U85" s="120"/>
      <c r="V85" s="171"/>
      <c r="W85" s="171"/>
    </row>
    <row r="86" spans="1:23" x14ac:dyDescent="0.25">
      <c r="A86" s="118">
        <v>18</v>
      </c>
      <c r="B86" s="297" t="s">
        <v>287</v>
      </c>
      <c r="C86" s="297"/>
      <c r="D86" s="169" t="s">
        <v>204</v>
      </c>
      <c r="E86" s="172">
        <f>E14*E88</f>
        <v>489.58835274009596</v>
      </c>
      <c r="F86" s="173">
        <f>F14*F88</f>
        <v>286.99325320089594</v>
      </c>
      <c r="G86" s="173">
        <f>G14*G88</f>
        <v>262.28653374489602</v>
      </c>
      <c r="H86" s="173">
        <f>H88*H14</f>
        <v>1038.8681396858879</v>
      </c>
      <c r="I86" s="173">
        <f>I14*I88</f>
        <v>239.68799999999999</v>
      </c>
      <c r="J86" s="173">
        <f>J14*J88</f>
        <v>0</v>
      </c>
      <c r="K86" s="173">
        <f>K14*K88</f>
        <v>0</v>
      </c>
      <c r="L86" s="174">
        <f>L88*L14</f>
        <v>239.68799999999999</v>
      </c>
      <c r="M86" s="175">
        <f>M88*M14</f>
        <v>1278.556139685888</v>
      </c>
      <c r="N86" s="173">
        <f>N14*N88</f>
        <v>0</v>
      </c>
      <c r="O86" s="173">
        <f>O14*O88</f>
        <v>0</v>
      </c>
      <c r="P86" s="173">
        <f>P14*P88</f>
        <v>0</v>
      </c>
      <c r="Q86" s="174">
        <f>Q88*Q14</f>
        <v>0</v>
      </c>
      <c r="R86" s="175">
        <f>R88*R14</f>
        <v>1278.556139685888</v>
      </c>
      <c r="S86" s="173">
        <f>S14*S88</f>
        <v>91.612515742848004</v>
      </c>
      <c r="T86" s="173">
        <f>T14*T88</f>
        <v>128.870248682496</v>
      </c>
      <c r="U86" s="173">
        <f>U14*U88</f>
        <v>362.1952</v>
      </c>
      <c r="V86" s="174">
        <f>V88*V14</f>
        <v>582.67796442534404</v>
      </c>
      <c r="W86" s="176">
        <f>W88*W14</f>
        <v>1861.2341041112318</v>
      </c>
    </row>
    <row r="87" spans="1:23" x14ac:dyDescent="0.25">
      <c r="A87" s="111">
        <v>19</v>
      </c>
      <c r="B87" s="277" t="s">
        <v>288</v>
      </c>
      <c r="C87" s="278"/>
      <c r="D87" s="142" t="s">
        <v>204</v>
      </c>
      <c r="E87" s="177">
        <v>0</v>
      </c>
      <c r="F87" s="177">
        <v>0</v>
      </c>
      <c r="G87" s="177">
        <v>0</v>
      </c>
      <c r="H87" s="116">
        <f t="shared" si="9"/>
        <v>0</v>
      </c>
      <c r="I87" s="177">
        <v>0</v>
      </c>
      <c r="J87" s="177">
        <v>0</v>
      </c>
      <c r="K87" s="177">
        <v>0</v>
      </c>
      <c r="L87" s="116">
        <f t="shared" si="10"/>
        <v>0</v>
      </c>
      <c r="M87" s="115">
        <f t="shared" si="11"/>
        <v>0</v>
      </c>
      <c r="N87" s="177">
        <v>0</v>
      </c>
      <c r="O87" s="177">
        <v>0</v>
      </c>
      <c r="P87" s="177"/>
      <c r="Q87" s="116">
        <f t="shared" si="12"/>
        <v>0</v>
      </c>
      <c r="R87" s="115">
        <f t="shared" si="13"/>
        <v>0</v>
      </c>
      <c r="S87" s="177"/>
      <c r="T87" s="177"/>
      <c r="U87" s="177"/>
      <c r="V87" s="116">
        <f t="shared" si="14"/>
        <v>0</v>
      </c>
      <c r="W87" s="117">
        <f t="shared" si="15"/>
        <v>0</v>
      </c>
    </row>
    <row r="88" spans="1:23" x14ac:dyDescent="0.25">
      <c r="A88" s="111">
        <v>20</v>
      </c>
      <c r="B88" s="277" t="s">
        <v>289</v>
      </c>
      <c r="C88" s="278"/>
      <c r="D88" s="142" t="s">
        <v>290</v>
      </c>
      <c r="E88" s="178">
        <v>5326.4</v>
      </c>
      <c r="F88" s="178">
        <v>5326.4</v>
      </c>
      <c r="G88" s="178">
        <v>5326.4</v>
      </c>
      <c r="H88" s="179">
        <v>5326.4</v>
      </c>
      <c r="I88" s="178">
        <v>5326.4</v>
      </c>
      <c r="J88" s="178">
        <v>5326.4</v>
      </c>
      <c r="K88" s="178">
        <v>5326.4</v>
      </c>
      <c r="L88" s="179">
        <v>5326.4</v>
      </c>
      <c r="M88" s="179">
        <v>5326.4</v>
      </c>
      <c r="N88" s="178">
        <v>5326.4</v>
      </c>
      <c r="O88" s="178">
        <v>5326.4</v>
      </c>
      <c r="P88" s="178">
        <v>5326.4</v>
      </c>
      <c r="Q88" s="179">
        <v>5326.4</v>
      </c>
      <c r="R88" s="179">
        <v>5326.4</v>
      </c>
      <c r="S88" s="178">
        <v>5326.4</v>
      </c>
      <c r="T88" s="178">
        <v>5326.4</v>
      </c>
      <c r="U88" s="178">
        <v>5326.4</v>
      </c>
      <c r="V88" s="179">
        <v>5326.4</v>
      </c>
      <c r="W88" s="115">
        <v>5326.4</v>
      </c>
    </row>
    <row r="89" spans="1:23" x14ac:dyDescent="0.25">
      <c r="A89" s="118">
        <v>21</v>
      </c>
      <c r="B89" s="295" t="s">
        <v>291</v>
      </c>
      <c r="C89" s="296"/>
      <c r="D89" s="169" t="s">
        <v>204</v>
      </c>
      <c r="E89" s="180">
        <f>(E86+E87)-E84</f>
        <v>127.07158369500007</v>
      </c>
      <c r="F89" s="180">
        <f t="shared" ref="F89:U89" si="17">(F86+F87)-F84</f>
        <v>23.85645743114253</v>
      </c>
      <c r="G89" s="180">
        <f t="shared" si="17"/>
        <v>9.3061934477453008</v>
      </c>
      <c r="H89" s="180">
        <f t="shared" si="9"/>
        <v>160.2342345738879</v>
      </c>
      <c r="I89" s="180">
        <f t="shared" si="17"/>
        <v>-36.522723824547938</v>
      </c>
      <c r="J89" s="180">
        <f t="shared" si="17"/>
        <v>-19.187208999999999</v>
      </c>
      <c r="K89" s="180">
        <f t="shared" si="17"/>
        <v>-19.187208999999999</v>
      </c>
      <c r="L89" s="180">
        <f t="shared" si="10"/>
        <v>-74.89714182454793</v>
      </c>
      <c r="M89" s="180">
        <f t="shared" si="11"/>
        <v>85.337092749339973</v>
      </c>
      <c r="N89" s="180">
        <f t="shared" si="17"/>
        <v>-19.186208999999998</v>
      </c>
      <c r="O89" s="180">
        <f t="shared" si="17"/>
        <v>-19.186208999999998</v>
      </c>
      <c r="P89" s="180">
        <f t="shared" si="17"/>
        <v>-19.186208999999998</v>
      </c>
      <c r="Q89" s="180">
        <f t="shared" si="12"/>
        <v>-57.558626999999994</v>
      </c>
      <c r="R89" s="180">
        <f t="shared" si="13"/>
        <v>27.778465749339979</v>
      </c>
      <c r="S89" s="180">
        <f t="shared" si="17"/>
        <v>-26.44793014956295</v>
      </c>
      <c r="T89" s="180">
        <f t="shared" si="17"/>
        <v>-63.632232062599883</v>
      </c>
      <c r="U89" s="180">
        <f t="shared" si="17"/>
        <v>62.301610623397323</v>
      </c>
      <c r="V89" s="180">
        <f t="shared" si="14"/>
        <v>-27.778551588765509</v>
      </c>
      <c r="W89" s="180">
        <f t="shared" si="15"/>
        <v>-8.5839425530309654E-5</v>
      </c>
    </row>
    <row r="90" spans="1:23" x14ac:dyDescent="0.25">
      <c r="A90" s="188"/>
      <c r="B90" s="189"/>
      <c r="C90" s="189"/>
      <c r="D90" s="188"/>
      <c r="E90" s="190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  <c r="Q90" s="191"/>
      <c r="R90" s="191"/>
      <c r="S90" s="191"/>
      <c r="T90" s="193"/>
      <c r="U90" s="191"/>
      <c r="V90" s="191"/>
      <c r="W90" s="194"/>
    </row>
    <row r="91" spans="1:23" x14ac:dyDescent="0.25">
      <c r="A91" s="298" t="s">
        <v>297</v>
      </c>
      <c r="B91" s="299"/>
      <c r="C91" s="299"/>
      <c r="D91" s="299"/>
      <c r="E91" s="182"/>
      <c r="F91" s="182"/>
      <c r="G91" s="195"/>
      <c r="H91" s="182"/>
      <c r="I91" s="182"/>
      <c r="J91" s="182"/>
      <c r="K91" s="182"/>
      <c r="L91" s="182"/>
      <c r="M91" s="182" t="s">
        <v>121</v>
      </c>
      <c r="N91" s="182"/>
      <c r="O91" s="182"/>
      <c r="P91" s="183"/>
      <c r="Q91" s="182"/>
      <c r="R91" s="182"/>
      <c r="S91" s="182"/>
      <c r="T91" s="182"/>
      <c r="U91" s="182"/>
      <c r="V91" s="182"/>
      <c r="W91" s="88"/>
    </row>
    <row r="92" spans="1:23" x14ac:dyDescent="0.25">
      <c r="A92" s="181"/>
      <c r="B92" s="181"/>
      <c r="C92" s="181"/>
      <c r="D92" s="181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3"/>
      <c r="Q92" s="182"/>
      <c r="R92" s="182"/>
      <c r="S92" s="182"/>
      <c r="T92" s="182"/>
      <c r="U92" s="182"/>
      <c r="V92" s="182"/>
      <c r="W92" s="182"/>
    </row>
    <row r="93" spans="1:23" x14ac:dyDescent="0.25">
      <c r="A93" s="185" t="s">
        <v>111</v>
      </c>
      <c r="B93" s="181"/>
      <c r="C93" s="181"/>
      <c r="D93" s="181"/>
      <c r="E93" s="186"/>
      <c r="F93" s="186"/>
      <c r="G93" s="186"/>
      <c r="H93" s="186"/>
      <c r="I93" s="186"/>
      <c r="J93" s="186"/>
      <c r="K93" s="186"/>
      <c r="L93" s="186"/>
      <c r="M93" s="186" t="s">
        <v>119</v>
      </c>
      <c r="N93" s="186"/>
      <c r="O93" s="186"/>
      <c r="P93" s="187"/>
      <c r="Q93" s="186"/>
      <c r="R93" s="186"/>
      <c r="S93" s="186"/>
      <c r="T93" s="186"/>
      <c r="U93" s="186"/>
      <c r="V93" s="186"/>
      <c r="W93" s="186"/>
    </row>
  </sheetData>
  <mergeCells count="90">
    <mergeCell ref="B89:C89"/>
    <mergeCell ref="A91:D91"/>
    <mergeCell ref="B82:C82"/>
    <mergeCell ref="B84:C84"/>
    <mergeCell ref="B85:C85"/>
    <mergeCell ref="B86:C86"/>
    <mergeCell ref="B87:C87"/>
    <mergeCell ref="B88:C88"/>
    <mergeCell ref="B80:C80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8:C78"/>
    <mergeCell ref="B79:C79"/>
    <mergeCell ref="B67:C67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3:C53"/>
    <mergeCell ref="B40:C4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8:C38"/>
    <mergeCell ref="B21:B22"/>
    <mergeCell ref="B23:B25"/>
    <mergeCell ref="B26:B28"/>
    <mergeCell ref="B30:C30"/>
    <mergeCell ref="B31:C31"/>
    <mergeCell ref="B32:C32"/>
    <mergeCell ref="B33:C33"/>
    <mergeCell ref="B34:C34"/>
    <mergeCell ref="B35:C35"/>
    <mergeCell ref="B36:C36"/>
    <mergeCell ref="B37:C3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U6:U7"/>
    <mergeCell ref="M5:M7"/>
    <mergeCell ref="R5:R7"/>
    <mergeCell ref="V5:V7"/>
    <mergeCell ref="W5:W7"/>
    <mergeCell ref="N6:N7"/>
    <mergeCell ref="O6:O7"/>
    <mergeCell ref="P6:P7"/>
    <mergeCell ref="S6:S7"/>
    <mergeCell ref="T6:T7"/>
    <mergeCell ref="L5:L7"/>
    <mergeCell ref="K6:K7"/>
    <mergeCell ref="A3:E3"/>
    <mergeCell ref="A5:A7"/>
    <mergeCell ref="B5:C7"/>
    <mergeCell ref="D5:D7"/>
    <mergeCell ref="H5:H7"/>
    <mergeCell ref="E6:E7"/>
    <mergeCell ref="F6:F7"/>
    <mergeCell ref="G6:G7"/>
    <mergeCell ref="I6:I7"/>
    <mergeCell ref="J6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тепло</vt:lpstr>
      <vt:lpstr>ВСЕГО</vt:lpstr>
      <vt:lpstr> ВС</vt:lpstr>
      <vt:lpstr>новокачалинск</vt:lpstr>
      <vt:lpstr>первомайское</vt:lpstr>
      <vt:lpstr>Троицкое</vt:lpstr>
      <vt:lpstr>октябрьское</vt:lpstr>
      <vt:lpstr>Майское</vt:lpstr>
      <vt:lpstr>Лист6</vt:lpstr>
      <vt:lpstr>' ВС'!Заголовки_для_печати</vt:lpstr>
      <vt:lpstr>тепло!Заголовки_для_печати</vt:lpstr>
      <vt:lpstr>' ВС'!Область_печати</vt:lpstr>
      <vt:lpstr>тепло!Область_печати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2018-12-18T00:29:36Z</dcterms:modified>
</cp:coreProperties>
</file>